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2.xml" ContentType="application/vnd.openxmlformats-officedocument.spreadsheetml.comments+xml"/>
  <Override PartName="/xl/drawings/drawing1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omments3.xml" ContentType="application/vnd.openxmlformats-officedocument.spreadsheetml.comments+xml"/>
  <Override PartName="/xl/drawings/drawing12.xml" ContentType="application/vnd.openxmlformats-officedocument.drawing+xml"/>
  <Override PartName="/xl/comments4.xml" ContentType="application/vnd.openxmlformats-officedocument.spreadsheetml.comment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92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javier.marrufo\Documents\ESTADOS FINANCIEROS\"/>
    </mc:Choice>
  </mc:AlternateContent>
  <xr:revisionPtr revIDLastSave="0" documentId="13_ncr:1_{7F1EED66-0F19-4AAE-9ECC-E9B07DD4159C}" xr6:coauthVersionLast="46" xr6:coauthVersionMax="46" xr10:uidLastSave="{00000000-0000-0000-0000-000000000000}"/>
  <bookViews>
    <workbookView xWindow="-120" yWindow="-120" windowWidth="20730" windowHeight="11160" tabRatio="466" xr2:uid="{00000000-000D-0000-FFFF-FFFF00000000}"/>
  </bookViews>
  <sheets>
    <sheet name="BALANCE" sheetId="81" r:id="rId1"/>
    <sheet name="PPTO RESULTADOS" sheetId="18" r:id="rId2"/>
    <sheet name="RESULTADOS PARQUES" sheetId="52" r:id="rId3"/>
    <sheet name="VARIACIONES EGRESOS" sheetId="186" r:id="rId4"/>
    <sheet name="GRAFICAS" sheetId="148" r:id="rId5"/>
    <sheet name="INGRESOS" sheetId="51" r:id="rId6"/>
    <sheet name="EGRESOS" sheetId="82" r:id="rId7"/>
    <sheet name="CTAS BALANCE" sheetId="28" r:id="rId8"/>
    <sheet name="BALANZA" sheetId="455" r:id="rId9"/>
    <sheet name="PRESUP ORIGINAL" sheetId="307" r:id="rId10"/>
    <sheet name="notas" sheetId="247" r:id="rId11"/>
    <sheet name="EA" sheetId="227" r:id="rId12"/>
    <sheet name="1 ea sif" sheetId="406" r:id="rId13"/>
    <sheet name="ESF" sheetId="228" r:id="rId14"/>
    <sheet name="2 esf sif" sheetId="407" r:id="rId15"/>
    <sheet name="ESF det" sheetId="292" r:id="rId16"/>
    <sheet name="36 esfd sif" sheetId="426" r:id="rId17"/>
    <sheet name="ECSF" sheetId="229" r:id="rId18"/>
    <sheet name="4 ecsf sif" sheetId="409" r:id="rId19"/>
    <sheet name="EAA" sheetId="230" r:id="rId20"/>
    <sheet name="10 eaa sif" sheetId="411" r:id="rId21"/>
    <sheet name="EADP" sheetId="231" r:id="rId22"/>
    <sheet name="11 ead sif" sheetId="412" r:id="rId23"/>
    <sheet name="EVHP" sheetId="232" r:id="rId24"/>
    <sheet name="3 evhp sif" sheetId="408" r:id="rId25"/>
    <sheet name="EFE" sheetId="233" r:id="rId26"/>
    <sheet name="5 efe sif" sheetId="410" r:id="rId27"/>
    <sheet name="EAI" sheetId="234" r:id="rId28"/>
    <sheet name="13 ri sif" sheetId="413" r:id="rId29"/>
    <sheet name="14 ff sif" sheetId="414" r:id="rId30"/>
    <sheet name="15 ce sif" sheetId="415" r:id="rId31"/>
    <sheet name="40 eaid sif" sheetId="428" r:id="rId32"/>
    <sheet name="COG" sheetId="237" r:id="rId33"/>
    <sheet name="20 cog sif" sheetId="419" r:id="rId34"/>
    <sheet name="41 cogd sif" sheetId="429" r:id="rId35"/>
    <sheet name="44 sp sif" sheetId="432" r:id="rId36"/>
    <sheet name="CAdmon" sheetId="235" r:id="rId37"/>
    <sheet name="16 ca sif" sheetId="416" r:id="rId38"/>
    <sheet name="18 casp sif" sheetId="417" r:id="rId39"/>
    <sheet name="42 cad sif" sheetId="430" r:id="rId40"/>
    <sheet name="CTG" sheetId="236" r:id="rId41"/>
    <sheet name="19 tg sif" sheetId="418" r:id="rId42"/>
    <sheet name="CFG" sheetId="238" r:id="rId43"/>
    <sheet name="21 cf sif " sheetId="420" r:id="rId44"/>
    <sheet name="43 cfd sif" sheetId="431" r:id="rId45"/>
    <sheet name="CProg" sheetId="241" r:id="rId46"/>
    <sheet name="25 cprog sif" sheetId="425" r:id="rId47"/>
    <sheet name="End Neto" sheetId="239" r:id="rId48"/>
    <sheet name="22 en sif" sheetId="421" r:id="rId49"/>
    <sheet name="Int" sheetId="423" r:id="rId50"/>
    <sheet name="Post Fiscal" sheetId="242" r:id="rId51"/>
    <sheet name="39 bp sif" sheetId="427" r:id="rId52"/>
    <sheet name="24 ffon sif" sheetId="424" r:id="rId53"/>
    <sheet name="Rel Cta Banc" sheetId="245" r:id="rId54"/>
    <sheet name="TERRENOS" sheetId="456" r:id="rId55"/>
    <sheet name="CARTERA" sheetId="457" r:id="rId56"/>
    <sheet name="INDICADORES" sheetId="211" r:id="rId57"/>
    <sheet name="FLUJO S.H." sheetId="328" r:id="rId58"/>
    <sheet name="RptEAA" sheetId="311" r:id="rId59"/>
  </sheets>
  <externalReferences>
    <externalReference r:id="rId60"/>
  </externalReferences>
  <definedNames>
    <definedName name="_xlnm.Print_Area" localSheetId="12">'1 ea sif'!$B$1:$F$73</definedName>
    <definedName name="_xlnm.Print_Area" localSheetId="20">'10 eaa sif'!$A$1:$H$39</definedName>
    <definedName name="_xlnm.Print_Area" localSheetId="22">'11 ead sif'!$B$1:$F$44</definedName>
    <definedName name="_xlnm.Print_Area" localSheetId="14">'2 esf sif'!$B$1:$H$59</definedName>
    <definedName name="_xlnm.Print_Area" localSheetId="24">'3 evhp sif'!$B$1:$G$47</definedName>
    <definedName name="_xlnm.Print_Area" localSheetId="18">'4 ecsf sif'!$A$1:$E$68</definedName>
    <definedName name="_xlnm.Print_Area" localSheetId="26">'5 efe sif'!$B$1:$D$74</definedName>
    <definedName name="_xlnm.Print_Area" localSheetId="0">BALANCE!$A$1:$E$47</definedName>
    <definedName name="_xlnm.Print_Area" localSheetId="32">COG!$B$1:$I$32</definedName>
    <definedName name="_xlnm.Print_Area" localSheetId="7">'CTAS BALANCE'!$A$1:$D$62</definedName>
    <definedName name="_xlnm.Print_Area" localSheetId="11">EA!$A$1:$K$61</definedName>
    <definedName name="_xlnm.Print_Area" localSheetId="19">EAA!$A$1:$I$42</definedName>
    <definedName name="_xlnm.Print_Area" localSheetId="21">EADP!$A$1:$J$53</definedName>
    <definedName name="_xlnm.Print_Area" localSheetId="27">EAI!$A$1:$J$65</definedName>
    <definedName name="_xlnm.Print_Area" localSheetId="17">ECSF!$A$1:$K$63</definedName>
    <definedName name="_xlnm.Print_Area" localSheetId="25">EFE!$A$1:$Q$57</definedName>
    <definedName name="_xlnm.Print_Area" localSheetId="6">EGRESOS!$A$1:$C$62</definedName>
    <definedName name="_xlnm.Print_Area" localSheetId="13">ESF!$A$1:$L$54</definedName>
    <definedName name="_xlnm.Print_Area" localSheetId="15">'ESF det'!$A$1:$L$101</definedName>
    <definedName name="_xlnm.Print_Area" localSheetId="23">EVHP!$A$1:$I$58</definedName>
    <definedName name="_xlnm.Print_Area" localSheetId="57">'FLUJO S.H.'!$A$1:$E$79</definedName>
    <definedName name="_xlnm.Print_Area" localSheetId="4">GRAFICAS!$A$1:$C$59</definedName>
    <definedName name="_xlnm.Print_Area" localSheetId="56">INDICADORES!$A$3:$H$57</definedName>
    <definedName name="_xlnm.Print_Area" localSheetId="5">INGRESOS!$A$1:$C$67</definedName>
    <definedName name="_xlnm.Print_Area" localSheetId="1">'PPTO RESULTADOS'!$A$1:$D$30</definedName>
    <definedName name="_xlnm.Print_Area" localSheetId="9">'PRESUP ORIGINAL'!$A$1:$Q$186</definedName>
    <definedName name="_xlnm.Print_Area" localSheetId="2">'RESULTADOS PARQUES'!$A$4:$J$49</definedName>
    <definedName name="_xlnm.Print_Area" localSheetId="3">'VARIACIONES EGRESOS'!$A$1:$S$192</definedName>
    <definedName name="_xlnm.Print_Titles" localSheetId="7">'CTAS BALANCE'!$1:$6</definedName>
    <definedName name="_xlnm.Print_Titles" localSheetId="6">EGRESOS!$7:$7</definedName>
    <definedName name="_xlnm.Print_Titles" localSheetId="57">'FLUJO S.H.'!$1:$10</definedName>
    <definedName name="_xlnm.Print_Titles" localSheetId="56">INDICADORES!$8:$8</definedName>
    <definedName name="_xlnm.Print_Titles" localSheetId="5">INGRESOS!#REF!</definedName>
  </definedNames>
  <calcPr calcId="181029"/>
</workbook>
</file>

<file path=xl/calcChain.xml><?xml version="1.0" encoding="utf-8"?>
<calcChain xmlns="http://schemas.openxmlformats.org/spreadsheetml/2006/main">
  <c r="F13" i="211" l="1"/>
  <c r="E13" i="211"/>
  <c r="G3183" i="457"/>
  <c r="F3183" i="457"/>
  <c r="G3181" i="457"/>
  <c r="G2691" i="457"/>
  <c r="G2567" i="457"/>
  <c r="G2460" i="457"/>
  <c r="N2038" i="457"/>
  <c r="N2048" i="457" s="1"/>
  <c r="O2051" i="457" s="1"/>
  <c r="L29" i="211"/>
  <c r="H20" i="239"/>
  <c r="H21" i="239"/>
  <c r="H22" i="239"/>
  <c r="Y395" i="456"/>
  <c r="U395" i="456"/>
  <c r="T395" i="456"/>
  <c r="S395" i="456"/>
  <c r="N395" i="456"/>
  <c r="D395" i="456"/>
  <c r="X394" i="456"/>
  <c r="X395" i="456" s="1"/>
  <c r="V394" i="456"/>
  <c r="V395" i="456" s="1"/>
  <c r="R394" i="456"/>
  <c r="Q394" i="456"/>
  <c r="P394" i="456"/>
  <c r="N394" i="456"/>
  <c r="M394" i="456"/>
  <c r="M395" i="456" s="1"/>
  <c r="L394" i="456"/>
  <c r="L395" i="456" s="1"/>
  <c r="W393" i="456"/>
  <c r="W391" i="456"/>
  <c r="O391" i="456"/>
  <c r="W390" i="456"/>
  <c r="O390" i="456"/>
  <c r="W389" i="456"/>
  <c r="O389" i="456"/>
  <c r="W388" i="456"/>
  <c r="O388" i="456"/>
  <c r="W387" i="456"/>
  <c r="O387" i="456"/>
  <c r="O394" i="456" s="1"/>
  <c r="O395" i="456" s="1"/>
  <c r="AH385" i="456"/>
  <c r="Y381" i="456"/>
  <c r="U381" i="456"/>
  <c r="T381" i="456"/>
  <c r="S381" i="456"/>
  <c r="N381" i="456"/>
  <c r="D381" i="456"/>
  <c r="X380" i="456"/>
  <c r="X381" i="456" s="1"/>
  <c r="V380" i="456"/>
  <c r="V381" i="456" s="1"/>
  <c r="R380" i="456"/>
  <c r="Q380" i="456"/>
  <c r="P380" i="456"/>
  <c r="N380" i="456"/>
  <c r="M380" i="456"/>
  <c r="M381" i="456" s="1"/>
  <c r="L380" i="456"/>
  <c r="L381" i="456" s="1"/>
  <c r="W379" i="456"/>
  <c r="W378" i="456"/>
  <c r="W377" i="456"/>
  <c r="O377" i="456"/>
  <c r="W376" i="456"/>
  <c r="O376" i="456"/>
  <c r="W375" i="456"/>
  <c r="O375" i="456"/>
  <c r="W374" i="456"/>
  <c r="O374" i="456"/>
  <c r="W373" i="456"/>
  <c r="O373" i="456"/>
  <c r="AH371" i="456"/>
  <c r="AG375" i="456" s="1"/>
  <c r="AH375" i="456" s="1"/>
  <c r="X365" i="456"/>
  <c r="V365" i="456"/>
  <c r="U365" i="456"/>
  <c r="T365" i="456"/>
  <c r="S365" i="456"/>
  <c r="R365" i="456"/>
  <c r="Q365" i="456"/>
  <c r="P365" i="456"/>
  <c r="M365" i="456"/>
  <c r="M366" i="456" s="1"/>
  <c r="Y359" i="456"/>
  <c r="Y365" i="456" s="1"/>
  <c r="W359" i="456"/>
  <c r="W365" i="456" s="1"/>
  <c r="O359" i="456"/>
  <c r="N359" i="456"/>
  <c r="N365" i="456" s="1"/>
  <c r="Y354" i="456"/>
  <c r="X354" i="456"/>
  <c r="X366" i="456" s="1"/>
  <c r="V354" i="456"/>
  <c r="U354" i="456"/>
  <c r="U366" i="456" s="1"/>
  <c r="T354" i="456"/>
  <c r="T366" i="456" s="1"/>
  <c r="S354" i="456"/>
  <c r="S366" i="456" s="1"/>
  <c r="Q354" i="456"/>
  <c r="Q366" i="456" s="1"/>
  <c r="P354" i="456"/>
  <c r="P366" i="456" s="1"/>
  <c r="O354" i="456"/>
  <c r="N354" i="456"/>
  <c r="AE353" i="456"/>
  <c r="W353" i="456"/>
  <c r="L353" i="456"/>
  <c r="W352" i="456"/>
  <c r="W351" i="456"/>
  <c r="W349" i="456"/>
  <c r="W348" i="456"/>
  <c r="W347" i="456"/>
  <c r="W346" i="456"/>
  <c r="W345" i="456"/>
  <c r="W344" i="456"/>
  <c r="W354" i="456" s="1"/>
  <c r="W366" i="456" s="1"/>
  <c r="AH342" i="456"/>
  <c r="AG351" i="456" s="1"/>
  <c r="AH351" i="456" s="1"/>
  <c r="U337" i="456"/>
  <c r="T337" i="456"/>
  <c r="S337" i="456"/>
  <c r="Y336" i="456"/>
  <c r="Y337" i="456" s="1"/>
  <c r="X336" i="456"/>
  <c r="X337" i="456" s="1"/>
  <c r="W336" i="456"/>
  <c r="W337" i="456" s="1"/>
  <c r="V336" i="456"/>
  <c r="V337" i="456" s="1"/>
  <c r="R336" i="456"/>
  <c r="Q336" i="456"/>
  <c r="P336" i="456"/>
  <c r="O336" i="456"/>
  <c r="O337" i="456" s="1"/>
  <c r="N336" i="456"/>
  <c r="N337" i="456" s="1"/>
  <c r="M336" i="456"/>
  <c r="M337" i="456" s="1"/>
  <c r="L336" i="456"/>
  <c r="L337" i="456" s="1"/>
  <c r="S335" i="456"/>
  <c r="AD328" i="456"/>
  <c r="AC328" i="456"/>
  <c r="AB328" i="456"/>
  <c r="AA328" i="456"/>
  <c r="Z328" i="456"/>
  <c r="Y328" i="456"/>
  <c r="U328" i="456"/>
  <c r="T328" i="456"/>
  <c r="S328" i="456"/>
  <c r="N328" i="456"/>
  <c r="Y327" i="456"/>
  <c r="X327" i="456"/>
  <c r="X328" i="456" s="1"/>
  <c r="V327" i="456"/>
  <c r="V328" i="456" s="1"/>
  <c r="Q327" i="456"/>
  <c r="P327" i="456"/>
  <c r="N327" i="456"/>
  <c r="M327" i="456"/>
  <c r="M328" i="456" s="1"/>
  <c r="L327" i="456"/>
  <c r="L328" i="456" s="1"/>
  <c r="R326" i="456"/>
  <c r="Q326" i="456"/>
  <c r="S326" i="456" s="1"/>
  <c r="O326" i="456"/>
  <c r="O327" i="456" s="1"/>
  <c r="O328" i="456" s="1"/>
  <c r="X319" i="456"/>
  <c r="U319" i="456"/>
  <c r="T319" i="456"/>
  <c r="S319" i="456"/>
  <c r="M319" i="456"/>
  <c r="Y318" i="456"/>
  <c r="Y319" i="456" s="1"/>
  <c r="X318" i="456"/>
  <c r="V318" i="456"/>
  <c r="V319" i="456" s="1"/>
  <c r="P318" i="456"/>
  <c r="N318" i="456"/>
  <c r="N319" i="456" s="1"/>
  <c r="M318" i="456"/>
  <c r="L318" i="456"/>
  <c r="L319" i="456" s="1"/>
  <c r="W317" i="456"/>
  <c r="R317" i="456"/>
  <c r="Q317" i="456"/>
  <c r="S317" i="456" s="1"/>
  <c r="O317" i="456"/>
  <c r="O318" i="456" s="1"/>
  <c r="O319" i="456" s="1"/>
  <c r="R316" i="456"/>
  <c r="Q316" i="456"/>
  <c r="O316" i="456"/>
  <c r="T309" i="456"/>
  <c r="Y308" i="456"/>
  <c r="Y309" i="456" s="1"/>
  <c r="X308" i="456"/>
  <c r="X309" i="456" s="1"/>
  <c r="V308" i="456"/>
  <c r="V309" i="456" s="1"/>
  <c r="U308" i="456"/>
  <c r="U309" i="456" s="1"/>
  <c r="T308" i="456"/>
  <c r="P308" i="456"/>
  <c r="N308" i="456"/>
  <c r="N309" i="456" s="1"/>
  <c r="M308" i="456"/>
  <c r="M309" i="456" s="1"/>
  <c r="L308" i="456"/>
  <c r="L309" i="456" s="1"/>
  <c r="W306" i="456"/>
  <c r="O306" i="456"/>
  <c r="R305" i="456"/>
  <c r="Q305" i="456"/>
  <c r="Q308" i="456" s="1"/>
  <c r="O305" i="456"/>
  <c r="O308" i="456" s="1"/>
  <c r="O309" i="456" s="1"/>
  <c r="K298" i="456"/>
  <c r="K297" i="456"/>
  <c r="Y294" i="456"/>
  <c r="X294" i="456"/>
  <c r="V294" i="456"/>
  <c r="V295" i="456" s="1"/>
  <c r="U294" i="456"/>
  <c r="T294" i="456"/>
  <c r="S294" i="456"/>
  <c r="R294" i="456"/>
  <c r="Q294" i="456"/>
  <c r="P294" i="456"/>
  <c r="O294" i="456"/>
  <c r="M294" i="456"/>
  <c r="M295" i="456" s="1"/>
  <c r="L294" i="456"/>
  <c r="L295" i="456" s="1"/>
  <c r="W285" i="456"/>
  <c r="W294" i="456" s="1"/>
  <c r="N285" i="456"/>
  <c r="N294" i="456" s="1"/>
  <c r="Y281" i="456"/>
  <c r="Y295" i="456" s="1"/>
  <c r="X281" i="456"/>
  <c r="X295" i="456" s="1"/>
  <c r="V281" i="456"/>
  <c r="U281" i="456"/>
  <c r="U295" i="456" s="1"/>
  <c r="T281" i="456"/>
  <c r="T295" i="456" s="1"/>
  <c r="Q281" i="456"/>
  <c r="Q295" i="456" s="1"/>
  <c r="P281" i="456"/>
  <c r="P295" i="456" s="1"/>
  <c r="O281" i="456"/>
  <c r="O295" i="456" s="1"/>
  <c r="W278" i="456"/>
  <c r="N278" i="456"/>
  <c r="W276" i="456"/>
  <c r="N276" i="456"/>
  <c r="AF276" i="456" s="1"/>
  <c r="W275" i="456"/>
  <c r="N275" i="456"/>
  <c r="AF275" i="456" s="1"/>
  <c r="W274" i="456"/>
  <c r="N274" i="456"/>
  <c r="AF274" i="456" s="1"/>
  <c r="W273" i="456"/>
  <c r="N273" i="456"/>
  <c r="AF273" i="456" s="1"/>
  <c r="W272" i="456"/>
  <c r="N272" i="456"/>
  <c r="AF272" i="456" s="1"/>
  <c r="W271" i="456"/>
  <c r="N271" i="456"/>
  <c r="AF271" i="456" s="1"/>
  <c r="W270" i="456"/>
  <c r="N270" i="456"/>
  <c r="AF270" i="456" s="1"/>
  <c r="W269" i="456"/>
  <c r="N269" i="456"/>
  <c r="AF269" i="456" s="1"/>
  <c r="W268" i="456"/>
  <c r="N268" i="456"/>
  <c r="AF268" i="456" s="1"/>
  <c r="AF267" i="456"/>
  <c r="W267" i="456"/>
  <c r="N267" i="456"/>
  <c r="W266" i="456"/>
  <c r="N266" i="456"/>
  <c r="AF266" i="456" s="1"/>
  <c r="W265" i="456"/>
  <c r="N265" i="456"/>
  <c r="AF265" i="456" s="1"/>
  <c r="W264" i="456"/>
  <c r="N264" i="456"/>
  <c r="AF264" i="456" s="1"/>
  <c r="AF263" i="456"/>
  <c r="W263" i="456"/>
  <c r="AF262" i="456"/>
  <c r="W262" i="456"/>
  <c r="W261" i="456"/>
  <c r="N261" i="456"/>
  <c r="AF261" i="456" s="1"/>
  <c r="AF260" i="456"/>
  <c r="W260" i="456"/>
  <c r="N260" i="456"/>
  <c r="AF259" i="456"/>
  <c r="W259" i="456"/>
  <c r="AF258" i="456"/>
  <c r="W258" i="456"/>
  <c r="W257" i="456"/>
  <c r="N257" i="456"/>
  <c r="AF257" i="456" s="1"/>
  <c r="W256" i="456"/>
  <c r="N256" i="456"/>
  <c r="AF256" i="456" s="1"/>
  <c r="AF255" i="456"/>
  <c r="W255" i="456"/>
  <c r="N255" i="456"/>
  <c r="AF254" i="456"/>
  <c r="W254" i="456"/>
  <c r="AF253" i="456"/>
  <c r="W253" i="456"/>
  <c r="W252" i="456"/>
  <c r="N252" i="456"/>
  <c r="AF252" i="456" s="1"/>
  <c r="AF251" i="456"/>
  <c r="W251" i="456"/>
  <c r="W250" i="456"/>
  <c r="N250" i="456"/>
  <c r="AF250" i="456" s="1"/>
  <c r="AF249" i="456"/>
  <c r="W248" i="456"/>
  <c r="N248" i="456"/>
  <c r="AF248" i="456" s="1"/>
  <c r="W247" i="456"/>
  <c r="N247" i="456"/>
  <c r="AF247" i="456" s="1"/>
  <c r="W246" i="456"/>
  <c r="N246" i="456"/>
  <c r="AF246" i="456" s="1"/>
  <c r="AF245" i="456"/>
  <c r="W245" i="456"/>
  <c r="AF244" i="456"/>
  <c r="W244" i="456"/>
  <c r="N244" i="456"/>
  <c r="AF243" i="456"/>
  <c r="W243" i="456"/>
  <c r="AF242" i="456"/>
  <c r="W242" i="456"/>
  <c r="W241" i="456"/>
  <c r="N241" i="456"/>
  <c r="R240" i="456"/>
  <c r="N240" i="456"/>
  <c r="R239" i="456"/>
  <c r="N239" i="456"/>
  <c r="AH234" i="456"/>
  <c r="U230" i="456"/>
  <c r="Y229" i="456"/>
  <c r="Y230" i="456" s="1"/>
  <c r="X229" i="456"/>
  <c r="X230" i="456" s="1"/>
  <c r="V229" i="456"/>
  <c r="V230" i="456" s="1"/>
  <c r="U229" i="456"/>
  <c r="T229" i="456"/>
  <c r="T230" i="456" s="1"/>
  <c r="R229" i="456"/>
  <c r="Q229" i="456"/>
  <c r="P229" i="456"/>
  <c r="O229" i="456"/>
  <c r="O230" i="456" s="1"/>
  <c r="N229" i="456"/>
  <c r="N230" i="456" s="1"/>
  <c r="M229" i="456"/>
  <c r="M230" i="456" s="1"/>
  <c r="L229" i="456"/>
  <c r="L230" i="456" s="1"/>
  <c r="W223" i="456"/>
  <c r="W229" i="456" s="1"/>
  <c r="W230" i="456" s="1"/>
  <c r="S223" i="456"/>
  <c r="S229" i="456" s="1"/>
  <c r="O223" i="456"/>
  <c r="Y216" i="456"/>
  <c r="Y217" i="456" s="1"/>
  <c r="U216" i="456"/>
  <c r="T216" i="456"/>
  <c r="P216" i="456"/>
  <c r="M216" i="456"/>
  <c r="M217" i="456" s="1"/>
  <c r="X214" i="456"/>
  <c r="R214" i="456"/>
  <c r="Q214" i="456"/>
  <c r="S214" i="456" s="1"/>
  <c r="N214" i="456"/>
  <c r="AE214" i="456" s="1"/>
  <c r="R213" i="456"/>
  <c r="X213" i="456" s="1"/>
  <c r="N213" i="456"/>
  <c r="AE213" i="456" s="1"/>
  <c r="S212" i="456"/>
  <c r="S216" i="456" s="1"/>
  <c r="R212" i="456"/>
  <c r="X212" i="456" s="1"/>
  <c r="Q212" i="456"/>
  <c r="Q216" i="456" s="1"/>
  <c r="N212" i="456"/>
  <c r="AE212" i="456" s="1"/>
  <c r="R211" i="456"/>
  <c r="V211" i="456" s="1"/>
  <c r="N211" i="456"/>
  <c r="AE211" i="456" s="1"/>
  <c r="M210" i="456"/>
  <c r="W209" i="456"/>
  <c r="W216" i="456" s="1"/>
  <c r="W217" i="456" s="1"/>
  <c r="R209" i="456"/>
  <c r="O209" i="456"/>
  <c r="L209" i="456"/>
  <c r="L216" i="456" s="1"/>
  <c r="L217" i="456" s="1"/>
  <c r="AD201" i="456"/>
  <c r="AC201" i="456"/>
  <c r="AB201" i="456"/>
  <c r="AA201" i="456"/>
  <c r="Z201" i="456"/>
  <c r="U201" i="456"/>
  <c r="T201" i="456"/>
  <c r="Y200" i="456"/>
  <c r="X200" i="456"/>
  <c r="P200" i="456"/>
  <c r="N200" i="456"/>
  <c r="M200" i="456"/>
  <c r="V199" i="456"/>
  <c r="V200" i="456" s="1"/>
  <c r="S199" i="456"/>
  <c r="R199" i="456"/>
  <c r="O199" i="456"/>
  <c r="M199" i="456"/>
  <c r="W198" i="456"/>
  <c r="R198" i="456"/>
  <c r="W197" i="456"/>
  <c r="R197" i="456"/>
  <c r="Q197" i="456"/>
  <c r="S197" i="456" s="1"/>
  <c r="O197" i="456"/>
  <c r="L197" i="456"/>
  <c r="L200" i="456" s="1"/>
  <c r="R196" i="456"/>
  <c r="W196" i="456" s="1"/>
  <c r="W200" i="456" s="1"/>
  <c r="Q196" i="456"/>
  <c r="S196" i="456" s="1"/>
  <c r="X192" i="456"/>
  <c r="M192" i="456"/>
  <c r="M201" i="456" s="1"/>
  <c r="L192" i="456"/>
  <c r="W191" i="456"/>
  <c r="S191" i="456"/>
  <c r="O191" i="456"/>
  <c r="O192" i="456" s="1"/>
  <c r="L191" i="456"/>
  <c r="R191" i="456" s="1"/>
  <c r="AE190" i="456"/>
  <c r="S190" i="456"/>
  <c r="R190" i="456"/>
  <c r="W190" i="456" s="1"/>
  <c r="AE189" i="456"/>
  <c r="S189" i="456"/>
  <c r="R189" i="456"/>
  <c r="W189" i="456" s="1"/>
  <c r="AE188" i="456"/>
  <c r="W188" i="456"/>
  <c r="S188" i="456"/>
  <c r="R188" i="456"/>
  <c r="AE187" i="456"/>
  <c r="W187" i="456"/>
  <c r="S187" i="456"/>
  <c r="R187" i="456"/>
  <c r="AE186" i="456"/>
  <c r="S186" i="456"/>
  <c r="R186" i="456"/>
  <c r="W186" i="456" s="1"/>
  <c r="AE185" i="456"/>
  <c r="S185" i="456"/>
  <c r="R185" i="456"/>
  <c r="W185" i="456" s="1"/>
  <c r="AE184" i="456"/>
  <c r="S184" i="456"/>
  <c r="R184" i="456"/>
  <c r="W184" i="456" s="1"/>
  <c r="AE183" i="456"/>
  <c r="S183" i="456"/>
  <c r="R183" i="456"/>
  <c r="W183" i="456" s="1"/>
  <c r="Q183" i="456"/>
  <c r="AE182" i="456"/>
  <c r="S182" i="456"/>
  <c r="R182" i="456"/>
  <c r="W182" i="456" s="1"/>
  <c r="AE181" i="456"/>
  <c r="S181" i="456"/>
  <c r="R181" i="456"/>
  <c r="W181" i="456" s="1"/>
  <c r="AE180" i="456"/>
  <c r="S180" i="456"/>
  <c r="R180" i="456"/>
  <c r="W180" i="456" s="1"/>
  <c r="AE179" i="456"/>
  <c r="S179" i="456"/>
  <c r="R179" i="456"/>
  <c r="W179" i="456" s="1"/>
  <c r="AE178" i="456"/>
  <c r="S178" i="456"/>
  <c r="R178" i="456"/>
  <c r="W178" i="456" s="1"/>
  <c r="AE177" i="456"/>
  <c r="W177" i="456"/>
  <c r="S177" i="456"/>
  <c r="R177" i="456"/>
  <c r="AE176" i="456"/>
  <c r="S176" i="456"/>
  <c r="R176" i="456"/>
  <c r="W176" i="456" s="1"/>
  <c r="AE175" i="456"/>
  <c r="Q175" i="456"/>
  <c r="S175" i="456" s="1"/>
  <c r="P175" i="456"/>
  <c r="AE174" i="456"/>
  <c r="Q174" i="456"/>
  <c r="P174" i="456"/>
  <c r="R174" i="456" s="1"/>
  <c r="W174" i="456" s="1"/>
  <c r="AE173" i="456"/>
  <c r="Q173" i="456"/>
  <c r="P173" i="456"/>
  <c r="R173" i="456" s="1"/>
  <c r="W173" i="456" s="1"/>
  <c r="AE172" i="456"/>
  <c r="Y172" i="456"/>
  <c r="S172" i="456"/>
  <c r="R172" i="456"/>
  <c r="AE171" i="456"/>
  <c r="S171" i="456"/>
  <c r="R171" i="456"/>
  <c r="W171" i="456" s="1"/>
  <c r="AE170" i="456"/>
  <c r="W170" i="456"/>
  <c r="S170" i="456"/>
  <c r="R170" i="456"/>
  <c r="AE169" i="456"/>
  <c r="S169" i="456"/>
  <c r="R169" i="456"/>
  <c r="W169" i="456" s="1"/>
  <c r="AE168" i="456"/>
  <c r="R168" i="456"/>
  <c r="W168" i="456" s="1"/>
  <c r="Q168" i="456"/>
  <c r="S168" i="456" s="1"/>
  <c r="AE167" i="456"/>
  <c r="S167" i="456"/>
  <c r="R167" i="456"/>
  <c r="Y167" i="456" s="1"/>
  <c r="Q167" i="456"/>
  <c r="AE166" i="456"/>
  <c r="R166" i="456"/>
  <c r="Y166" i="456" s="1"/>
  <c r="Q166" i="456"/>
  <c r="S165" i="456"/>
  <c r="R165" i="456"/>
  <c r="Y165" i="456" s="1"/>
  <c r="Y192" i="456" s="1"/>
  <c r="Y201" i="456" s="1"/>
  <c r="N165" i="456"/>
  <c r="N192" i="456" s="1"/>
  <c r="AE164" i="456"/>
  <c r="S164" i="456"/>
  <c r="R164" i="456"/>
  <c r="V164" i="456" s="1"/>
  <c r="V192" i="456" s="1"/>
  <c r="V201" i="456" s="1"/>
  <c r="X155" i="456"/>
  <c r="Q155" i="456"/>
  <c r="P155" i="456"/>
  <c r="M155" i="456"/>
  <c r="Y154" i="456"/>
  <c r="Y155" i="456" s="1"/>
  <c r="W153" i="456"/>
  <c r="N153" i="456"/>
  <c r="N155" i="456" s="1"/>
  <c r="N156" i="456" s="1"/>
  <c r="N152" i="456"/>
  <c r="S151" i="456"/>
  <c r="O151" i="456"/>
  <c r="O155" i="456" s="1"/>
  <c r="L151" i="456"/>
  <c r="L155" i="456" s="1"/>
  <c r="L156" i="456" s="1"/>
  <c r="S150" i="456"/>
  <c r="R150" i="456"/>
  <c r="V150" i="456" s="1"/>
  <c r="V155" i="456" s="1"/>
  <c r="X149" i="456"/>
  <c r="V149" i="456"/>
  <c r="Q149" i="456"/>
  <c r="P149" i="456"/>
  <c r="M149" i="456"/>
  <c r="L149" i="456"/>
  <c r="AE148" i="456"/>
  <c r="W148" i="456"/>
  <c r="R148" i="456"/>
  <c r="AE147" i="456"/>
  <c r="R147" i="456"/>
  <c r="W147" i="456" s="1"/>
  <c r="AE146" i="456"/>
  <c r="R146" i="456"/>
  <c r="W146" i="456" s="1"/>
  <c r="R145" i="456"/>
  <c r="Y145" i="456" s="1"/>
  <c r="R144" i="456"/>
  <c r="Y144" i="456" s="1"/>
  <c r="S143" i="456"/>
  <c r="R143" i="456"/>
  <c r="V143" i="456" s="1"/>
  <c r="R142" i="456"/>
  <c r="W142" i="456" s="1"/>
  <c r="O142" i="456"/>
  <c r="AE142" i="456" s="1"/>
  <c r="W141" i="456"/>
  <c r="R141" i="456"/>
  <c r="O141" i="456"/>
  <c r="O149" i="456" s="1"/>
  <c r="R140" i="456"/>
  <c r="Y140" i="456" s="1"/>
  <c r="R139" i="456"/>
  <c r="Y139" i="456" s="1"/>
  <c r="R138" i="456"/>
  <c r="Y138" i="456" s="1"/>
  <c r="R137" i="456"/>
  <c r="N137" i="456"/>
  <c r="N149" i="456" s="1"/>
  <c r="U130" i="456"/>
  <c r="T130" i="456"/>
  <c r="M130" i="456"/>
  <c r="X129" i="456"/>
  <c r="X130" i="456" s="1"/>
  <c r="W129" i="456"/>
  <c r="W130" i="456" s="1"/>
  <c r="P129" i="456"/>
  <c r="P130" i="456" s="1"/>
  <c r="O129" i="456"/>
  <c r="O130" i="456" s="1"/>
  <c r="M129" i="456"/>
  <c r="Y127" i="456"/>
  <c r="N126" i="456"/>
  <c r="R126" i="456" s="1"/>
  <c r="V126" i="456" s="1"/>
  <c r="N125" i="456"/>
  <c r="AC124" i="456"/>
  <c r="R124" i="456"/>
  <c r="Y124" i="456" s="1"/>
  <c r="Q124" i="456"/>
  <c r="S124" i="456" s="1"/>
  <c r="N123" i="456"/>
  <c r="R122" i="456"/>
  <c r="V122" i="456" s="1"/>
  <c r="R121" i="456"/>
  <c r="V121" i="456" s="1"/>
  <c r="Y120" i="456"/>
  <c r="R120" i="456"/>
  <c r="Q120" i="456"/>
  <c r="S120" i="456" s="1"/>
  <c r="N120" i="456"/>
  <c r="Y119" i="456"/>
  <c r="R119" i="456"/>
  <c r="Q119" i="456"/>
  <c r="S119" i="456" s="1"/>
  <c r="N119" i="456"/>
  <c r="Y118" i="456"/>
  <c r="R118" i="456"/>
  <c r="Q118" i="456"/>
  <c r="S118" i="456" s="1"/>
  <c r="N118" i="456"/>
  <c r="Y117" i="456"/>
  <c r="R117" i="456"/>
  <c r="Q117" i="456"/>
  <c r="S117" i="456" s="1"/>
  <c r="N117" i="456"/>
  <c r="Y116" i="456"/>
  <c r="R116" i="456"/>
  <c r="Q116" i="456"/>
  <c r="S116" i="456" s="1"/>
  <c r="N116" i="456"/>
  <c r="Y115" i="456"/>
  <c r="R115" i="456"/>
  <c r="Q115" i="456"/>
  <c r="S115" i="456" s="1"/>
  <c r="N115" i="456"/>
  <c r="Y114" i="456"/>
  <c r="R114" i="456"/>
  <c r="Q114" i="456"/>
  <c r="S114" i="456" s="1"/>
  <c r="N114" i="456"/>
  <c r="V113" i="456"/>
  <c r="S113" i="456"/>
  <c r="R113" i="456"/>
  <c r="AC112" i="456"/>
  <c r="S112" i="456"/>
  <c r="R112" i="456"/>
  <c r="Y112" i="456" s="1"/>
  <c r="AC111" i="456"/>
  <c r="Y111" i="456"/>
  <c r="S111" i="456"/>
  <c r="R111" i="456"/>
  <c r="Q111" i="456"/>
  <c r="Q129" i="456" s="1"/>
  <c r="Q130" i="456" s="1"/>
  <c r="AC110" i="456"/>
  <c r="S110" i="456"/>
  <c r="R110" i="456"/>
  <c r="Y110" i="456" s="1"/>
  <c r="AC109" i="456"/>
  <c r="Y109" i="456"/>
  <c r="R109" i="456"/>
  <c r="N109" i="456"/>
  <c r="S108" i="456"/>
  <c r="R108" i="456"/>
  <c r="V108" i="456" s="1"/>
  <c r="R107" i="456"/>
  <c r="V107" i="456" s="1"/>
  <c r="R106" i="456"/>
  <c r="V106" i="456" s="1"/>
  <c r="R105" i="456"/>
  <c r="V105" i="456" s="1"/>
  <c r="R104" i="456"/>
  <c r="V104" i="456" s="1"/>
  <c r="R103" i="456"/>
  <c r="V103" i="456" s="1"/>
  <c r="N102" i="456"/>
  <c r="AQ101" i="456"/>
  <c r="AC101" i="456"/>
  <c r="Y101" i="456"/>
  <c r="N101" i="456"/>
  <c r="R101" i="456" s="1"/>
  <c r="L101" i="456"/>
  <c r="L129" i="456" s="1"/>
  <c r="L130" i="456" s="1"/>
  <c r="V100" i="456"/>
  <c r="S100" i="456"/>
  <c r="R100" i="456"/>
  <c r="N100" i="456"/>
  <c r="S99" i="456"/>
  <c r="R99" i="456"/>
  <c r="Y99" i="456" s="1"/>
  <c r="N99" i="456"/>
  <c r="S98" i="456"/>
  <c r="R98" i="456"/>
  <c r="V98" i="456" s="1"/>
  <c r="U91" i="456"/>
  <c r="T91" i="456"/>
  <c r="M91" i="456"/>
  <c r="Y90" i="456"/>
  <c r="X90" i="456"/>
  <c r="V90" i="456"/>
  <c r="P90" i="456"/>
  <c r="N90" i="456"/>
  <c r="M90" i="456"/>
  <c r="L90" i="456"/>
  <c r="R89" i="456"/>
  <c r="W89" i="456" s="1"/>
  <c r="W90" i="456" s="1"/>
  <c r="Q89" i="456"/>
  <c r="O89" i="456"/>
  <c r="O90" i="456" s="1"/>
  <c r="Y84" i="456"/>
  <c r="X84" i="456"/>
  <c r="V84" i="456"/>
  <c r="Q84" i="456"/>
  <c r="P84" i="456"/>
  <c r="N84" i="456"/>
  <c r="M84" i="456"/>
  <c r="L84" i="456"/>
  <c r="S83" i="456"/>
  <c r="R83" i="456"/>
  <c r="W83" i="456" s="1"/>
  <c r="W84" i="456" s="1"/>
  <c r="O83" i="456"/>
  <c r="O84" i="456" s="1"/>
  <c r="X78" i="456"/>
  <c r="W78" i="456"/>
  <c r="V78" i="456"/>
  <c r="R78" i="456"/>
  <c r="Q78" i="456"/>
  <c r="P78" i="456"/>
  <c r="O78" i="456"/>
  <c r="N78" i="456"/>
  <c r="M78" i="456"/>
  <c r="L78" i="456"/>
  <c r="Y77" i="456"/>
  <c r="Y78" i="456" s="1"/>
  <c r="Y91" i="456" s="1"/>
  <c r="S77" i="456"/>
  <c r="R77" i="456"/>
  <c r="O77" i="456"/>
  <c r="Y72" i="456"/>
  <c r="X72" i="456"/>
  <c r="V72" i="456"/>
  <c r="Q72" i="456"/>
  <c r="P72" i="456"/>
  <c r="N72" i="456"/>
  <c r="M72" i="456"/>
  <c r="O71" i="456"/>
  <c r="L71" i="456"/>
  <c r="R71" i="456" s="1"/>
  <c r="W71" i="456" s="1"/>
  <c r="AE71" i="456" s="1"/>
  <c r="L70" i="456"/>
  <c r="Y66" i="456"/>
  <c r="X66" i="456"/>
  <c r="X91" i="456" s="1"/>
  <c r="W66" i="456"/>
  <c r="Q66" i="456"/>
  <c r="P66" i="456"/>
  <c r="O66" i="456"/>
  <c r="M66" i="456"/>
  <c r="L66" i="456"/>
  <c r="AE65" i="456"/>
  <c r="V65" i="456"/>
  <c r="S65" i="456"/>
  <c r="R65" i="456"/>
  <c r="N65" i="456"/>
  <c r="AE64" i="456"/>
  <c r="S64" i="456"/>
  <c r="R64" i="456"/>
  <c r="N64" i="456"/>
  <c r="N66" i="456" s="1"/>
  <c r="N91" i="456" s="1"/>
  <c r="W59" i="456"/>
  <c r="M56" i="456"/>
  <c r="Y54" i="456"/>
  <c r="X54" i="456"/>
  <c r="X56" i="456" s="1"/>
  <c r="V54" i="456"/>
  <c r="U54" i="456"/>
  <c r="T54" i="456"/>
  <c r="S54" i="456"/>
  <c r="R54" i="456"/>
  <c r="Q54" i="456"/>
  <c r="P54" i="456"/>
  <c r="P56" i="456" s="1"/>
  <c r="N54" i="456"/>
  <c r="W52" i="456"/>
  <c r="W54" i="456" s="1"/>
  <c r="O52" i="456"/>
  <c r="O54" i="456" s="1"/>
  <c r="X47" i="456"/>
  <c r="U47" i="456"/>
  <c r="U56" i="456" s="1"/>
  <c r="T47" i="456"/>
  <c r="P47" i="456"/>
  <c r="AE45" i="456"/>
  <c r="W45" i="456"/>
  <c r="AE44" i="456"/>
  <c r="W44" i="456"/>
  <c r="AE43" i="456"/>
  <c r="W43" i="456"/>
  <c r="AE42" i="456"/>
  <c r="W42" i="456"/>
  <c r="AE41" i="456"/>
  <c r="W41" i="456"/>
  <c r="W40" i="456"/>
  <c r="O40" i="456"/>
  <c r="AE40" i="456" s="1"/>
  <c r="R39" i="456"/>
  <c r="W39" i="456" s="1"/>
  <c r="O39" i="456"/>
  <c r="Q39" i="456" s="1"/>
  <c r="R38" i="456"/>
  <c r="Q38" i="456"/>
  <c r="O38" i="456"/>
  <c r="AE38" i="456" s="1"/>
  <c r="W37" i="456"/>
  <c r="S37" i="456"/>
  <c r="O37" i="456"/>
  <c r="AE37" i="456" s="1"/>
  <c r="AE36" i="456"/>
  <c r="W36" i="456"/>
  <c r="S36" i="456"/>
  <c r="O36" i="456"/>
  <c r="W35" i="456"/>
  <c r="S35" i="456"/>
  <c r="O35" i="456"/>
  <c r="AE35" i="456" s="1"/>
  <c r="L35" i="456"/>
  <c r="R34" i="456"/>
  <c r="V34" i="456" s="1"/>
  <c r="V47" i="456" s="1"/>
  <c r="V56" i="456" s="1"/>
  <c r="O34" i="456"/>
  <c r="AE34" i="456" s="1"/>
  <c r="R33" i="456"/>
  <c r="Y33" i="456" s="1"/>
  <c r="Q33" i="456"/>
  <c r="S33" i="456" s="1"/>
  <c r="N33" i="456"/>
  <c r="AE33" i="456" s="1"/>
  <c r="S32" i="456"/>
  <c r="R32" i="456"/>
  <c r="Y32" i="456" s="1"/>
  <c r="Q32" i="456"/>
  <c r="N32" i="456"/>
  <c r="AE32" i="456" s="1"/>
  <c r="Y31" i="456"/>
  <c r="R31" i="456"/>
  <c r="L31" i="456"/>
  <c r="R30" i="456"/>
  <c r="Y30" i="456" s="1"/>
  <c r="Y47" i="456" s="1"/>
  <c r="Y56" i="456" s="1"/>
  <c r="Q30" i="456"/>
  <c r="S30" i="456" s="1"/>
  <c r="N30" i="456"/>
  <c r="Y26" i="456"/>
  <c r="X26" i="456"/>
  <c r="V26" i="456"/>
  <c r="R26" i="456"/>
  <c r="O26" i="456"/>
  <c r="N26" i="456"/>
  <c r="M26" i="456"/>
  <c r="L26" i="456"/>
  <c r="W25" i="456"/>
  <c r="W26" i="456" s="1"/>
  <c r="S25" i="456"/>
  <c r="R25" i="456"/>
  <c r="O25" i="456"/>
  <c r="X21" i="456"/>
  <c r="X57" i="456" s="1"/>
  <c r="W21" i="456"/>
  <c r="U21" i="456"/>
  <c r="U57" i="456" s="1"/>
  <c r="T21" i="456"/>
  <c r="Q21" i="456"/>
  <c r="P21" i="456"/>
  <c r="O21" i="456"/>
  <c r="M21" i="456"/>
  <c r="M57" i="456" s="1"/>
  <c r="L21" i="456"/>
  <c r="AE20" i="456"/>
  <c r="Y20" i="456"/>
  <c r="N20" i="456"/>
  <c r="AE19" i="456"/>
  <c r="V19" i="456"/>
  <c r="D19" i="456"/>
  <c r="R18" i="456"/>
  <c r="Y18" i="456" s="1"/>
  <c r="Q18" i="456"/>
  <c r="N18" i="456"/>
  <c r="AE18" i="456" s="1"/>
  <c r="S17" i="456"/>
  <c r="R17" i="456"/>
  <c r="Y17" i="456" s="1"/>
  <c r="N17" i="456"/>
  <c r="AE17" i="456" s="1"/>
  <c r="S16" i="456"/>
  <c r="R16" i="456"/>
  <c r="V16" i="456" s="1"/>
  <c r="N16" i="456"/>
  <c r="AE16" i="456" s="1"/>
  <c r="S15" i="456"/>
  <c r="R15" i="456"/>
  <c r="V15" i="456" s="1"/>
  <c r="N15" i="456"/>
  <c r="AE15" i="456" s="1"/>
  <c r="R14" i="456"/>
  <c r="V14" i="456" s="1"/>
  <c r="N14" i="456"/>
  <c r="AE14" i="456" s="1"/>
  <c r="S13" i="456"/>
  <c r="R13" i="456"/>
  <c r="V13" i="456" s="1"/>
  <c r="N13" i="456"/>
  <c r="AE13" i="456" s="1"/>
  <c r="V12" i="456"/>
  <c r="S12" i="456"/>
  <c r="R12" i="456"/>
  <c r="N12" i="456"/>
  <c r="AE12" i="456" s="1"/>
  <c r="V11" i="456"/>
  <c r="S11" i="456"/>
  <c r="R11" i="456"/>
  <c r="N11" i="456"/>
  <c r="AE11" i="456" s="1"/>
  <c r="AE10" i="456"/>
  <c r="Y10" i="456"/>
  <c r="S9" i="456"/>
  <c r="R9" i="456"/>
  <c r="V9" i="456" s="1"/>
  <c r="N9" i="456"/>
  <c r="AE9" i="456" s="1"/>
  <c r="S8" i="456"/>
  <c r="R8" i="456"/>
  <c r="N8" i="456"/>
  <c r="AE8" i="456" s="1"/>
  <c r="AE7" i="456"/>
  <c r="V7" i="456"/>
  <c r="S7" i="456"/>
  <c r="N7" i="456"/>
  <c r="I7" i="311"/>
  <c r="I8" i="311"/>
  <c r="I9" i="311"/>
  <c r="I10" i="311"/>
  <c r="I11" i="311"/>
  <c r="I12" i="311"/>
  <c r="I13" i="311"/>
  <c r="I14" i="311"/>
  <c r="I15" i="311"/>
  <c r="I16" i="311"/>
  <c r="I17" i="311"/>
  <c r="I18" i="311"/>
  <c r="E7" i="247"/>
  <c r="D7" i="247"/>
  <c r="C18" i="28"/>
  <c r="C13" i="28"/>
  <c r="R155" i="186"/>
  <c r="R161" i="186"/>
  <c r="R175" i="186"/>
  <c r="R167" i="186"/>
  <c r="R162" i="186"/>
  <c r="R164" i="186"/>
  <c r="R137" i="186"/>
  <c r="Q189" i="186"/>
  <c r="Q187" i="186"/>
  <c r="Q185" i="186"/>
  <c r="Q183" i="186"/>
  <c r="Q182" i="186"/>
  <c r="Q180" i="186"/>
  <c r="Q179" i="186"/>
  <c r="Q178" i="186"/>
  <c r="Q176" i="186"/>
  <c r="Q175" i="186"/>
  <c r="Q174" i="186"/>
  <c r="Q173" i="186"/>
  <c r="Q172" i="186"/>
  <c r="Q170" i="186"/>
  <c r="Q169" i="186"/>
  <c r="Q168" i="186"/>
  <c r="Q167" i="186"/>
  <c r="Q166" i="186"/>
  <c r="Q164" i="186"/>
  <c r="Q163" i="186"/>
  <c r="Q162" i="186"/>
  <c r="Q161" i="186"/>
  <c r="Q158" i="186"/>
  <c r="Q157" i="186"/>
  <c r="Q156" i="186"/>
  <c r="Q155" i="186"/>
  <c r="Q154" i="186"/>
  <c r="Q153" i="186"/>
  <c r="Q150" i="186"/>
  <c r="Q149" i="186"/>
  <c r="Q148" i="186"/>
  <c r="Q141" i="186"/>
  <c r="Q140" i="186"/>
  <c r="Q139" i="186"/>
  <c r="Q138" i="186"/>
  <c r="Q137" i="186"/>
  <c r="Q128" i="186"/>
  <c r="Q127" i="186"/>
  <c r="Q126" i="186"/>
  <c r="Q123" i="186"/>
  <c r="Q118" i="186"/>
  <c r="Q117" i="186"/>
  <c r="Q116" i="186"/>
  <c r="Q115" i="186"/>
  <c r="Q112" i="186"/>
  <c r="Q107" i="186"/>
  <c r="Q101" i="186"/>
  <c r="Q100" i="186"/>
  <c r="Q99" i="186"/>
  <c r="Q98" i="186"/>
  <c r="Q97" i="186"/>
  <c r="Q94" i="186"/>
  <c r="Q88" i="186"/>
  <c r="Q87" i="186"/>
  <c r="Q86" i="186"/>
  <c r="Q85" i="186"/>
  <c r="Q82" i="186"/>
  <c r="Q76" i="186"/>
  <c r="Q75" i="186"/>
  <c r="Q74" i="186"/>
  <c r="Q73" i="186"/>
  <c r="Q72" i="186"/>
  <c r="Q71" i="186"/>
  <c r="Q68" i="186"/>
  <c r="Q57" i="186"/>
  <c r="Q56" i="186"/>
  <c r="Q55" i="186"/>
  <c r="Q52" i="186"/>
  <c r="Q51" i="186"/>
  <c r="Q50" i="186"/>
  <c r="Q49" i="186"/>
  <c r="Q48" i="186"/>
  <c r="Q47" i="186"/>
  <c r="Q46" i="186"/>
  <c r="Q45" i="186"/>
  <c r="Q44" i="186"/>
  <c r="Q43" i="186"/>
  <c r="Q42" i="186"/>
  <c r="Q41" i="186"/>
  <c r="Q40" i="186"/>
  <c r="Q39" i="186"/>
  <c r="Q38" i="186"/>
  <c r="Q37" i="186"/>
  <c r="Q36" i="186"/>
  <c r="Q35" i="186"/>
  <c r="Q34" i="186"/>
  <c r="Q33" i="186"/>
  <c r="Q32" i="186"/>
  <c r="Q31" i="186"/>
  <c r="Q30" i="186"/>
  <c r="Q29" i="186"/>
  <c r="Q26" i="186"/>
  <c r="Q25" i="186"/>
  <c r="Q24" i="186"/>
  <c r="Q23" i="186"/>
  <c r="Q22" i="186"/>
  <c r="Q21" i="186"/>
  <c r="Q18" i="186"/>
  <c r="Q17" i="186"/>
  <c r="Q16" i="186"/>
  <c r="Q15" i="186"/>
  <c r="Q14" i="186"/>
  <c r="Q13" i="186"/>
  <c r="Q12" i="186"/>
  <c r="Q11" i="186"/>
  <c r="Q10" i="186"/>
  <c r="B25" i="18"/>
  <c r="B24" i="18"/>
  <c r="B23" i="18"/>
  <c r="B14" i="18"/>
  <c r="B13" i="18"/>
  <c r="B12" i="18"/>
  <c r="B11" i="18"/>
  <c r="Y21" i="456" l="1"/>
  <c r="Y57" i="456" s="1"/>
  <c r="L201" i="456"/>
  <c r="Y366" i="456"/>
  <c r="S18" i="456"/>
  <c r="S21" i="456" s="1"/>
  <c r="AE52" i="456"/>
  <c r="R151" i="456"/>
  <c r="W151" i="456" s="1"/>
  <c r="W155" i="456" s="1"/>
  <c r="S174" i="456"/>
  <c r="AG344" i="456"/>
  <c r="AH344" i="456" s="1"/>
  <c r="AG350" i="456"/>
  <c r="AH350" i="456" s="1"/>
  <c r="T56" i="456"/>
  <c r="T57" i="456" s="1"/>
  <c r="N129" i="456"/>
  <c r="N130" i="456" s="1"/>
  <c r="AF95" i="456" s="1"/>
  <c r="AF106" i="456" s="1"/>
  <c r="AG106" i="456" s="1"/>
  <c r="S173" i="456"/>
  <c r="X201" i="456"/>
  <c r="R200" i="456"/>
  <c r="X216" i="456"/>
  <c r="X217" i="456" s="1"/>
  <c r="AF218" i="456" s="1"/>
  <c r="AG347" i="456"/>
  <c r="AH347" i="456" s="1"/>
  <c r="V366" i="456"/>
  <c r="W380" i="456"/>
  <c r="O156" i="456"/>
  <c r="O47" i="456"/>
  <c r="O56" i="456" s="1"/>
  <c r="AE61" i="456"/>
  <c r="AF65" i="456" s="1"/>
  <c r="AG65" i="456" s="1"/>
  <c r="N201" i="456"/>
  <c r="R175" i="456"/>
  <c r="W175" i="456" s="1"/>
  <c r="W192" i="456" s="1"/>
  <c r="W201" i="456" s="1"/>
  <c r="AF5" i="456"/>
  <c r="AF12" i="456" s="1"/>
  <c r="AG12" i="456" s="1"/>
  <c r="AF16" i="456"/>
  <c r="AG16" i="456" s="1"/>
  <c r="AF18" i="456"/>
  <c r="AG18" i="456" s="1"/>
  <c r="AF107" i="456"/>
  <c r="AG107" i="456" s="1"/>
  <c r="AF103" i="456"/>
  <c r="AG103" i="456" s="1"/>
  <c r="AF113" i="456"/>
  <c r="AG113" i="456" s="1"/>
  <c r="AF110" i="456"/>
  <c r="AG110" i="456" s="1"/>
  <c r="AF15" i="456"/>
  <c r="AG15" i="456" s="1"/>
  <c r="AF17" i="456"/>
  <c r="AG17" i="456" s="1"/>
  <c r="AF11" i="456"/>
  <c r="AG11" i="456" s="1"/>
  <c r="Q31" i="456"/>
  <c r="S31" i="456" s="1"/>
  <c r="S47" i="456" s="1"/>
  <c r="S56" i="456" s="1"/>
  <c r="L56" i="456"/>
  <c r="L57" i="456" s="1"/>
  <c r="S89" i="456"/>
  <c r="Q90" i="456"/>
  <c r="V129" i="456"/>
  <c r="V130" i="456" s="1"/>
  <c r="AF7" i="456"/>
  <c r="AG7" i="456" s="1"/>
  <c r="N31" i="456"/>
  <c r="AE31" i="456" s="1"/>
  <c r="R47" i="456"/>
  <c r="R56" i="456" s="1"/>
  <c r="W38" i="456"/>
  <c r="W47" i="456" s="1"/>
  <c r="W56" i="456" s="1"/>
  <c r="W57" i="456" s="1"/>
  <c r="AF114" i="456"/>
  <c r="AG114" i="456" s="1"/>
  <c r="AC114" i="456"/>
  <c r="AC115" i="456"/>
  <c r="AF116" i="456"/>
  <c r="AG116" i="456" s="1"/>
  <c r="AC116" i="456"/>
  <c r="AC117" i="456"/>
  <c r="AF118" i="456"/>
  <c r="AG118" i="456" s="1"/>
  <c r="AC118" i="456"/>
  <c r="AC119" i="456"/>
  <c r="AF120" i="456"/>
  <c r="AG120" i="456" s="1"/>
  <c r="AC120" i="456"/>
  <c r="R125" i="456"/>
  <c r="V125" i="456" s="1"/>
  <c r="V156" i="456"/>
  <c r="AF64" i="456"/>
  <c r="AG64" i="456" s="1"/>
  <c r="R70" i="456"/>
  <c r="L72" i="456"/>
  <c r="L91" i="456" s="1"/>
  <c r="O70" i="456"/>
  <c r="Y129" i="456"/>
  <c r="Y130" i="456" s="1"/>
  <c r="AC102" i="456"/>
  <c r="R102" i="456"/>
  <c r="R129" i="456" s="1"/>
  <c r="R130" i="456" s="1"/>
  <c r="W149" i="456"/>
  <c r="W156" i="456" s="1"/>
  <c r="X156" i="456"/>
  <c r="Q192" i="456"/>
  <c r="S166" i="456"/>
  <c r="N21" i="456"/>
  <c r="AF14" i="456"/>
  <c r="AG14" i="456" s="1"/>
  <c r="O57" i="456"/>
  <c r="V8" i="456"/>
  <c r="V21" i="456" s="1"/>
  <c r="V57" i="456" s="1"/>
  <c r="R21" i="456"/>
  <c r="AF20" i="456"/>
  <c r="AG20" i="456" s="1"/>
  <c r="AE30" i="456"/>
  <c r="R66" i="456"/>
  <c r="V64" i="456"/>
  <c r="V66" i="456" s="1"/>
  <c r="V91" i="456" s="1"/>
  <c r="R123" i="456"/>
  <c r="V123" i="456" s="1"/>
  <c r="AE39" i="456"/>
  <c r="AF101" i="456"/>
  <c r="AG101" i="456" s="1"/>
  <c r="M156" i="456"/>
  <c r="O200" i="456"/>
  <c r="O201" i="456" s="1"/>
  <c r="O216" i="456"/>
  <c r="O217" i="456" s="1"/>
  <c r="AE209" i="456"/>
  <c r="W240" i="456"/>
  <c r="S240" i="456"/>
  <c r="R84" i="456"/>
  <c r="R90" i="456"/>
  <c r="AE151" i="456"/>
  <c r="R155" i="456"/>
  <c r="AE165" i="456"/>
  <c r="AC99" i="456"/>
  <c r="R149" i="456"/>
  <c r="Y137" i="456"/>
  <c r="Y149" i="456" s="1"/>
  <c r="Y156" i="456" s="1"/>
  <c r="P192" i="456"/>
  <c r="W239" i="456"/>
  <c r="W281" i="456" s="1"/>
  <c r="W295" i="456" s="1"/>
  <c r="R281" i="456"/>
  <c r="R295" i="456" s="1"/>
  <c r="S239" i="456"/>
  <c r="S281" i="456" s="1"/>
  <c r="S295" i="456" s="1"/>
  <c r="R318" i="456"/>
  <c r="W316" i="456"/>
  <c r="W318" i="456" s="1"/>
  <c r="W319" i="456" s="1"/>
  <c r="W326" i="456"/>
  <c r="W327" i="456" s="1"/>
  <c r="W328" i="456" s="1"/>
  <c r="R327" i="456"/>
  <c r="O365" i="456"/>
  <c r="O366" i="456" s="1"/>
  <c r="AH357" i="456"/>
  <c r="AE191" i="456"/>
  <c r="Q200" i="456"/>
  <c r="R210" i="456"/>
  <c r="V210" i="456" s="1"/>
  <c r="V216" i="456" s="1"/>
  <c r="V217" i="456" s="1"/>
  <c r="N210" i="456"/>
  <c r="W394" i="456"/>
  <c r="N281" i="456"/>
  <c r="N295" i="456" s="1"/>
  <c r="AG237" i="456"/>
  <c r="AG267" i="456" s="1"/>
  <c r="AH267" i="456" s="1"/>
  <c r="AG269" i="456"/>
  <c r="K299" i="456"/>
  <c r="R308" i="456"/>
  <c r="W305" i="456"/>
  <c r="W308" i="456" s="1"/>
  <c r="W309" i="456" s="1"/>
  <c r="Q318" i="456"/>
  <c r="L365" i="456"/>
  <c r="L366" i="456" s="1"/>
  <c r="R353" i="456"/>
  <c r="R354" i="456" s="1"/>
  <c r="R366" i="456" s="1"/>
  <c r="N366" i="456"/>
  <c r="O380" i="456"/>
  <c r="O381" i="456" s="1"/>
  <c r="AG389" i="456"/>
  <c r="AH389" i="456" s="1"/>
  <c r="AG388" i="456"/>
  <c r="AH388" i="456" s="1"/>
  <c r="AG387" i="456"/>
  <c r="AH387" i="456" s="1"/>
  <c r="S305" i="456"/>
  <c r="S308" i="456" s="1"/>
  <c r="S309" i="456" s="1"/>
  <c r="S316" i="456"/>
  <c r="AG346" i="456"/>
  <c r="AH346" i="456" s="1"/>
  <c r="W381" i="456"/>
  <c r="W395" i="456"/>
  <c r="AG345" i="456"/>
  <c r="AH345" i="456" s="1"/>
  <c r="AG349" i="456"/>
  <c r="AH349" i="456" s="1"/>
  <c r="AG352" i="456"/>
  <c r="AH352" i="456" s="1"/>
  <c r="AG373" i="456"/>
  <c r="AH373" i="456" s="1"/>
  <c r="AG374" i="456"/>
  <c r="AH374" i="456" s="1"/>
  <c r="AG348" i="456"/>
  <c r="AH348" i="456" s="1"/>
  <c r="E20" i="328"/>
  <c r="AF109" i="456" l="1"/>
  <c r="AG109" i="456" s="1"/>
  <c r="AF126" i="456"/>
  <c r="AG126" i="456" s="1"/>
  <c r="AF121" i="456"/>
  <c r="AG121" i="456" s="1"/>
  <c r="AF104" i="456"/>
  <c r="AG104" i="456" s="1"/>
  <c r="AF111" i="456"/>
  <c r="AG111" i="456" s="1"/>
  <c r="AF13" i="456"/>
  <c r="AG13" i="456" s="1"/>
  <c r="R192" i="456"/>
  <c r="X398" i="456"/>
  <c r="AF102" i="456"/>
  <c r="AG102" i="456" s="1"/>
  <c r="AF125" i="456"/>
  <c r="AG125" i="456" s="1"/>
  <c r="AF119" i="456"/>
  <c r="AG119" i="456" s="1"/>
  <c r="AF117" i="456"/>
  <c r="AG117" i="456" s="1"/>
  <c r="AF115" i="456"/>
  <c r="AG115" i="456" s="1"/>
  <c r="AF100" i="456"/>
  <c r="AG100" i="456" s="1"/>
  <c r="AF99" i="456"/>
  <c r="AG99" i="456" s="1"/>
  <c r="AF98" i="456"/>
  <c r="AG98" i="456" s="1"/>
  <c r="AF122" i="456"/>
  <c r="AG122" i="456" s="1"/>
  <c r="AF105" i="456"/>
  <c r="AG105" i="456" s="1"/>
  <c r="AF127" i="456"/>
  <c r="AG127" i="456" s="1"/>
  <c r="AF123" i="456"/>
  <c r="AG123" i="456" s="1"/>
  <c r="Y398" i="456"/>
  <c r="Q47" i="456"/>
  <c r="Q56" i="456" s="1"/>
  <c r="AF108" i="456"/>
  <c r="AG108" i="456" s="1"/>
  <c r="AF112" i="456"/>
  <c r="AG112" i="456" s="1"/>
  <c r="AF124" i="456"/>
  <c r="AG124" i="456" s="1"/>
  <c r="AG248" i="456"/>
  <c r="AH248" i="456" s="1"/>
  <c r="V398" i="456"/>
  <c r="AG275" i="456"/>
  <c r="AG265" i="456"/>
  <c r="AH265" i="456" s="1"/>
  <c r="AG272" i="456"/>
  <c r="AG257" i="456"/>
  <c r="AH257" i="456" s="1"/>
  <c r="R216" i="456"/>
  <c r="AG246" i="456"/>
  <c r="AH246" i="456" s="1"/>
  <c r="AF161" i="456"/>
  <c r="O72" i="456"/>
  <c r="AG273" i="456"/>
  <c r="AG256" i="456"/>
  <c r="AH256" i="456" s="1"/>
  <c r="AG270" i="456"/>
  <c r="AG263" i="456"/>
  <c r="AH263" i="456" s="1"/>
  <c r="AE28" i="456"/>
  <c r="AF30" i="456" s="1"/>
  <c r="AG30" i="456" s="1"/>
  <c r="AF10" i="456"/>
  <c r="AG10" i="456" s="1"/>
  <c r="AF9" i="456"/>
  <c r="AG9" i="456" s="1"/>
  <c r="AF19" i="456"/>
  <c r="AG19" i="456" s="1"/>
  <c r="AG259" i="456"/>
  <c r="AH259" i="456" s="1"/>
  <c r="AG258" i="456"/>
  <c r="AH258" i="456" s="1"/>
  <c r="AG251" i="456"/>
  <c r="AH251" i="456" s="1"/>
  <c r="AG254" i="456"/>
  <c r="AH254" i="456" s="1"/>
  <c r="AG243" i="456"/>
  <c r="AH243" i="456" s="1"/>
  <c r="AG242" i="456"/>
  <c r="AH242" i="456" s="1"/>
  <c r="AG266" i="456"/>
  <c r="AH266" i="456" s="1"/>
  <c r="AG260" i="456"/>
  <c r="AH260" i="456" s="1"/>
  <c r="AG252" i="456"/>
  <c r="AH252" i="456" s="1"/>
  <c r="AG253" i="456"/>
  <c r="AH253" i="456" s="1"/>
  <c r="AG244" i="456"/>
  <c r="AH244" i="456" s="1"/>
  <c r="AG274" i="456"/>
  <c r="AG264" i="456"/>
  <c r="AH264" i="456" s="1"/>
  <c r="AG245" i="456"/>
  <c r="AH245" i="456" s="1"/>
  <c r="AG250" i="456"/>
  <c r="AH250" i="456" s="1"/>
  <c r="AG271" i="456"/>
  <c r="AG247" i="456"/>
  <c r="AH247" i="456" s="1"/>
  <c r="AG276" i="456"/>
  <c r="AG268" i="456"/>
  <c r="N216" i="456"/>
  <c r="N217" i="456" s="1"/>
  <c r="AE210" i="456"/>
  <c r="AF204" i="456" s="1"/>
  <c r="AF191" i="456"/>
  <c r="AG191" i="456" s="1"/>
  <c r="AG261" i="456"/>
  <c r="AH261" i="456" s="1"/>
  <c r="AF151" i="456"/>
  <c r="AG151" i="456" s="1"/>
  <c r="AG262" i="456"/>
  <c r="AH262" i="456" s="1"/>
  <c r="AG255" i="456"/>
  <c r="AH255" i="456" s="1"/>
  <c r="N47" i="456"/>
  <c r="N56" i="456" s="1"/>
  <c r="N57" i="456" s="1"/>
  <c r="R72" i="456"/>
  <c r="W70" i="456"/>
  <c r="AG249" i="456"/>
  <c r="AH249" i="456" s="1"/>
  <c r="AF135" i="456"/>
  <c r="AF8" i="456"/>
  <c r="AG8" i="456" s="1"/>
  <c r="D37" i="292"/>
  <c r="C29" i="426" s="1"/>
  <c r="D19" i="228"/>
  <c r="C43" i="28"/>
  <c r="R168" i="186"/>
  <c r="S168" i="186" s="1"/>
  <c r="R169" i="186"/>
  <c r="S169" i="186"/>
  <c r="R159" i="186"/>
  <c r="S159" i="186" s="1"/>
  <c r="R158" i="186"/>
  <c r="R153" i="186"/>
  <c r="N398" i="456" l="1"/>
  <c r="AF353" i="456"/>
  <c r="AG353" i="456" s="1"/>
  <c r="AF211" i="456"/>
  <c r="AG211" i="456" s="1"/>
  <c r="AF212" i="456"/>
  <c r="AG212" i="456" s="1"/>
  <c r="AF213" i="456"/>
  <c r="AG213" i="456" s="1"/>
  <c r="AF214" i="456"/>
  <c r="AG214" i="456" s="1"/>
  <c r="AF209" i="456"/>
  <c r="AG209" i="456" s="1"/>
  <c r="W72" i="456"/>
  <c r="AE70" i="456"/>
  <c r="AF71" i="456"/>
  <c r="O91" i="456"/>
  <c r="O398" i="456" s="1"/>
  <c r="AF149" i="456"/>
  <c r="AG149" i="456" s="1"/>
  <c r="AF143" i="456"/>
  <c r="AG143" i="456" s="1"/>
  <c r="AF138" i="456"/>
  <c r="AG138" i="456" s="1"/>
  <c r="AF144" i="456"/>
  <c r="AG144" i="456" s="1"/>
  <c r="AF141" i="456"/>
  <c r="AG141" i="456" s="1"/>
  <c r="AF139" i="456"/>
  <c r="AG139" i="456" s="1"/>
  <c r="AF145" i="456"/>
  <c r="AG145" i="456" s="1"/>
  <c r="AF140" i="456"/>
  <c r="AG140" i="456" s="1"/>
  <c r="AF137" i="456"/>
  <c r="AG137" i="456" s="1"/>
  <c r="AF150" i="456"/>
  <c r="AG150" i="456" s="1"/>
  <c r="AF147" i="456"/>
  <c r="AG147" i="456" s="1"/>
  <c r="AF146" i="456"/>
  <c r="AG146" i="456" s="1"/>
  <c r="AF142" i="456"/>
  <c r="AG142" i="456" s="1"/>
  <c r="AF148" i="456"/>
  <c r="AG148" i="456" s="1"/>
  <c r="AF55" i="456"/>
  <c r="AG55" i="456" s="1"/>
  <c r="AF45" i="456"/>
  <c r="AG45" i="456" s="1"/>
  <c r="AF44" i="456"/>
  <c r="AG44" i="456" s="1"/>
  <c r="AF43" i="456"/>
  <c r="AG43" i="456" s="1"/>
  <c r="AF42" i="456"/>
  <c r="AG42" i="456" s="1"/>
  <c r="AF41" i="456"/>
  <c r="AG41" i="456" s="1"/>
  <c r="AF37" i="456"/>
  <c r="AG37" i="456" s="1"/>
  <c r="AF35" i="456"/>
  <c r="AG35" i="456" s="1"/>
  <c r="AF34" i="456"/>
  <c r="AG34" i="456" s="1"/>
  <c r="AF52" i="456"/>
  <c r="AG52" i="456" s="1"/>
  <c r="AF36" i="456"/>
  <c r="AG36" i="456" s="1"/>
  <c r="AF33" i="456"/>
  <c r="AG33" i="456" s="1"/>
  <c r="AF40" i="456"/>
  <c r="AG40" i="456" s="1"/>
  <c r="AF32" i="456"/>
  <c r="AG32" i="456" s="1"/>
  <c r="AF38" i="456"/>
  <c r="AG38" i="456" s="1"/>
  <c r="AF188" i="456"/>
  <c r="AG188" i="456" s="1"/>
  <c r="AF184" i="456"/>
  <c r="AG184" i="456" s="1"/>
  <c r="AF167" i="456"/>
  <c r="AG167" i="456" s="1"/>
  <c r="AF187" i="456"/>
  <c r="AG187" i="456" s="1"/>
  <c r="AF183" i="456"/>
  <c r="AG183" i="456" s="1"/>
  <c r="AF190" i="456"/>
  <c r="AG190" i="456" s="1"/>
  <c r="AF186" i="456"/>
  <c r="AG186" i="456" s="1"/>
  <c r="AF189" i="456"/>
  <c r="AG189" i="456" s="1"/>
  <c r="AF171" i="456"/>
  <c r="AG171" i="456" s="1"/>
  <c r="AF166" i="456"/>
  <c r="AG166" i="456" s="1"/>
  <c r="AF185" i="456"/>
  <c r="AG185" i="456" s="1"/>
  <c r="AF178" i="456"/>
  <c r="AG178" i="456" s="1"/>
  <c r="AF179" i="456"/>
  <c r="AG179" i="456" s="1"/>
  <c r="AF174" i="456"/>
  <c r="AG174" i="456" s="1"/>
  <c r="AF175" i="456"/>
  <c r="AG175" i="456" s="1"/>
  <c r="AF177" i="456"/>
  <c r="AG177" i="456" s="1"/>
  <c r="AF173" i="456"/>
  <c r="AG173" i="456" s="1"/>
  <c r="AF176" i="456"/>
  <c r="AG176" i="456" s="1"/>
  <c r="AF169" i="456"/>
  <c r="AG169" i="456" s="1"/>
  <c r="AF168" i="456"/>
  <c r="AG168" i="456" s="1"/>
  <c r="AF180" i="456"/>
  <c r="AG180" i="456" s="1"/>
  <c r="AF181" i="456"/>
  <c r="AG181" i="456" s="1"/>
  <c r="AF164" i="456"/>
  <c r="AG164" i="456" s="1"/>
  <c r="AF172" i="456"/>
  <c r="AG172" i="456" s="1"/>
  <c r="AF182" i="456"/>
  <c r="AG182" i="456" s="1"/>
  <c r="AF170" i="456"/>
  <c r="AG170" i="456" s="1"/>
  <c r="AF210" i="456"/>
  <c r="AG210" i="456" s="1"/>
  <c r="AF39" i="456"/>
  <c r="AG39" i="456" s="1"/>
  <c r="AF165" i="456"/>
  <c r="AG165" i="456" s="1"/>
  <c r="AF31" i="456"/>
  <c r="AG31" i="456" s="1"/>
  <c r="R160" i="186"/>
  <c r="R152" i="186"/>
  <c r="L17" i="211"/>
  <c r="AE72" i="456" l="1"/>
  <c r="W91" i="456"/>
  <c r="W398" i="456" s="1"/>
  <c r="AE50" i="456"/>
  <c r="AG71" i="456"/>
  <c r="AG70" i="456"/>
  <c r="Q152" i="186"/>
  <c r="G25" i="237"/>
  <c r="G24" i="237"/>
  <c r="G23" i="237"/>
  <c r="E14" i="52"/>
  <c r="AD401" i="456" l="1"/>
  <c r="X401" i="456"/>
  <c r="F248" i="307"/>
  <c r="F247" i="307"/>
  <c r="R149" i="186" l="1"/>
  <c r="R165" i="186" l="1"/>
  <c r="H23" i="239" l="1"/>
  <c r="Q441" i="211" l="1"/>
  <c r="S421" i="211"/>
  <c r="R421" i="211"/>
  <c r="Q421" i="211"/>
  <c r="R407" i="211"/>
  <c r="Q407" i="211"/>
  <c r="S389" i="211"/>
  <c r="R389" i="211"/>
  <c r="Q389" i="211"/>
  <c r="S361" i="211"/>
  <c r="R361" i="211"/>
  <c r="Q361" i="211"/>
  <c r="Q448" i="211" s="1"/>
  <c r="Q446" i="211" l="1"/>
  <c r="Q445" i="211"/>
  <c r="Q447" i="211"/>
  <c r="F57" i="211" l="1"/>
  <c r="L16" i="211"/>
  <c r="L20" i="211" s="1"/>
  <c r="D68" i="211"/>
  <c r="D18" i="424"/>
  <c r="C18" i="424"/>
  <c r="C9" i="242"/>
  <c r="D16" i="425"/>
  <c r="C16" i="425"/>
  <c r="F17" i="241"/>
  <c r="E17" i="241"/>
  <c r="F30" i="241"/>
  <c r="E30" i="241"/>
  <c r="D41" i="428"/>
  <c r="C41" i="428"/>
  <c r="D9" i="415"/>
  <c r="D8" i="415"/>
  <c r="C9" i="415"/>
  <c r="D25" i="414"/>
  <c r="D21" i="414"/>
  <c r="C25" i="414"/>
  <c r="D17" i="413"/>
  <c r="D14" i="413"/>
  <c r="C17" i="413"/>
  <c r="F52" i="234"/>
  <c r="E52" i="234"/>
  <c r="E24" i="234"/>
  <c r="G70" i="426"/>
  <c r="J34" i="292"/>
  <c r="J17" i="292"/>
  <c r="E45" i="292"/>
  <c r="E33" i="292"/>
  <c r="E25" i="292"/>
  <c r="E17" i="292"/>
  <c r="H40" i="407"/>
  <c r="E136" i="186" l="1"/>
  <c r="F136" i="186"/>
  <c r="G136" i="186"/>
  <c r="H136" i="186"/>
  <c r="I136" i="186"/>
  <c r="J136" i="186"/>
  <c r="K136" i="186"/>
  <c r="L136" i="186"/>
  <c r="M136" i="186"/>
  <c r="N136" i="186"/>
  <c r="O136" i="186"/>
  <c r="Q136" i="186"/>
  <c r="R136" i="186"/>
  <c r="D136" i="186"/>
  <c r="S189" i="186"/>
  <c r="S188" i="186" s="1"/>
  <c r="S187" i="186"/>
  <c r="S186" i="186" s="1"/>
  <c r="Q184" i="186"/>
  <c r="S183" i="186"/>
  <c r="S182" i="186"/>
  <c r="S180" i="186"/>
  <c r="S179" i="186"/>
  <c r="S178" i="186"/>
  <c r="S176" i="186"/>
  <c r="S175" i="186"/>
  <c r="S174" i="186"/>
  <c r="Q171" i="186"/>
  <c r="S172" i="186"/>
  <c r="S170" i="186"/>
  <c r="Q165" i="186"/>
  <c r="S166" i="186"/>
  <c r="S164" i="186"/>
  <c r="S163" i="186"/>
  <c r="S162" i="186"/>
  <c r="Q160" i="186"/>
  <c r="S158" i="186"/>
  <c r="S157" i="186"/>
  <c r="S156" i="186"/>
  <c r="S155" i="186"/>
  <c r="S153" i="186"/>
  <c r="S150" i="186"/>
  <c r="Q147" i="186"/>
  <c r="S148" i="186"/>
  <c r="P189" i="186"/>
  <c r="P188" i="186" s="1"/>
  <c r="P187" i="186"/>
  <c r="P186" i="186" s="1"/>
  <c r="P185" i="186"/>
  <c r="P184" i="186" s="1"/>
  <c r="P183" i="186"/>
  <c r="P182" i="186"/>
  <c r="P180" i="186"/>
  <c r="P179" i="186"/>
  <c r="P178" i="186"/>
  <c r="P176" i="186"/>
  <c r="P175" i="186"/>
  <c r="P174" i="186"/>
  <c r="P173" i="186"/>
  <c r="P172" i="186"/>
  <c r="P170" i="186"/>
  <c r="P167" i="186"/>
  <c r="P166" i="186"/>
  <c r="P164" i="186"/>
  <c r="P163" i="186"/>
  <c r="P162" i="186"/>
  <c r="P161" i="186"/>
  <c r="P158" i="186"/>
  <c r="P157" i="186"/>
  <c r="P156" i="186"/>
  <c r="P155" i="186"/>
  <c r="P154" i="186"/>
  <c r="P153" i="186"/>
  <c r="P150" i="186"/>
  <c r="P149" i="186"/>
  <c r="P148" i="186"/>
  <c r="R188" i="186"/>
  <c r="Q188" i="186"/>
  <c r="O188" i="186"/>
  <c r="N188" i="186"/>
  <c r="M188" i="186"/>
  <c r="L188" i="186"/>
  <c r="K188" i="186"/>
  <c r="J188" i="186"/>
  <c r="I188" i="186"/>
  <c r="H188" i="186"/>
  <c r="G188" i="186"/>
  <c r="F188" i="186"/>
  <c r="E188" i="186"/>
  <c r="D188" i="186"/>
  <c r="R186" i="186"/>
  <c r="O186" i="186"/>
  <c r="N186" i="186"/>
  <c r="M186" i="186"/>
  <c r="L186" i="186"/>
  <c r="K186" i="186"/>
  <c r="J186" i="186"/>
  <c r="I186" i="186"/>
  <c r="H186" i="186"/>
  <c r="G186" i="186"/>
  <c r="F186" i="186"/>
  <c r="E186" i="186"/>
  <c r="D186" i="186"/>
  <c r="E184" i="186"/>
  <c r="F184" i="186"/>
  <c r="G184" i="186"/>
  <c r="H184" i="186"/>
  <c r="I184" i="186"/>
  <c r="J184" i="186"/>
  <c r="K184" i="186"/>
  <c r="L184" i="186"/>
  <c r="M184" i="186"/>
  <c r="N184" i="186"/>
  <c r="O184" i="186"/>
  <c r="R184" i="186"/>
  <c r="D184" i="186"/>
  <c r="E181" i="186"/>
  <c r="F181" i="186"/>
  <c r="G181" i="186"/>
  <c r="H181" i="186"/>
  <c r="I181" i="186"/>
  <c r="J181" i="186"/>
  <c r="K181" i="186"/>
  <c r="L181" i="186"/>
  <c r="M181" i="186"/>
  <c r="N181" i="186"/>
  <c r="O181" i="186"/>
  <c r="Q181" i="186"/>
  <c r="R181" i="186"/>
  <c r="D181" i="186"/>
  <c r="E177" i="186"/>
  <c r="F177" i="186"/>
  <c r="G177" i="186"/>
  <c r="H177" i="186"/>
  <c r="I177" i="186"/>
  <c r="J177" i="186"/>
  <c r="K177" i="186"/>
  <c r="L177" i="186"/>
  <c r="M177" i="186"/>
  <c r="N177" i="186"/>
  <c r="O177" i="186"/>
  <c r="R177" i="186"/>
  <c r="D177" i="186"/>
  <c r="E171" i="186"/>
  <c r="F171" i="186"/>
  <c r="G171" i="186"/>
  <c r="H171" i="186"/>
  <c r="I171" i="186"/>
  <c r="J171" i="186"/>
  <c r="K171" i="186"/>
  <c r="L171" i="186"/>
  <c r="M171" i="186"/>
  <c r="N171" i="186"/>
  <c r="O171" i="186"/>
  <c r="R171" i="186"/>
  <c r="D171" i="186"/>
  <c r="E165" i="186"/>
  <c r="F165" i="186"/>
  <c r="G165" i="186"/>
  <c r="H165" i="186"/>
  <c r="I165" i="186"/>
  <c r="J165" i="186"/>
  <c r="K165" i="186"/>
  <c r="L165" i="186"/>
  <c r="M165" i="186"/>
  <c r="N165" i="186"/>
  <c r="O165" i="186"/>
  <c r="D165" i="186"/>
  <c r="E160" i="186"/>
  <c r="F160" i="186"/>
  <c r="G160" i="186"/>
  <c r="H160" i="186"/>
  <c r="I160" i="186"/>
  <c r="J160" i="186"/>
  <c r="K160" i="186"/>
  <c r="L160" i="186"/>
  <c r="M160" i="186"/>
  <c r="N160" i="186"/>
  <c r="O160" i="186"/>
  <c r="D160" i="186"/>
  <c r="E152" i="186"/>
  <c r="F152" i="186"/>
  <c r="G152" i="186"/>
  <c r="H152" i="186"/>
  <c r="I152" i="186"/>
  <c r="J152" i="186"/>
  <c r="K152" i="186"/>
  <c r="L152" i="186"/>
  <c r="M152" i="186"/>
  <c r="N152" i="186"/>
  <c r="O152" i="186"/>
  <c r="D152" i="186"/>
  <c r="E147" i="186"/>
  <c r="F147" i="186"/>
  <c r="G147" i="186"/>
  <c r="H147" i="186"/>
  <c r="I147" i="186"/>
  <c r="J147" i="186"/>
  <c r="K147" i="186"/>
  <c r="L147" i="186"/>
  <c r="M147" i="186"/>
  <c r="N147" i="186"/>
  <c r="O147" i="186"/>
  <c r="R147" i="186"/>
  <c r="D147" i="186"/>
  <c r="D70" i="186"/>
  <c r="E216" i="307"/>
  <c r="F216" i="307"/>
  <c r="G216" i="307"/>
  <c r="H216" i="307"/>
  <c r="I216" i="307"/>
  <c r="J216" i="307"/>
  <c r="K216" i="307"/>
  <c r="L216" i="307"/>
  <c r="M216" i="307"/>
  <c r="N216" i="307"/>
  <c r="O216" i="307"/>
  <c r="P216" i="307"/>
  <c r="D216" i="307"/>
  <c r="E207" i="307"/>
  <c r="F207" i="307"/>
  <c r="G207" i="307"/>
  <c r="H207" i="307"/>
  <c r="I207" i="307"/>
  <c r="J207" i="307"/>
  <c r="K207" i="307"/>
  <c r="L207" i="307"/>
  <c r="M207" i="307"/>
  <c r="N207" i="307"/>
  <c r="O207" i="307"/>
  <c r="P207" i="307"/>
  <c r="D207" i="307"/>
  <c r="E184" i="307"/>
  <c r="F184" i="307"/>
  <c r="G184" i="307"/>
  <c r="H184" i="307"/>
  <c r="I184" i="307"/>
  <c r="J184" i="307"/>
  <c r="K184" i="307"/>
  <c r="L184" i="307"/>
  <c r="M184" i="307"/>
  <c r="N184" i="307"/>
  <c r="O184" i="307"/>
  <c r="P184" i="307"/>
  <c r="D184" i="307"/>
  <c r="E141" i="307"/>
  <c r="F141" i="307"/>
  <c r="G141" i="307"/>
  <c r="H141" i="307"/>
  <c r="I141" i="307"/>
  <c r="J141" i="307"/>
  <c r="K141" i="307"/>
  <c r="L141" i="307"/>
  <c r="M141" i="307"/>
  <c r="N141" i="307"/>
  <c r="O141" i="307"/>
  <c r="P141" i="307"/>
  <c r="D141" i="307"/>
  <c r="E128" i="307"/>
  <c r="F128" i="307"/>
  <c r="G128" i="307"/>
  <c r="H128" i="307"/>
  <c r="I128" i="307"/>
  <c r="J128" i="307"/>
  <c r="K128" i="307"/>
  <c r="L128" i="307"/>
  <c r="M128" i="307"/>
  <c r="N128" i="307"/>
  <c r="O128" i="307"/>
  <c r="P128" i="307"/>
  <c r="D128" i="307"/>
  <c r="E118" i="307"/>
  <c r="F118" i="307"/>
  <c r="G118" i="307"/>
  <c r="H118" i="307"/>
  <c r="I118" i="307"/>
  <c r="J118" i="307"/>
  <c r="K118" i="307"/>
  <c r="L118" i="307"/>
  <c r="M118" i="307"/>
  <c r="N118" i="307"/>
  <c r="O118" i="307"/>
  <c r="P118" i="307"/>
  <c r="D118" i="307"/>
  <c r="E107" i="307"/>
  <c r="F107" i="307"/>
  <c r="G107" i="307"/>
  <c r="H107" i="307"/>
  <c r="I107" i="307"/>
  <c r="J107" i="307"/>
  <c r="K107" i="307"/>
  <c r="L107" i="307"/>
  <c r="M107" i="307"/>
  <c r="N107" i="307"/>
  <c r="O107" i="307"/>
  <c r="P107" i="307"/>
  <c r="D107" i="307"/>
  <c r="E101" i="307"/>
  <c r="F101" i="307"/>
  <c r="G101" i="307"/>
  <c r="H101" i="307"/>
  <c r="I101" i="307"/>
  <c r="J101" i="307"/>
  <c r="K101" i="307"/>
  <c r="L101" i="307"/>
  <c r="M101" i="307"/>
  <c r="N101" i="307"/>
  <c r="O101" i="307"/>
  <c r="P101" i="307"/>
  <c r="D101" i="307"/>
  <c r="E88" i="307"/>
  <c r="F88" i="307"/>
  <c r="G88" i="307"/>
  <c r="H88" i="307"/>
  <c r="I88" i="307"/>
  <c r="J88" i="307"/>
  <c r="K88" i="307"/>
  <c r="L88" i="307"/>
  <c r="M88" i="307"/>
  <c r="N88" i="307"/>
  <c r="O88" i="307"/>
  <c r="P88" i="307"/>
  <c r="D88" i="307"/>
  <c r="E76" i="307"/>
  <c r="F76" i="307"/>
  <c r="G76" i="307"/>
  <c r="H76" i="307"/>
  <c r="I76" i="307"/>
  <c r="J76" i="307"/>
  <c r="K76" i="307"/>
  <c r="L76" i="307"/>
  <c r="M76" i="307"/>
  <c r="N76" i="307"/>
  <c r="O76" i="307"/>
  <c r="P76" i="307"/>
  <c r="D76" i="307"/>
  <c r="P152" i="186" l="1"/>
  <c r="P177" i="186"/>
  <c r="H191" i="186"/>
  <c r="P181" i="186"/>
  <c r="L191" i="186"/>
  <c r="D191" i="186"/>
  <c r="G191" i="186"/>
  <c r="K191" i="186"/>
  <c r="O191" i="186"/>
  <c r="E191" i="186"/>
  <c r="I191" i="186"/>
  <c r="M191" i="186"/>
  <c r="P165" i="186"/>
  <c r="F191" i="186"/>
  <c r="J191" i="186"/>
  <c r="N191" i="186"/>
  <c r="P147" i="186"/>
  <c r="P160" i="186"/>
  <c r="P171" i="186"/>
  <c r="S181" i="186"/>
  <c r="S177" i="186"/>
  <c r="Q186" i="186"/>
  <c r="S185" i="186"/>
  <c r="S184" i="186" s="1"/>
  <c r="Q177" i="186"/>
  <c r="S173" i="186"/>
  <c r="S171" i="186" s="1"/>
  <c r="S167" i="186"/>
  <c r="S165" i="186" s="1"/>
  <c r="S161" i="186"/>
  <c r="S160" i="186" s="1"/>
  <c r="R191" i="186"/>
  <c r="S154" i="186"/>
  <c r="S152" i="186" s="1"/>
  <c r="S149" i="186"/>
  <c r="S147" i="186" s="1"/>
  <c r="C22" i="421"/>
  <c r="C21" i="421"/>
  <c r="C20" i="421"/>
  <c r="C19" i="421"/>
  <c r="P191" i="186" l="1"/>
  <c r="F27" i="211" s="1"/>
  <c r="Q191" i="186"/>
  <c r="E27" i="211"/>
  <c r="E71" i="211"/>
  <c r="S191" i="186"/>
  <c r="D71" i="211" l="1"/>
  <c r="B22" i="81" l="1"/>
  <c r="E34" i="211" l="1"/>
  <c r="C19" i="247" l="1"/>
  <c r="C50" i="28" l="1"/>
  <c r="E31" i="432" l="1"/>
  <c r="H31" i="432" s="1"/>
  <c r="E30" i="432"/>
  <c r="H30" i="432" s="1"/>
  <c r="E29" i="432"/>
  <c r="H29" i="432" s="1"/>
  <c r="H28" i="432" s="1"/>
  <c r="G28" i="432"/>
  <c r="F28" i="432"/>
  <c r="D28" i="432"/>
  <c r="C28" i="432"/>
  <c r="E27" i="432"/>
  <c r="H27" i="432" s="1"/>
  <c r="E26" i="432"/>
  <c r="H26" i="432" s="1"/>
  <c r="E25" i="432"/>
  <c r="E24" i="432" s="1"/>
  <c r="G24" i="432"/>
  <c r="F24" i="432"/>
  <c r="D24" i="432"/>
  <c r="C24" i="432"/>
  <c r="E23" i="432"/>
  <c r="E22" i="432"/>
  <c r="H22" i="432" s="1"/>
  <c r="G21" i="432"/>
  <c r="F21" i="432"/>
  <c r="D21" i="432"/>
  <c r="C21" i="432"/>
  <c r="E19" i="432"/>
  <c r="H19" i="432" s="1"/>
  <c r="E18" i="432"/>
  <c r="E16" i="432" s="1"/>
  <c r="E17" i="432"/>
  <c r="H17" i="432" s="1"/>
  <c r="G16" i="432"/>
  <c r="F16" i="432"/>
  <c r="D16" i="432"/>
  <c r="C16" i="432"/>
  <c r="E15" i="432"/>
  <c r="H15" i="432" s="1"/>
  <c r="E14" i="432"/>
  <c r="E12" i="432" s="1"/>
  <c r="E13" i="432"/>
  <c r="H13" i="432" s="1"/>
  <c r="G12" i="432"/>
  <c r="F12" i="432"/>
  <c r="D12" i="432"/>
  <c r="C12" i="432"/>
  <c r="E11" i="432"/>
  <c r="H11" i="432" s="1"/>
  <c r="E28" i="432" l="1"/>
  <c r="E21" i="432" s="1"/>
  <c r="H14" i="432"/>
  <c r="H12" i="432" s="1"/>
  <c r="H18" i="432"/>
  <c r="H16" i="432" s="1"/>
  <c r="H23" i="432"/>
  <c r="H21" i="432" s="1"/>
  <c r="H25" i="432"/>
  <c r="H24" i="432" s="1"/>
  <c r="E82" i="431" l="1"/>
  <c r="H82" i="431" s="1"/>
  <c r="E81" i="431"/>
  <c r="H81" i="431" s="1"/>
  <c r="E80" i="431"/>
  <c r="E78" i="431" s="1"/>
  <c r="E79" i="431"/>
  <c r="H79" i="431" s="1"/>
  <c r="G78" i="431"/>
  <c r="F78" i="431"/>
  <c r="D78" i="431"/>
  <c r="C78" i="431"/>
  <c r="E76" i="431"/>
  <c r="H76" i="431" s="1"/>
  <c r="E75" i="431"/>
  <c r="H75" i="431" s="1"/>
  <c r="E74" i="431"/>
  <c r="H74" i="431" s="1"/>
  <c r="E73" i="431"/>
  <c r="H73" i="431" s="1"/>
  <c r="E72" i="431"/>
  <c r="H72" i="431" s="1"/>
  <c r="E71" i="431"/>
  <c r="H71" i="431" s="1"/>
  <c r="E70" i="431"/>
  <c r="H70" i="431" s="1"/>
  <c r="E69" i="431"/>
  <c r="E67" i="431" s="1"/>
  <c r="E68" i="431"/>
  <c r="H68" i="431" s="1"/>
  <c r="G67" i="431"/>
  <c r="F67" i="431"/>
  <c r="D67" i="431"/>
  <c r="C67" i="431"/>
  <c r="E65" i="431"/>
  <c r="H65" i="431" s="1"/>
  <c r="E64" i="431"/>
  <c r="H64" i="431" s="1"/>
  <c r="E63" i="431"/>
  <c r="H63" i="431" s="1"/>
  <c r="E62" i="431"/>
  <c r="H62" i="431" s="1"/>
  <c r="E61" i="431"/>
  <c r="H61" i="431" s="1"/>
  <c r="E60" i="431"/>
  <c r="E58" i="431" s="1"/>
  <c r="E59" i="431"/>
  <c r="H59" i="431" s="1"/>
  <c r="G58" i="431"/>
  <c r="F58" i="431"/>
  <c r="D58" i="431"/>
  <c r="C58" i="431"/>
  <c r="E56" i="431"/>
  <c r="H56" i="431" s="1"/>
  <c r="E55" i="431"/>
  <c r="H55" i="431" s="1"/>
  <c r="E54" i="431"/>
  <c r="H54" i="431" s="1"/>
  <c r="E53" i="431"/>
  <c r="H53" i="431" s="1"/>
  <c r="E52" i="431"/>
  <c r="H52" i="431" s="1"/>
  <c r="E51" i="431"/>
  <c r="H51" i="431" s="1"/>
  <c r="E50" i="431"/>
  <c r="H50" i="431" s="1"/>
  <c r="E49" i="431"/>
  <c r="E48" i="431" s="1"/>
  <c r="E47" i="431" s="1"/>
  <c r="G48" i="431"/>
  <c r="F48" i="431"/>
  <c r="D48" i="431"/>
  <c r="C48" i="431"/>
  <c r="G47" i="431"/>
  <c r="F47" i="431"/>
  <c r="D47" i="431"/>
  <c r="C47" i="431"/>
  <c r="E45" i="431"/>
  <c r="H45" i="431" s="1"/>
  <c r="E44" i="431"/>
  <c r="H44" i="431" s="1"/>
  <c r="E43" i="431"/>
  <c r="H43" i="431" s="1"/>
  <c r="E42" i="431"/>
  <c r="H42" i="431" s="1"/>
  <c r="H41" i="431" s="1"/>
  <c r="G41" i="431"/>
  <c r="F41" i="431"/>
  <c r="E41" i="431"/>
  <c r="D41" i="431"/>
  <c r="C41" i="431"/>
  <c r="E39" i="431"/>
  <c r="H39" i="431" s="1"/>
  <c r="E38" i="431"/>
  <c r="H38" i="431" s="1"/>
  <c r="E37" i="431"/>
  <c r="H37" i="431" s="1"/>
  <c r="E36" i="431"/>
  <c r="H36" i="431" s="1"/>
  <c r="E35" i="431"/>
  <c r="H35" i="431" s="1"/>
  <c r="E34" i="431"/>
  <c r="H34" i="431" s="1"/>
  <c r="E33" i="431"/>
  <c r="H33" i="431" s="1"/>
  <c r="E32" i="431"/>
  <c r="H32" i="431" s="1"/>
  <c r="E28" i="431"/>
  <c r="H28" i="431" s="1"/>
  <c r="E27" i="431"/>
  <c r="H27" i="431" s="1"/>
  <c r="E26" i="431"/>
  <c r="H26" i="431" s="1"/>
  <c r="E25" i="431"/>
  <c r="H25" i="431" s="1"/>
  <c r="E24" i="431"/>
  <c r="H24" i="431" s="1"/>
  <c r="E23" i="431"/>
  <c r="H23" i="431" s="1"/>
  <c r="E22" i="431"/>
  <c r="H22" i="431" s="1"/>
  <c r="G21" i="431"/>
  <c r="F21" i="431"/>
  <c r="D21" i="431"/>
  <c r="C21" i="431"/>
  <c r="E19" i="431"/>
  <c r="H19" i="431" s="1"/>
  <c r="E18" i="431"/>
  <c r="H18" i="431" s="1"/>
  <c r="E17" i="431"/>
  <c r="H17" i="431" s="1"/>
  <c r="E16" i="431"/>
  <c r="H16" i="431" s="1"/>
  <c r="E15" i="431"/>
  <c r="H15" i="431" s="1"/>
  <c r="E14" i="431"/>
  <c r="H14" i="431" s="1"/>
  <c r="E13" i="431"/>
  <c r="E11" i="431" s="1"/>
  <c r="E12" i="431"/>
  <c r="H12" i="431" s="1"/>
  <c r="G11" i="431"/>
  <c r="F11" i="431"/>
  <c r="D11" i="431"/>
  <c r="C11" i="431"/>
  <c r="H21" i="431" l="1"/>
  <c r="E21" i="431"/>
  <c r="H13" i="431"/>
  <c r="H11" i="431" s="1"/>
  <c r="H49" i="431"/>
  <c r="H48" i="431" s="1"/>
  <c r="H60" i="431"/>
  <c r="H58" i="431" s="1"/>
  <c r="H69" i="431"/>
  <c r="H67" i="431" s="1"/>
  <c r="H80" i="431"/>
  <c r="H78" i="431" s="1"/>
  <c r="H47" i="431" l="1"/>
  <c r="E27" i="430" l="1"/>
  <c r="H27" i="430" s="1"/>
  <c r="H26" i="430"/>
  <c r="E26" i="430"/>
  <c r="E25" i="430"/>
  <c r="H25" i="430" s="1"/>
  <c r="H24" i="430"/>
  <c r="E24" i="430"/>
  <c r="E23" i="430"/>
  <c r="H23" i="430" s="1"/>
  <c r="H22" i="430"/>
  <c r="E22" i="430"/>
  <c r="E21" i="430"/>
  <c r="H21" i="430" s="1"/>
  <c r="H20" i="430"/>
  <c r="E20" i="430"/>
  <c r="G19" i="430"/>
  <c r="F19" i="430"/>
  <c r="D19" i="430"/>
  <c r="C19" i="430"/>
  <c r="E19" i="430" s="1"/>
  <c r="H19" i="430" s="1"/>
  <c r="H17" i="430"/>
  <c r="E17" i="430"/>
  <c r="E16" i="430"/>
  <c r="H16" i="430" s="1"/>
  <c r="H15" i="430"/>
  <c r="E15" i="430"/>
  <c r="E14" i="430"/>
  <c r="H14" i="430" s="1"/>
  <c r="H13" i="430"/>
  <c r="E13" i="430"/>
  <c r="E12" i="430"/>
  <c r="H12" i="430" s="1"/>
  <c r="H11" i="430"/>
  <c r="E11" i="430"/>
  <c r="C45" i="429" l="1"/>
  <c r="E45" i="429" s="1"/>
  <c r="C41" i="429"/>
  <c r="C39" i="429"/>
  <c r="C38" i="429"/>
  <c r="C37" i="429"/>
  <c r="C35" i="429"/>
  <c r="E35" i="429" s="1"/>
  <c r="C34" i="429"/>
  <c r="E34" i="429" s="1"/>
  <c r="C33" i="429"/>
  <c r="E33" i="429" s="1"/>
  <c r="C32" i="429"/>
  <c r="C31" i="429"/>
  <c r="C26" i="429"/>
  <c r="C25" i="429"/>
  <c r="E25" i="429" s="1"/>
  <c r="C22" i="429"/>
  <c r="E22" i="429" s="1"/>
  <c r="C21" i="429"/>
  <c r="E21" i="429" s="1"/>
  <c r="D12" i="429"/>
  <c r="C17" i="429"/>
  <c r="C16" i="429"/>
  <c r="E16" i="429" s="1"/>
  <c r="C15" i="429"/>
  <c r="C13" i="429"/>
  <c r="E13" i="429" s="1"/>
  <c r="E158" i="429"/>
  <c r="H158" i="429" s="1"/>
  <c r="E157" i="429"/>
  <c r="H157" i="429" s="1"/>
  <c r="E156" i="429"/>
  <c r="H156" i="429" s="1"/>
  <c r="E155" i="429"/>
  <c r="H155" i="429" s="1"/>
  <c r="E154" i="429"/>
  <c r="H154" i="429" s="1"/>
  <c r="E153" i="429"/>
  <c r="H153" i="429" s="1"/>
  <c r="E152" i="429"/>
  <c r="H152" i="429" s="1"/>
  <c r="H151" i="429" s="1"/>
  <c r="G151" i="429"/>
  <c r="F151" i="429"/>
  <c r="D151" i="429"/>
  <c r="C151" i="429"/>
  <c r="E150" i="429"/>
  <c r="H150" i="429" s="1"/>
  <c r="E149" i="429"/>
  <c r="H149" i="429" s="1"/>
  <c r="E148" i="429"/>
  <c r="H148" i="429" s="1"/>
  <c r="H147" i="429" s="1"/>
  <c r="G147" i="429"/>
  <c r="F147" i="429"/>
  <c r="D147" i="429"/>
  <c r="C147" i="429"/>
  <c r="E146" i="429"/>
  <c r="H146" i="429" s="1"/>
  <c r="E145" i="429"/>
  <c r="H145" i="429" s="1"/>
  <c r="E144" i="429"/>
  <c r="H144" i="429" s="1"/>
  <c r="E143" i="429"/>
  <c r="H143" i="429" s="1"/>
  <c r="E142" i="429"/>
  <c r="H142" i="429" s="1"/>
  <c r="E141" i="429"/>
  <c r="H141" i="429" s="1"/>
  <c r="E140" i="429"/>
  <c r="E139" i="429"/>
  <c r="H139" i="429" s="1"/>
  <c r="G138" i="429"/>
  <c r="F138" i="429"/>
  <c r="D138" i="429"/>
  <c r="C138" i="429"/>
  <c r="E137" i="429"/>
  <c r="H137" i="429" s="1"/>
  <c r="E136" i="429"/>
  <c r="E134" i="429" s="1"/>
  <c r="E135" i="429"/>
  <c r="H135" i="429" s="1"/>
  <c r="G134" i="429"/>
  <c r="F134" i="429"/>
  <c r="D134" i="429"/>
  <c r="C134" i="429"/>
  <c r="E133" i="429"/>
  <c r="H133" i="429" s="1"/>
  <c r="E132" i="429"/>
  <c r="H132" i="429" s="1"/>
  <c r="E131" i="429"/>
  <c r="H131" i="429" s="1"/>
  <c r="E130" i="429"/>
  <c r="H130" i="429" s="1"/>
  <c r="E129" i="429"/>
  <c r="H129" i="429" s="1"/>
  <c r="E128" i="429"/>
  <c r="H128" i="429" s="1"/>
  <c r="E127" i="429"/>
  <c r="H127" i="429" s="1"/>
  <c r="H126" i="429"/>
  <c r="E126" i="429"/>
  <c r="E125" i="429"/>
  <c r="H125" i="429" s="1"/>
  <c r="G124" i="429"/>
  <c r="F124" i="429"/>
  <c r="D124" i="429"/>
  <c r="C124" i="429"/>
  <c r="E123" i="429"/>
  <c r="H123" i="429" s="1"/>
  <c r="E122" i="429"/>
  <c r="H122" i="429" s="1"/>
  <c r="E121" i="429"/>
  <c r="H121" i="429" s="1"/>
  <c r="H120" i="429"/>
  <c r="E120" i="429"/>
  <c r="E119" i="429"/>
  <c r="H119" i="429" s="1"/>
  <c r="E118" i="429"/>
  <c r="H118" i="429" s="1"/>
  <c r="E117" i="429"/>
  <c r="H117" i="429" s="1"/>
  <c r="E116" i="429"/>
  <c r="E115" i="429"/>
  <c r="H115" i="429" s="1"/>
  <c r="G114" i="429"/>
  <c r="F114" i="429"/>
  <c r="D114" i="429"/>
  <c r="C114" i="429"/>
  <c r="E113" i="429"/>
  <c r="H113" i="429" s="1"/>
  <c r="E112" i="429"/>
  <c r="H112" i="429" s="1"/>
  <c r="E111" i="429"/>
  <c r="H111" i="429" s="1"/>
  <c r="E110" i="429"/>
  <c r="H110" i="429" s="1"/>
  <c r="E109" i="429"/>
  <c r="H109" i="429" s="1"/>
  <c r="E108" i="429"/>
  <c r="H108" i="429" s="1"/>
  <c r="E107" i="429"/>
  <c r="H107" i="429" s="1"/>
  <c r="H106" i="429"/>
  <c r="E106" i="429"/>
  <c r="E105" i="429"/>
  <c r="H105" i="429" s="1"/>
  <c r="G104" i="429"/>
  <c r="F104" i="429"/>
  <c r="D104" i="429"/>
  <c r="C104" i="429"/>
  <c r="E103" i="429"/>
  <c r="H103" i="429" s="1"/>
  <c r="E102" i="429"/>
  <c r="H102" i="429" s="1"/>
  <c r="E101" i="429"/>
  <c r="H101" i="429" s="1"/>
  <c r="H100" i="429"/>
  <c r="E100" i="429"/>
  <c r="E99" i="429"/>
  <c r="H99" i="429" s="1"/>
  <c r="E98" i="429"/>
  <c r="H98" i="429" s="1"/>
  <c r="E97" i="429"/>
  <c r="H97" i="429" s="1"/>
  <c r="E96" i="429"/>
  <c r="E95" i="429"/>
  <c r="H95" i="429" s="1"/>
  <c r="G94" i="429"/>
  <c r="F94" i="429"/>
  <c r="D94" i="429"/>
  <c r="C94" i="429"/>
  <c r="E93" i="429"/>
  <c r="H93" i="429" s="1"/>
  <c r="E92" i="429"/>
  <c r="H92" i="429" s="1"/>
  <c r="E91" i="429"/>
  <c r="H91" i="429" s="1"/>
  <c r="E90" i="429"/>
  <c r="H90" i="429" s="1"/>
  <c r="E89" i="429"/>
  <c r="H89" i="429" s="1"/>
  <c r="E88" i="429"/>
  <c r="E87" i="429"/>
  <c r="H87" i="429" s="1"/>
  <c r="G86" i="429"/>
  <c r="F86" i="429"/>
  <c r="D86" i="429"/>
  <c r="C86" i="429"/>
  <c r="C85" i="429" s="1"/>
  <c r="F85" i="429"/>
  <c r="E84" i="429"/>
  <c r="H84" i="429" s="1"/>
  <c r="E83" i="429"/>
  <c r="H83" i="429" s="1"/>
  <c r="E82" i="429"/>
  <c r="H82" i="429" s="1"/>
  <c r="E81" i="429"/>
  <c r="H81" i="429" s="1"/>
  <c r="E80" i="429"/>
  <c r="H80" i="429" s="1"/>
  <c r="E79" i="429"/>
  <c r="H79" i="429" s="1"/>
  <c r="H78" i="429"/>
  <c r="E78" i="429"/>
  <c r="G77" i="429"/>
  <c r="F77" i="429"/>
  <c r="E77" i="429"/>
  <c r="D77" i="429"/>
  <c r="C77" i="429"/>
  <c r="E76" i="429"/>
  <c r="H76" i="429" s="1"/>
  <c r="E75" i="429"/>
  <c r="H75" i="429" s="1"/>
  <c r="E74" i="429"/>
  <c r="H74" i="429" s="1"/>
  <c r="G73" i="429"/>
  <c r="F73" i="429"/>
  <c r="D73" i="429"/>
  <c r="C73" i="429"/>
  <c r="H72" i="429"/>
  <c r="E72" i="429"/>
  <c r="E71" i="429"/>
  <c r="H71" i="429" s="1"/>
  <c r="H70" i="429"/>
  <c r="E70" i="429"/>
  <c r="E69" i="429"/>
  <c r="H69" i="429" s="1"/>
  <c r="E68" i="429"/>
  <c r="H68" i="429" s="1"/>
  <c r="E67" i="429"/>
  <c r="H67" i="429" s="1"/>
  <c r="E66" i="429"/>
  <c r="E65" i="429"/>
  <c r="H65" i="429" s="1"/>
  <c r="G64" i="429"/>
  <c r="F64" i="429"/>
  <c r="D64" i="429"/>
  <c r="C64" i="429"/>
  <c r="E63" i="429"/>
  <c r="H63" i="429" s="1"/>
  <c r="E62" i="429"/>
  <c r="E60" i="429" s="1"/>
  <c r="E61" i="429"/>
  <c r="H61" i="429" s="1"/>
  <c r="G60" i="429"/>
  <c r="F60" i="429"/>
  <c r="D60" i="429"/>
  <c r="C60" i="429"/>
  <c r="E59" i="429"/>
  <c r="H59" i="429" s="1"/>
  <c r="H58" i="429"/>
  <c r="E58" i="429"/>
  <c r="E57" i="429"/>
  <c r="H57" i="429" s="1"/>
  <c r="E56" i="429"/>
  <c r="H56" i="429" s="1"/>
  <c r="E55" i="429"/>
  <c r="H55" i="429" s="1"/>
  <c r="H54" i="429"/>
  <c r="E54" i="429"/>
  <c r="E53" i="429"/>
  <c r="H53" i="429" s="1"/>
  <c r="E52" i="429"/>
  <c r="E51" i="429"/>
  <c r="H51" i="429" s="1"/>
  <c r="G50" i="429"/>
  <c r="F50" i="429"/>
  <c r="D50" i="429"/>
  <c r="C50" i="429"/>
  <c r="E49" i="429"/>
  <c r="H49" i="429" s="1"/>
  <c r="E48" i="429"/>
  <c r="H48" i="429" s="1"/>
  <c r="E47" i="429"/>
  <c r="H47" i="429" s="1"/>
  <c r="H46" i="429"/>
  <c r="E46" i="429"/>
  <c r="H44" i="429"/>
  <c r="E44" i="429"/>
  <c r="E43" i="429"/>
  <c r="H43" i="429" s="1"/>
  <c r="E42" i="429"/>
  <c r="E41" i="429"/>
  <c r="D40" i="429"/>
  <c r="E39" i="429"/>
  <c r="E36" i="429"/>
  <c r="H36" i="429" s="1"/>
  <c r="E32" i="429"/>
  <c r="E29" i="429"/>
  <c r="H29" i="429" s="1"/>
  <c r="E28" i="429"/>
  <c r="H28" i="429" s="1"/>
  <c r="E27" i="429"/>
  <c r="H27" i="429" s="1"/>
  <c r="E24" i="429"/>
  <c r="H24" i="429" s="1"/>
  <c r="E23" i="429"/>
  <c r="H23" i="429" s="1"/>
  <c r="E19" i="429"/>
  <c r="H19" i="429" s="1"/>
  <c r="H18" i="429"/>
  <c r="E18" i="429"/>
  <c r="E17" i="429"/>
  <c r="E15" i="429"/>
  <c r="E14" i="429"/>
  <c r="C40" i="429" l="1"/>
  <c r="C30" i="429"/>
  <c r="C20" i="429"/>
  <c r="E38" i="429"/>
  <c r="E37" i="429"/>
  <c r="D30" i="429"/>
  <c r="E31" i="429"/>
  <c r="D20" i="429"/>
  <c r="D10" i="429" s="1"/>
  <c r="D160" i="429" s="1"/>
  <c r="E40" i="429"/>
  <c r="E26" i="429"/>
  <c r="E20" i="429" s="1"/>
  <c r="C12" i="429"/>
  <c r="H73" i="429"/>
  <c r="H104" i="429"/>
  <c r="H124" i="429"/>
  <c r="E12" i="429"/>
  <c r="H42" i="429"/>
  <c r="H62" i="429"/>
  <c r="H60" i="429" s="1"/>
  <c r="E64" i="429"/>
  <c r="D85" i="429"/>
  <c r="E94" i="429"/>
  <c r="E114" i="429"/>
  <c r="E147" i="429"/>
  <c r="E151" i="429"/>
  <c r="H77" i="429"/>
  <c r="H14" i="429"/>
  <c r="E50" i="429"/>
  <c r="H66" i="429"/>
  <c r="H64" i="429" s="1"/>
  <c r="E73" i="429"/>
  <c r="E86" i="429"/>
  <c r="H96" i="429"/>
  <c r="H94" i="429" s="1"/>
  <c r="H116" i="429"/>
  <c r="H114" i="429" s="1"/>
  <c r="H136" i="429"/>
  <c r="H134" i="429" s="1"/>
  <c r="E138" i="429"/>
  <c r="C10" i="429"/>
  <c r="C160" i="429" s="1"/>
  <c r="H52" i="429"/>
  <c r="H50" i="429" s="1"/>
  <c r="G85" i="429"/>
  <c r="H88" i="429"/>
  <c r="H86" i="429" s="1"/>
  <c r="E104" i="429"/>
  <c r="E124" i="429"/>
  <c r="H140" i="429"/>
  <c r="H138" i="429" s="1"/>
  <c r="E30" i="429" l="1"/>
  <c r="E10" i="429" s="1"/>
  <c r="E160" i="429" s="1"/>
  <c r="H85" i="429"/>
  <c r="E85" i="429"/>
  <c r="D16" i="428" l="1"/>
  <c r="G78" i="428"/>
  <c r="F78" i="428"/>
  <c r="D78" i="428"/>
  <c r="C78" i="428"/>
  <c r="H78" i="428" s="1"/>
  <c r="H77" i="428"/>
  <c r="E77" i="428"/>
  <c r="E78" i="428" s="1"/>
  <c r="H76" i="428"/>
  <c r="E76" i="428"/>
  <c r="H71" i="428"/>
  <c r="E71" i="428"/>
  <c r="H70" i="428"/>
  <c r="G70" i="428"/>
  <c r="F70" i="428"/>
  <c r="E70" i="428"/>
  <c r="D70" i="428"/>
  <c r="C70" i="428"/>
  <c r="H66" i="428"/>
  <c r="E66" i="428"/>
  <c r="H65" i="428"/>
  <c r="E65" i="428"/>
  <c r="H64" i="428"/>
  <c r="E64" i="428"/>
  <c r="E62" i="428" s="1"/>
  <c r="H63" i="428"/>
  <c r="E63" i="428"/>
  <c r="H62" i="428"/>
  <c r="G62" i="428"/>
  <c r="F62" i="428"/>
  <c r="D62" i="428"/>
  <c r="C62" i="428"/>
  <c r="H61" i="428"/>
  <c r="E61" i="428"/>
  <c r="H60" i="428"/>
  <c r="E60" i="428"/>
  <c r="H59" i="428"/>
  <c r="E59" i="428"/>
  <c r="H58" i="428"/>
  <c r="H57" i="428" s="1"/>
  <c r="E58" i="428"/>
  <c r="E57" i="428" s="1"/>
  <c r="G57" i="428"/>
  <c r="F57" i="428"/>
  <c r="F68" i="428" s="1"/>
  <c r="D57" i="428"/>
  <c r="C57" i="428"/>
  <c r="H56" i="428"/>
  <c r="E56" i="428"/>
  <c r="H55" i="428"/>
  <c r="E55" i="428"/>
  <c r="H54" i="428"/>
  <c r="E54" i="428"/>
  <c r="H53" i="428"/>
  <c r="E53" i="428"/>
  <c r="H52" i="428"/>
  <c r="E52" i="428"/>
  <c r="H51" i="428"/>
  <c r="E51" i="428"/>
  <c r="H50" i="428"/>
  <c r="E50" i="428"/>
  <c r="E48" i="428" s="1"/>
  <c r="E68" i="428" s="1"/>
  <c r="H49" i="428"/>
  <c r="E49" i="428"/>
  <c r="H48" i="428"/>
  <c r="G48" i="428"/>
  <c r="G68" i="428" s="1"/>
  <c r="F48" i="428"/>
  <c r="D48" i="428"/>
  <c r="D68" i="428" s="1"/>
  <c r="C48" i="428"/>
  <c r="C68" i="428" s="1"/>
  <c r="E41" i="428"/>
  <c r="H40" i="428"/>
  <c r="E40" i="428"/>
  <c r="D39" i="428"/>
  <c r="C39" i="428"/>
  <c r="E39" i="428" s="1"/>
  <c r="H38" i="428"/>
  <c r="E38" i="428"/>
  <c r="G37" i="428"/>
  <c r="F37" i="428"/>
  <c r="D37" i="428"/>
  <c r="C37" i="428"/>
  <c r="E37" i="428" s="1"/>
  <c r="H36" i="428"/>
  <c r="E36" i="428"/>
  <c r="H35" i="428"/>
  <c r="E35" i="428"/>
  <c r="H34" i="428"/>
  <c r="E34" i="428"/>
  <c r="H33" i="428"/>
  <c r="E33" i="428"/>
  <c r="H32" i="428"/>
  <c r="E32" i="428"/>
  <c r="H31" i="428"/>
  <c r="H30" i="428" s="1"/>
  <c r="E31" i="428"/>
  <c r="G30" i="428"/>
  <c r="F30" i="428"/>
  <c r="E30" i="428"/>
  <c r="D30" i="428"/>
  <c r="C30" i="428"/>
  <c r="H29" i="428"/>
  <c r="E29" i="428"/>
  <c r="H28" i="428"/>
  <c r="E28" i="428"/>
  <c r="H27" i="428"/>
  <c r="E27" i="428"/>
  <c r="H26" i="428"/>
  <c r="E26" i="428"/>
  <c r="H25" i="428"/>
  <c r="E25" i="428"/>
  <c r="H24" i="428"/>
  <c r="E24" i="428"/>
  <c r="H23" i="428"/>
  <c r="E23" i="428"/>
  <c r="H22" i="428"/>
  <c r="E22" i="428"/>
  <c r="H21" i="428"/>
  <c r="E21" i="428"/>
  <c r="H20" i="428"/>
  <c r="E20" i="428"/>
  <c r="H19" i="428"/>
  <c r="E19" i="428"/>
  <c r="G17" i="428"/>
  <c r="F17" i="428"/>
  <c r="E17" i="428"/>
  <c r="D17" i="428"/>
  <c r="D43" i="428" s="1"/>
  <c r="D73" i="428" s="1"/>
  <c r="C17" i="428"/>
  <c r="H17" i="428" s="1"/>
  <c r="H15" i="428"/>
  <c r="E15" i="428"/>
  <c r="H14" i="428"/>
  <c r="E14" i="428"/>
  <c r="H13" i="428"/>
  <c r="E13" i="428"/>
  <c r="H12" i="428"/>
  <c r="E12" i="428"/>
  <c r="H11" i="428"/>
  <c r="E11" i="428"/>
  <c r="H10" i="428"/>
  <c r="E10" i="428"/>
  <c r="H68" i="428" l="1"/>
  <c r="H37" i="428"/>
  <c r="E62" i="427" l="1"/>
  <c r="D62" i="427"/>
  <c r="C62" i="427"/>
  <c r="E61" i="427"/>
  <c r="D61" i="427"/>
  <c r="C61" i="427"/>
  <c r="E60" i="427"/>
  <c r="D60" i="427"/>
  <c r="C60" i="427"/>
  <c r="E59" i="427"/>
  <c r="E58" i="427" s="1"/>
  <c r="E63" i="427" s="1"/>
  <c r="E64" i="427" s="1"/>
  <c r="D59" i="427"/>
  <c r="D58" i="427" s="1"/>
  <c r="D63" i="427" s="1"/>
  <c r="D64" i="427" s="1"/>
  <c r="C59" i="427"/>
  <c r="C58" i="427"/>
  <c r="E57" i="427"/>
  <c r="D57" i="427"/>
  <c r="C57" i="427"/>
  <c r="C63" i="427" s="1"/>
  <c r="C64" i="427" s="1"/>
  <c r="E50" i="427"/>
  <c r="D50" i="427"/>
  <c r="C50" i="427"/>
  <c r="E48" i="427"/>
  <c r="D48" i="427"/>
  <c r="C48" i="427"/>
  <c r="E47" i="427"/>
  <c r="D47" i="427"/>
  <c r="C47" i="427"/>
  <c r="E46" i="427"/>
  <c r="D46" i="427"/>
  <c r="C46" i="427"/>
  <c r="D39" i="427"/>
  <c r="C39" i="427"/>
  <c r="E36" i="427"/>
  <c r="D36" i="427"/>
  <c r="C36" i="427"/>
  <c r="E33" i="427"/>
  <c r="E39" i="427" s="1"/>
  <c r="D33" i="427"/>
  <c r="C33" i="427"/>
  <c r="E24" i="427"/>
  <c r="D24" i="427"/>
  <c r="C24" i="427"/>
  <c r="E15" i="427"/>
  <c r="D15" i="427"/>
  <c r="C15" i="427"/>
  <c r="G68" i="426" l="1"/>
  <c r="G77" i="426"/>
  <c r="G76" i="426"/>
  <c r="F77" i="426"/>
  <c r="F76" i="426"/>
  <c r="G69" i="426"/>
  <c r="G66" i="426"/>
  <c r="G64" i="426"/>
  <c r="F66" i="426"/>
  <c r="F64" i="426"/>
  <c r="G28" i="426"/>
  <c r="G27" i="426" s="1"/>
  <c r="G18" i="426"/>
  <c r="G16" i="426"/>
  <c r="D51" i="426"/>
  <c r="D55" i="426"/>
  <c r="D54" i="426"/>
  <c r="D53" i="426"/>
  <c r="D52" i="426"/>
  <c r="D50" i="426"/>
  <c r="D28" i="426"/>
  <c r="D26" i="426"/>
  <c r="D22" i="426"/>
  <c r="D21" i="426"/>
  <c r="D20" i="426"/>
  <c r="D19" i="426"/>
  <c r="D13" i="426"/>
  <c r="D11" i="426"/>
  <c r="D10" i="426"/>
  <c r="G75" i="426"/>
  <c r="F75" i="426"/>
  <c r="G63" i="426"/>
  <c r="F63" i="426"/>
  <c r="G57" i="426"/>
  <c r="F57" i="426"/>
  <c r="G42" i="426"/>
  <c r="F42" i="426"/>
  <c r="D41" i="426"/>
  <c r="G38" i="426"/>
  <c r="F38" i="426"/>
  <c r="D38" i="426"/>
  <c r="C38" i="426"/>
  <c r="G31" i="426"/>
  <c r="F31" i="426"/>
  <c r="D31" i="426"/>
  <c r="C31" i="426"/>
  <c r="D25" i="426"/>
  <c r="G23" i="426"/>
  <c r="F23" i="426"/>
  <c r="G19" i="426"/>
  <c r="F19" i="426"/>
  <c r="D17" i="426"/>
  <c r="D9" i="426"/>
  <c r="G9" i="426" l="1"/>
  <c r="G47" i="426"/>
  <c r="G59" i="426" s="1"/>
  <c r="D60" i="426"/>
  <c r="G79" i="426"/>
  <c r="D47" i="426"/>
  <c r="D62" i="426" s="1"/>
  <c r="D29" i="425"/>
  <c r="C29" i="425"/>
  <c r="C28" i="425" s="1"/>
  <c r="E37" i="425"/>
  <c r="H37" i="425" s="1"/>
  <c r="E36" i="425"/>
  <c r="H36" i="425" s="1"/>
  <c r="E35" i="425"/>
  <c r="H35" i="425" s="1"/>
  <c r="E34" i="425"/>
  <c r="H34" i="425" s="1"/>
  <c r="G33" i="425"/>
  <c r="F33" i="425"/>
  <c r="D33" i="425"/>
  <c r="C33" i="425"/>
  <c r="E32" i="425"/>
  <c r="H32" i="425" s="1"/>
  <c r="E31" i="425"/>
  <c r="H31" i="425" s="1"/>
  <c r="E30" i="425"/>
  <c r="H30" i="425" s="1"/>
  <c r="D28" i="425"/>
  <c r="E27" i="425"/>
  <c r="H27" i="425" s="1"/>
  <c r="E26" i="425"/>
  <c r="H26" i="425" s="1"/>
  <c r="G25" i="425"/>
  <c r="F25" i="425"/>
  <c r="D25" i="425"/>
  <c r="C25" i="425"/>
  <c r="E25" i="425" s="1"/>
  <c r="H25" i="425" s="1"/>
  <c r="E24" i="425"/>
  <c r="H24" i="425" s="1"/>
  <c r="E23" i="425"/>
  <c r="H23" i="425" s="1"/>
  <c r="E22" i="425"/>
  <c r="H22" i="425" s="1"/>
  <c r="G21" i="425"/>
  <c r="F21" i="425"/>
  <c r="D21" i="425"/>
  <c r="C21" i="425"/>
  <c r="E21" i="425" s="1"/>
  <c r="H21" i="425" s="1"/>
  <c r="E20" i="425"/>
  <c r="H20" i="425" s="1"/>
  <c r="E19" i="425"/>
  <c r="H19" i="425" s="1"/>
  <c r="E18" i="425"/>
  <c r="H18" i="425" s="1"/>
  <c r="E17" i="425"/>
  <c r="H17" i="425" s="1"/>
  <c r="E15" i="425"/>
  <c r="H15" i="425" s="1"/>
  <c r="E14" i="425"/>
  <c r="H14" i="425" s="1"/>
  <c r="E13" i="425"/>
  <c r="H13" i="425" s="1"/>
  <c r="E11" i="425"/>
  <c r="H11" i="425" s="1"/>
  <c r="E10" i="425"/>
  <c r="H10" i="425" s="1"/>
  <c r="G9" i="425"/>
  <c r="F9" i="425"/>
  <c r="D9" i="425"/>
  <c r="C9" i="425"/>
  <c r="E9" i="425" s="1"/>
  <c r="H9" i="425" s="1"/>
  <c r="E29" i="425" l="1"/>
  <c r="G81" i="426"/>
  <c r="E28" i="425"/>
  <c r="E33" i="425"/>
  <c r="H33" i="425" s="1"/>
  <c r="D29" i="424" l="1"/>
  <c r="D15" i="424"/>
  <c r="D20" i="424" s="1"/>
  <c r="E34" i="424"/>
  <c r="E33" i="424"/>
  <c r="E32" i="424"/>
  <c r="E31" i="424"/>
  <c r="E30" i="424"/>
  <c r="E18" i="424"/>
  <c r="E17" i="424"/>
  <c r="E16" i="424"/>
  <c r="E14" i="424"/>
  <c r="E13" i="424"/>
  <c r="E12" i="424"/>
  <c r="E11" i="424"/>
  <c r="E10" i="424"/>
  <c r="E9" i="424"/>
  <c r="D27" i="423" l="1"/>
  <c r="C27" i="423"/>
  <c r="D12" i="423"/>
  <c r="D29" i="423" s="1"/>
  <c r="C12" i="423"/>
  <c r="C29" i="423" s="1"/>
  <c r="E22" i="421" l="1"/>
  <c r="E19" i="421"/>
  <c r="C18" i="421"/>
  <c r="E18" i="421" s="1"/>
  <c r="D25" i="421"/>
  <c r="E24" i="421"/>
  <c r="E23" i="421"/>
  <c r="D15" i="421"/>
  <c r="C15" i="421"/>
  <c r="E14" i="421"/>
  <c r="E13" i="421"/>
  <c r="E12" i="421"/>
  <c r="E11" i="421"/>
  <c r="E10" i="421"/>
  <c r="E9" i="421"/>
  <c r="E8" i="421"/>
  <c r="E15" i="421" l="1"/>
  <c r="C25" i="421"/>
  <c r="D27" i="421"/>
  <c r="C27" i="421" l="1"/>
  <c r="E27" i="421" s="1"/>
  <c r="E25" i="421"/>
  <c r="E44" i="420"/>
  <c r="H44" i="420" s="1"/>
  <c r="E43" i="420"/>
  <c r="H43" i="420" s="1"/>
  <c r="E42" i="420"/>
  <c r="H42" i="420" s="1"/>
  <c r="E41" i="420"/>
  <c r="H41" i="420" s="1"/>
  <c r="G40" i="420"/>
  <c r="F40" i="420"/>
  <c r="D40" i="420"/>
  <c r="C40" i="420"/>
  <c r="H38" i="420"/>
  <c r="E38" i="420"/>
  <c r="E37" i="420"/>
  <c r="H37" i="420" s="1"/>
  <c r="H36" i="420"/>
  <c r="E36" i="420"/>
  <c r="E35" i="420"/>
  <c r="H35" i="420" s="1"/>
  <c r="H34" i="420"/>
  <c r="E34" i="420"/>
  <c r="E33" i="420"/>
  <c r="H33" i="420" s="1"/>
  <c r="H32" i="420"/>
  <c r="E32" i="420"/>
  <c r="E31" i="420"/>
  <c r="H31" i="420" s="1"/>
  <c r="H27" i="420"/>
  <c r="E27" i="420"/>
  <c r="E26" i="420"/>
  <c r="H26" i="420" s="1"/>
  <c r="H25" i="420"/>
  <c r="E25" i="420"/>
  <c r="E24" i="420"/>
  <c r="H24" i="420" s="1"/>
  <c r="H23" i="420"/>
  <c r="E23" i="420"/>
  <c r="E22" i="420"/>
  <c r="H22" i="420" s="1"/>
  <c r="H21" i="420"/>
  <c r="E21" i="420"/>
  <c r="G20" i="420"/>
  <c r="F20" i="420"/>
  <c r="D20" i="420"/>
  <c r="C20" i="420"/>
  <c r="E20" i="420" s="1"/>
  <c r="H20" i="420" s="1"/>
  <c r="H18" i="420"/>
  <c r="E18" i="420"/>
  <c r="E17" i="420"/>
  <c r="H17" i="420" s="1"/>
  <c r="H16" i="420"/>
  <c r="E16" i="420"/>
  <c r="E15" i="420"/>
  <c r="H15" i="420" s="1"/>
  <c r="H14" i="420"/>
  <c r="E14" i="420"/>
  <c r="E13" i="420"/>
  <c r="H13" i="420" s="1"/>
  <c r="H12" i="420"/>
  <c r="E12" i="420"/>
  <c r="E11" i="420"/>
  <c r="H11" i="420" s="1"/>
  <c r="G10" i="420"/>
  <c r="F10" i="420"/>
  <c r="E10" i="420"/>
  <c r="H10" i="420" s="1"/>
  <c r="D10" i="420"/>
  <c r="C10" i="420"/>
  <c r="E40" i="420" l="1"/>
  <c r="H40" i="420" s="1"/>
  <c r="C42" i="419" l="1"/>
  <c r="C38" i="419"/>
  <c r="C36" i="419"/>
  <c r="E36" i="419" s="1"/>
  <c r="C35" i="419"/>
  <c r="C34" i="419"/>
  <c r="E34" i="419" s="1"/>
  <c r="C32" i="419"/>
  <c r="C31" i="419"/>
  <c r="E31" i="419" s="1"/>
  <c r="C30" i="419"/>
  <c r="C29" i="419"/>
  <c r="E29" i="419" s="1"/>
  <c r="C28" i="419"/>
  <c r="C23" i="419"/>
  <c r="C22" i="419"/>
  <c r="E22" i="419" s="1"/>
  <c r="C19" i="419"/>
  <c r="C18" i="419"/>
  <c r="E18" i="419" s="1"/>
  <c r="C14" i="419"/>
  <c r="E14" i="419" s="1"/>
  <c r="C13" i="419"/>
  <c r="E13" i="419" s="1"/>
  <c r="C12" i="419"/>
  <c r="C10" i="419"/>
  <c r="E10" i="419" s="1"/>
  <c r="H80" i="419"/>
  <c r="H79" i="419"/>
  <c r="E79" i="419"/>
  <c r="E78" i="419"/>
  <c r="H78" i="419" s="1"/>
  <c r="H77" i="419"/>
  <c r="E77" i="419"/>
  <c r="E76" i="419"/>
  <c r="H76" i="419" s="1"/>
  <c r="H75" i="419"/>
  <c r="E75" i="419"/>
  <c r="E74" i="419"/>
  <c r="H74" i="419" s="1"/>
  <c r="G73" i="419"/>
  <c r="F73" i="419"/>
  <c r="D73" i="419"/>
  <c r="C73" i="419"/>
  <c r="H72" i="419"/>
  <c r="E72" i="419"/>
  <c r="H71" i="419"/>
  <c r="E71" i="419"/>
  <c r="H70" i="419"/>
  <c r="E70" i="419"/>
  <c r="G69" i="419"/>
  <c r="F69" i="419"/>
  <c r="D69" i="419"/>
  <c r="C69" i="419"/>
  <c r="E69" i="419" s="1"/>
  <c r="H69" i="419" s="1"/>
  <c r="H68" i="419"/>
  <c r="E68" i="419"/>
  <c r="H67" i="419"/>
  <c r="E67" i="419"/>
  <c r="H66" i="419"/>
  <c r="E66" i="419"/>
  <c r="H65" i="419"/>
  <c r="E65" i="419"/>
  <c r="H64" i="419"/>
  <c r="E64" i="419"/>
  <c r="H63" i="419"/>
  <c r="E63" i="419"/>
  <c r="H62" i="419"/>
  <c r="E62" i="419"/>
  <c r="G61" i="419"/>
  <c r="F61" i="419"/>
  <c r="D61" i="419"/>
  <c r="C61" i="419"/>
  <c r="E61" i="419" s="1"/>
  <c r="H61" i="419" s="1"/>
  <c r="H60" i="419"/>
  <c r="E60" i="419"/>
  <c r="H59" i="419"/>
  <c r="E59" i="419"/>
  <c r="H58" i="419"/>
  <c r="E58" i="419"/>
  <c r="G57" i="419"/>
  <c r="F57" i="419"/>
  <c r="D57" i="419"/>
  <c r="C57" i="419"/>
  <c r="E57" i="419" s="1"/>
  <c r="H57" i="419" s="1"/>
  <c r="H56" i="419"/>
  <c r="E56" i="419"/>
  <c r="H55" i="419"/>
  <c r="E55" i="419"/>
  <c r="H54" i="419"/>
  <c r="E54" i="419"/>
  <c r="H53" i="419"/>
  <c r="E53" i="419"/>
  <c r="H52" i="419"/>
  <c r="E52" i="419"/>
  <c r="H51" i="419"/>
  <c r="E51" i="419"/>
  <c r="H50" i="419"/>
  <c r="E50" i="419"/>
  <c r="H49" i="419"/>
  <c r="E49" i="419"/>
  <c r="H48" i="419"/>
  <c r="E48" i="419"/>
  <c r="G47" i="419"/>
  <c r="F47" i="419"/>
  <c r="D47" i="419"/>
  <c r="C47" i="419"/>
  <c r="E47" i="419" s="1"/>
  <c r="H47" i="419" s="1"/>
  <c r="H46" i="419"/>
  <c r="E46" i="419"/>
  <c r="H45" i="419"/>
  <c r="E45" i="419"/>
  <c r="H44" i="419"/>
  <c r="E44" i="419"/>
  <c r="H43" i="419"/>
  <c r="E43" i="419"/>
  <c r="E42" i="419"/>
  <c r="H41" i="419"/>
  <c r="E41" i="419"/>
  <c r="H40" i="419"/>
  <c r="E40" i="419"/>
  <c r="H39" i="419"/>
  <c r="E39" i="419"/>
  <c r="E38" i="419"/>
  <c r="D37" i="419"/>
  <c r="C37" i="419"/>
  <c r="E37" i="419" s="1"/>
  <c r="E33" i="419"/>
  <c r="H33" i="419" s="1"/>
  <c r="H26" i="419"/>
  <c r="E26" i="419"/>
  <c r="E25" i="419"/>
  <c r="H25" i="419" s="1"/>
  <c r="H24" i="419"/>
  <c r="E24" i="419"/>
  <c r="E23" i="419"/>
  <c r="H21" i="419"/>
  <c r="E21" i="419"/>
  <c r="E20" i="419"/>
  <c r="H20" i="419" s="1"/>
  <c r="D17" i="419"/>
  <c r="E16" i="419"/>
  <c r="H16" i="419" s="1"/>
  <c r="E15" i="419"/>
  <c r="H15" i="419" s="1"/>
  <c r="E11" i="419"/>
  <c r="H11" i="419" s="1"/>
  <c r="E12" i="419" l="1"/>
  <c r="E35" i="419"/>
  <c r="E28" i="419"/>
  <c r="E19" i="419"/>
  <c r="D9" i="419"/>
  <c r="E32" i="419"/>
  <c r="D27" i="419"/>
  <c r="D81" i="419" s="1"/>
  <c r="E30" i="419"/>
  <c r="C27" i="419"/>
  <c r="C81" i="419" s="1"/>
  <c r="C17" i="419"/>
  <c r="E17" i="419" s="1"/>
  <c r="C9" i="419"/>
  <c r="E9" i="419" s="1"/>
  <c r="E73" i="419"/>
  <c r="H73" i="419" s="1"/>
  <c r="E27" i="419" l="1"/>
  <c r="E81" i="419"/>
  <c r="D16" i="418"/>
  <c r="C16" i="418"/>
  <c r="E18" i="418"/>
  <c r="H18" i="418" s="1"/>
  <c r="E14" i="418"/>
  <c r="H14" i="418" s="1"/>
  <c r="E12" i="418"/>
  <c r="H12" i="418" s="1"/>
  <c r="E16" i="418" l="1"/>
  <c r="E20" i="417" l="1"/>
  <c r="H20" i="417" s="1"/>
  <c r="E18" i="417"/>
  <c r="H18" i="417" s="1"/>
  <c r="E16" i="417"/>
  <c r="H16" i="417" s="1"/>
  <c r="E14" i="417"/>
  <c r="H14" i="417" s="1"/>
  <c r="E12" i="417"/>
  <c r="H12" i="417" s="1"/>
  <c r="E18" i="416" l="1"/>
  <c r="H18" i="416" s="1"/>
  <c r="E17" i="416"/>
  <c r="H17" i="416" s="1"/>
  <c r="E16" i="416"/>
  <c r="H16" i="416" s="1"/>
  <c r="E15" i="416"/>
  <c r="H15" i="416" s="1"/>
  <c r="E14" i="416"/>
  <c r="H14" i="416" s="1"/>
  <c r="E13" i="416"/>
  <c r="H13" i="416" s="1"/>
  <c r="E12" i="416"/>
  <c r="H12" i="416" s="1"/>
  <c r="E11" i="416"/>
  <c r="H11" i="416" s="1"/>
  <c r="D34" i="415" l="1"/>
  <c r="H33" i="415"/>
  <c r="H32" i="415"/>
  <c r="E32" i="415"/>
  <c r="H31" i="415"/>
  <c r="E31" i="415"/>
  <c r="H30" i="415"/>
  <c r="E30" i="415"/>
  <c r="H29" i="415"/>
  <c r="E29" i="415"/>
  <c r="H28" i="415"/>
  <c r="E28" i="415"/>
  <c r="H27" i="415"/>
  <c r="E27" i="415"/>
  <c r="H26" i="415"/>
  <c r="E26" i="415"/>
  <c r="H25" i="415"/>
  <c r="E25" i="415"/>
  <c r="H24" i="415"/>
  <c r="E24" i="415"/>
  <c r="H23" i="415"/>
  <c r="E23" i="415"/>
  <c r="H22" i="415"/>
  <c r="E22" i="415"/>
  <c r="H21" i="415"/>
  <c r="E21" i="415"/>
  <c r="H20" i="415"/>
  <c r="E20" i="415"/>
  <c r="H19" i="415"/>
  <c r="E19" i="415"/>
  <c r="H18" i="415"/>
  <c r="E18" i="415"/>
  <c r="H17" i="415"/>
  <c r="E17" i="415"/>
  <c r="H16" i="415"/>
  <c r="E16" i="415"/>
  <c r="H15" i="415"/>
  <c r="E15" i="415"/>
  <c r="H14" i="415"/>
  <c r="E14" i="415"/>
  <c r="H13" i="415"/>
  <c r="E13" i="415"/>
  <c r="H12" i="415"/>
  <c r="E12" i="415"/>
  <c r="H11" i="415"/>
  <c r="E11" i="415"/>
  <c r="H10" i="415"/>
  <c r="E10" i="415"/>
  <c r="E9" i="415"/>
  <c r="E25" i="414" l="1"/>
  <c r="D24" i="414"/>
  <c r="C24" i="414"/>
  <c r="E24" i="414" s="1"/>
  <c r="H22" i="414"/>
  <c r="E22" i="414"/>
  <c r="H20" i="414"/>
  <c r="E20" i="414"/>
  <c r="H19" i="414"/>
  <c r="E19" i="414"/>
  <c r="D18" i="414"/>
  <c r="H16" i="414"/>
  <c r="E16" i="414"/>
  <c r="H15" i="414"/>
  <c r="E15" i="414"/>
  <c r="H14" i="414"/>
  <c r="E14" i="414"/>
  <c r="H13" i="414"/>
  <c r="E13" i="414"/>
  <c r="H12" i="414"/>
  <c r="E12" i="414"/>
  <c r="H11" i="414"/>
  <c r="E11" i="414"/>
  <c r="H10" i="414"/>
  <c r="E10" i="414"/>
  <c r="H9" i="414"/>
  <c r="E9" i="414"/>
  <c r="H8" i="414"/>
  <c r="G8" i="414"/>
  <c r="F8" i="414"/>
  <c r="E8" i="414"/>
  <c r="D8" i="414"/>
  <c r="C8" i="414"/>
  <c r="D26" i="414" l="1"/>
  <c r="D18" i="413"/>
  <c r="E17" i="413"/>
  <c r="H16" i="413"/>
  <c r="E16" i="413"/>
  <c r="H15" i="413"/>
  <c r="E15" i="413"/>
  <c r="H13" i="413"/>
  <c r="E13" i="413"/>
  <c r="H12" i="413"/>
  <c r="E12" i="413"/>
  <c r="H11" i="413"/>
  <c r="E11" i="413"/>
  <c r="H10" i="413"/>
  <c r="E10" i="413"/>
  <c r="H9" i="413"/>
  <c r="E9" i="413"/>
  <c r="H8" i="413"/>
  <c r="E8" i="413"/>
  <c r="B2" i="412" l="1"/>
  <c r="F26" i="412"/>
  <c r="E26" i="412"/>
  <c r="F21" i="412"/>
  <c r="F32" i="412" s="1"/>
  <c r="E21" i="412"/>
  <c r="E32" i="412" s="1"/>
  <c r="F13" i="412"/>
  <c r="E13" i="412"/>
  <c r="F8" i="412"/>
  <c r="F19" i="412" s="1"/>
  <c r="E8" i="412"/>
  <c r="E19" i="412" s="1"/>
  <c r="B2" i="411" l="1"/>
  <c r="F28" i="411"/>
  <c r="G28" i="411" s="1"/>
  <c r="F27" i="411"/>
  <c r="G27" i="411" s="1"/>
  <c r="F26" i="411"/>
  <c r="G26" i="411" s="1"/>
  <c r="F16" i="411"/>
  <c r="G16" i="411" s="1"/>
  <c r="F15" i="411"/>
  <c r="G15" i="411" s="1"/>
  <c r="F14" i="411"/>
  <c r="G14" i="411" s="1"/>
  <c r="D64" i="410" l="1"/>
  <c r="D59" i="410"/>
  <c r="D55" i="410" s="1"/>
  <c r="D54" i="410"/>
  <c r="D50" i="410" s="1"/>
  <c r="D45" i="410"/>
  <c r="D46" i="410"/>
  <c r="D44" i="410"/>
  <c r="D41" i="410"/>
  <c r="D42" i="410"/>
  <c r="D40" i="410"/>
  <c r="D35" i="410"/>
  <c r="D27" i="410"/>
  <c r="D25" i="410"/>
  <c r="C25" i="410"/>
  <c r="D23" i="410"/>
  <c r="D21" i="410"/>
  <c r="D22" i="410"/>
  <c r="D20" i="410"/>
  <c r="D18" i="410"/>
  <c r="D17" i="410"/>
  <c r="D15" i="410"/>
  <c r="B2" i="410"/>
  <c r="D56" i="410"/>
  <c r="C56" i="410"/>
  <c r="D51" i="410"/>
  <c r="C51" i="410"/>
  <c r="D60" i="410" l="1"/>
  <c r="D43" i="410"/>
  <c r="D39" i="410"/>
  <c r="D47" i="410" s="1"/>
  <c r="D19" i="410"/>
  <c r="D8" i="410"/>
  <c r="D50" i="409"/>
  <c r="D48" i="409"/>
  <c r="C50" i="409"/>
  <c r="C48" i="409"/>
  <c r="D40" i="409"/>
  <c r="C40" i="409"/>
  <c r="D25" i="409"/>
  <c r="C25" i="409"/>
  <c r="D24" i="409"/>
  <c r="D23" i="409"/>
  <c r="C24" i="409"/>
  <c r="C23" i="409"/>
  <c r="B2" i="409"/>
  <c r="D47" i="409"/>
  <c r="D38" i="409"/>
  <c r="C38" i="409"/>
  <c r="D36" i="410" l="1"/>
  <c r="D62" i="410" s="1"/>
  <c r="C47" i="409"/>
  <c r="B2" i="408" l="1"/>
  <c r="E35" i="408"/>
  <c r="C9" i="408" l="1"/>
  <c r="C10" i="408"/>
  <c r="C8" i="408"/>
  <c r="G8" i="408" s="1"/>
  <c r="G39" i="408"/>
  <c r="G38" i="408"/>
  <c r="G37" i="408"/>
  <c r="F37" i="408"/>
  <c r="G35" i="408"/>
  <c r="G34" i="408"/>
  <c r="G33" i="408"/>
  <c r="G28" i="408"/>
  <c r="G27" i="408"/>
  <c r="G26" i="408"/>
  <c r="C25" i="408"/>
  <c r="G25" i="408" s="1"/>
  <c r="G17" i="408"/>
  <c r="G16" i="408"/>
  <c r="G15" i="408"/>
  <c r="G10" i="408"/>
  <c r="G9" i="408"/>
  <c r="C7" i="408" l="1"/>
  <c r="C23" i="408" s="1"/>
  <c r="C41" i="408"/>
  <c r="G7" i="408"/>
  <c r="G47" i="407" l="1"/>
  <c r="H47" i="407"/>
  <c r="H46" i="407"/>
  <c r="H45" i="407" s="1"/>
  <c r="G46" i="407"/>
  <c r="G45" i="407" s="1"/>
  <c r="H39" i="407"/>
  <c r="H36" i="407"/>
  <c r="G36" i="407"/>
  <c r="H34" i="407"/>
  <c r="G34" i="407"/>
  <c r="H12" i="407"/>
  <c r="H17" i="407" s="1"/>
  <c r="H29" i="407" s="1"/>
  <c r="H9" i="407"/>
  <c r="H8" i="407"/>
  <c r="D24" i="407"/>
  <c r="D23" i="407"/>
  <c r="D22" i="407"/>
  <c r="D21" i="407"/>
  <c r="D20" i="407"/>
  <c r="D19" i="407"/>
  <c r="D14" i="407"/>
  <c r="D9" i="407"/>
  <c r="D10" i="407"/>
  <c r="D8" i="407"/>
  <c r="D16" i="407" s="1"/>
  <c r="H38" i="407"/>
  <c r="H27" i="407"/>
  <c r="G27" i="407"/>
  <c r="H33" i="407" l="1"/>
  <c r="H49" i="407" s="1"/>
  <c r="H51" i="407" s="1"/>
  <c r="G33" i="407"/>
  <c r="D30" i="407"/>
  <c r="D32" i="407"/>
  <c r="F58" i="406" l="1"/>
  <c r="F52" i="406" s="1"/>
  <c r="F53" i="406"/>
  <c r="F37" i="406"/>
  <c r="F35" i="406"/>
  <c r="E35" i="406"/>
  <c r="F33" i="406"/>
  <c r="F29" i="406"/>
  <c r="F30" i="406"/>
  <c r="F31" i="406"/>
  <c r="F23" i="406"/>
  <c r="F19" i="406"/>
  <c r="F17" i="406"/>
  <c r="F15" i="406" s="1"/>
  <c r="F14" i="406"/>
  <c r="F7" i="406" s="1"/>
  <c r="F59" i="406"/>
  <c r="E59" i="406"/>
  <c r="F46" i="406"/>
  <c r="E46" i="406"/>
  <c r="F42" i="406"/>
  <c r="E42" i="406"/>
  <c r="F28" i="406"/>
  <c r="F18" i="406" l="1"/>
  <c r="F25" i="406" s="1"/>
  <c r="F32" i="406"/>
  <c r="F62" i="406"/>
  <c r="F64" i="406" l="1"/>
  <c r="H24" i="239" l="1"/>
  <c r="G28" i="237" l="1"/>
  <c r="G27" i="237"/>
  <c r="G26" i="237"/>
  <c r="G21" i="237"/>
  <c r="G22" i="237"/>
  <c r="F35" i="429" l="1"/>
  <c r="H35" i="429" s="1"/>
  <c r="F32" i="419"/>
  <c r="H32" i="419" s="1"/>
  <c r="F31" i="429"/>
  <c r="F28" i="419"/>
  <c r="F37" i="429"/>
  <c r="H37" i="429" s="1"/>
  <c r="F34" i="419"/>
  <c r="H34" i="419" s="1"/>
  <c r="F32" i="429"/>
  <c r="H32" i="429" s="1"/>
  <c r="F29" i="419"/>
  <c r="H29" i="419" s="1"/>
  <c r="F33" i="429"/>
  <c r="H33" i="429" s="1"/>
  <c r="F30" i="419"/>
  <c r="H30" i="419" s="1"/>
  <c r="F38" i="429"/>
  <c r="H38" i="429" s="1"/>
  <c r="F35" i="419"/>
  <c r="H35" i="419" s="1"/>
  <c r="F34" i="429"/>
  <c r="H34" i="429" s="1"/>
  <c r="F31" i="419"/>
  <c r="H31" i="419" s="1"/>
  <c r="F39" i="429"/>
  <c r="H39" i="429" s="1"/>
  <c r="F36" i="419"/>
  <c r="H36" i="419" s="1"/>
  <c r="F27" i="419" l="1"/>
  <c r="H27" i="419" s="1"/>
  <c r="H28" i="419"/>
  <c r="F30" i="429"/>
  <c r="H31" i="429"/>
  <c r="H30" i="429" s="1"/>
  <c r="J37" i="228" l="1"/>
  <c r="I37" i="228"/>
  <c r="J32" i="228"/>
  <c r="J42" i="228" s="1"/>
  <c r="J27" i="228"/>
  <c r="I27" i="228"/>
  <c r="E42" i="228"/>
  <c r="E44" i="228" s="1"/>
  <c r="E22" i="228"/>
  <c r="J20" i="228"/>
  <c r="G19" i="237" l="1"/>
  <c r="C36" i="82"/>
  <c r="I36" i="52" s="1"/>
  <c r="C32" i="82"/>
  <c r="H36" i="52" s="1"/>
  <c r="C25" i="82"/>
  <c r="F36" i="52" s="1"/>
  <c r="C21" i="82"/>
  <c r="E36" i="52" s="1"/>
  <c r="F26" i="429" l="1"/>
  <c r="H26" i="429" s="1"/>
  <c r="F23" i="419"/>
  <c r="H23" i="419" s="1"/>
  <c r="H19" i="239" l="1"/>
  <c r="G14" i="237" l="1"/>
  <c r="G13" i="237"/>
  <c r="F16" i="429" l="1"/>
  <c r="H16" i="429" s="1"/>
  <c r="F13" i="419"/>
  <c r="H13" i="419" s="1"/>
  <c r="F17" i="429"/>
  <c r="H17" i="429" s="1"/>
  <c r="F14" i="419"/>
  <c r="H14" i="419" s="1"/>
  <c r="E130" i="307"/>
  <c r="F130" i="307"/>
  <c r="G130" i="307"/>
  <c r="H130" i="307"/>
  <c r="I130" i="307"/>
  <c r="J130" i="307"/>
  <c r="K130" i="307"/>
  <c r="L130" i="307"/>
  <c r="M130" i="307"/>
  <c r="N130" i="307"/>
  <c r="O130" i="307"/>
  <c r="P130" i="307"/>
  <c r="D130" i="307"/>
  <c r="E58" i="307"/>
  <c r="F58" i="307"/>
  <c r="G58" i="307"/>
  <c r="H58" i="307"/>
  <c r="I58" i="307"/>
  <c r="J58" i="307"/>
  <c r="K58" i="307"/>
  <c r="L58" i="307"/>
  <c r="M58" i="307"/>
  <c r="N58" i="307"/>
  <c r="O58" i="307"/>
  <c r="P58" i="307"/>
  <c r="D58" i="307"/>
  <c r="D132" i="307" l="1"/>
  <c r="M132" i="307"/>
  <c r="I132" i="307"/>
  <c r="P132" i="307"/>
  <c r="H132" i="307"/>
  <c r="L132" i="307"/>
  <c r="E132" i="307"/>
  <c r="O132" i="307"/>
  <c r="K132" i="307"/>
  <c r="G132" i="307"/>
  <c r="N132" i="307"/>
  <c r="J132" i="307"/>
  <c r="F132" i="307"/>
  <c r="S12" i="186" l="1"/>
  <c r="S11" i="186"/>
  <c r="S13" i="186"/>
  <c r="S123" i="186" l="1"/>
  <c r="S122" i="186" s="1"/>
  <c r="P123" i="186"/>
  <c r="P122" i="186" s="1"/>
  <c r="R122" i="186"/>
  <c r="O122" i="186"/>
  <c r="N122" i="186"/>
  <c r="M122" i="186"/>
  <c r="L122" i="186"/>
  <c r="K122" i="186"/>
  <c r="J122" i="186"/>
  <c r="I122" i="186"/>
  <c r="H122" i="186"/>
  <c r="G122" i="186"/>
  <c r="F122" i="186"/>
  <c r="E122" i="186"/>
  <c r="D122" i="186"/>
  <c r="S112" i="186"/>
  <c r="S111" i="186" s="1"/>
  <c r="P112" i="186"/>
  <c r="P111" i="186" s="1"/>
  <c r="R111" i="186"/>
  <c r="O111" i="186"/>
  <c r="N111" i="186"/>
  <c r="M111" i="186"/>
  <c r="L111" i="186"/>
  <c r="K111" i="186"/>
  <c r="J111" i="186"/>
  <c r="I111" i="186"/>
  <c r="H111" i="186"/>
  <c r="G111" i="186"/>
  <c r="F111" i="186"/>
  <c r="E111" i="186"/>
  <c r="D111" i="186"/>
  <c r="S94" i="186"/>
  <c r="S93" i="186" s="1"/>
  <c r="P94" i="186"/>
  <c r="P93" i="186" s="1"/>
  <c r="R93" i="186"/>
  <c r="O93" i="186"/>
  <c r="N93" i="186"/>
  <c r="M93" i="186"/>
  <c r="L93" i="186"/>
  <c r="K93" i="186"/>
  <c r="J93" i="186"/>
  <c r="I93" i="186"/>
  <c r="H93" i="186"/>
  <c r="G93" i="186"/>
  <c r="F93" i="186"/>
  <c r="E93" i="186"/>
  <c r="D93" i="186"/>
  <c r="S82" i="186"/>
  <c r="S81" i="186" s="1"/>
  <c r="P82" i="186"/>
  <c r="P81" i="186" s="1"/>
  <c r="R81" i="186"/>
  <c r="O81" i="186"/>
  <c r="N81" i="186"/>
  <c r="M81" i="186"/>
  <c r="L81" i="186"/>
  <c r="K81" i="186"/>
  <c r="J81" i="186"/>
  <c r="I81" i="186"/>
  <c r="H81" i="186"/>
  <c r="G81" i="186"/>
  <c r="F81" i="186"/>
  <c r="E81" i="186"/>
  <c r="D81" i="186"/>
  <c r="Q122" i="186" l="1"/>
  <c r="Q93" i="186"/>
  <c r="Q111" i="186"/>
  <c r="Q81" i="186"/>
  <c r="D58" i="292" l="1"/>
  <c r="C52" i="426" s="1"/>
  <c r="D32" i="228"/>
  <c r="C21" i="407" s="1"/>
  <c r="E17" i="230" l="1"/>
  <c r="D11" i="411" s="1"/>
  <c r="F17" i="230"/>
  <c r="E11" i="411" s="1"/>
  <c r="E18" i="230"/>
  <c r="D12" i="411" s="1"/>
  <c r="F18" i="230"/>
  <c r="E12" i="411" s="1"/>
  <c r="E19" i="230"/>
  <c r="D13" i="411" s="1"/>
  <c r="F19" i="230"/>
  <c r="E13" i="411" s="1"/>
  <c r="E22" i="230"/>
  <c r="D17" i="411" s="1"/>
  <c r="F22" i="230"/>
  <c r="E17" i="411" s="1"/>
  <c r="E26" i="230"/>
  <c r="D20" i="411" s="1"/>
  <c r="F26" i="230"/>
  <c r="E20" i="411" s="1"/>
  <c r="E10" i="411" l="1"/>
  <c r="D10" i="411"/>
  <c r="F15" i="230"/>
  <c r="E15" i="230"/>
  <c r="K7" i="311" l="1"/>
  <c r="K8" i="311"/>
  <c r="K9" i="311"/>
  <c r="K10" i="311"/>
  <c r="K11" i="311"/>
  <c r="K12" i="311"/>
  <c r="K13" i="311"/>
  <c r="K14" i="311"/>
  <c r="K15" i="311"/>
  <c r="K16" i="311"/>
  <c r="K17" i="311"/>
  <c r="K18" i="311"/>
  <c r="P141" i="186" l="1"/>
  <c r="P52" i="186" l="1"/>
  <c r="C59" i="28" l="1"/>
  <c r="S141" i="186"/>
  <c r="F246" i="307" l="1"/>
  <c r="H18" i="239" l="1"/>
  <c r="D17" i="230" l="1"/>
  <c r="D18" i="230"/>
  <c r="D19" i="230"/>
  <c r="G20" i="230"/>
  <c r="D21" i="230"/>
  <c r="G21" i="230" s="1"/>
  <c r="D22" i="230"/>
  <c r="G22" i="230" l="1"/>
  <c r="C17" i="411"/>
  <c r="F17" i="411" s="1"/>
  <c r="G17" i="411" s="1"/>
  <c r="G19" i="230"/>
  <c r="C13" i="411"/>
  <c r="F13" i="411" s="1"/>
  <c r="G13" i="411" s="1"/>
  <c r="G18" i="230"/>
  <c r="C12" i="411"/>
  <c r="F12" i="411" s="1"/>
  <c r="G12" i="411" s="1"/>
  <c r="G17" i="230"/>
  <c r="C11" i="411"/>
  <c r="D15" i="230"/>
  <c r="G15" i="230" s="1"/>
  <c r="C10" i="411" l="1"/>
  <c r="F11" i="411"/>
  <c r="G11" i="411" s="1"/>
  <c r="P10" i="186"/>
  <c r="P11" i="186"/>
  <c r="P12" i="186"/>
  <c r="P13" i="186"/>
  <c r="P14" i="186"/>
  <c r="P15" i="186"/>
  <c r="P16" i="186"/>
  <c r="P17" i="186"/>
  <c r="P18" i="186"/>
  <c r="F10" i="411" l="1"/>
  <c r="G10" i="411" s="1"/>
  <c r="G47" i="232" l="1"/>
  <c r="H47" i="232" s="1"/>
  <c r="G46" i="232"/>
  <c r="H46" i="232" s="1"/>
  <c r="G28" i="232"/>
  <c r="G27" i="232"/>
  <c r="E44" i="232"/>
  <c r="F44" i="232"/>
  <c r="D44" i="232"/>
  <c r="E26" i="232"/>
  <c r="F26" i="232"/>
  <c r="D26" i="232"/>
  <c r="H28" i="232" l="1"/>
  <c r="F21" i="408"/>
  <c r="G21" i="408" s="1"/>
  <c r="H27" i="232"/>
  <c r="F20" i="408"/>
  <c r="H44" i="232"/>
  <c r="G44" i="232"/>
  <c r="H26" i="232"/>
  <c r="G26" i="232"/>
  <c r="G37" i="232"/>
  <c r="D37" i="232"/>
  <c r="H42" i="232"/>
  <c r="F19" i="408" l="1"/>
  <c r="G20" i="408"/>
  <c r="M52" i="211"/>
  <c r="L52" i="211"/>
  <c r="G19" i="408" l="1"/>
  <c r="F23" i="408"/>
  <c r="F41" i="408" s="1"/>
  <c r="H17" i="239"/>
  <c r="E67" i="328" l="1"/>
  <c r="E51" i="328" l="1"/>
  <c r="G51" i="328" s="1"/>
  <c r="E68" i="328"/>
  <c r="E70" i="328" s="1"/>
  <c r="E52" i="328"/>
  <c r="G52" i="328" s="1"/>
  <c r="E53" i="328"/>
  <c r="F53" i="328" s="1"/>
  <c r="E49" i="328"/>
  <c r="F49" i="328" s="1"/>
  <c r="E33" i="328"/>
  <c r="G33" i="328" s="1"/>
  <c r="E32" i="328"/>
  <c r="G32" i="328" s="1"/>
  <c r="E31" i="328"/>
  <c r="F31" i="328" s="1"/>
  <c r="E30" i="328"/>
  <c r="G30" i="328" s="1"/>
  <c r="E29" i="328"/>
  <c r="G29" i="328" s="1"/>
  <c r="E28" i="328"/>
  <c r="F28" i="328" s="1"/>
  <c r="E18" i="328"/>
  <c r="G18" i="328" s="1"/>
  <c r="E23" i="328"/>
  <c r="G23" i="328" s="1"/>
  <c r="E21" i="328"/>
  <c r="F21" i="328" s="1"/>
  <c r="E19" i="328"/>
  <c r="G19" i="328" s="1"/>
  <c r="E16" i="328"/>
  <c r="E15" i="328"/>
  <c r="E14" i="328"/>
  <c r="G71" i="328"/>
  <c r="F71" i="328"/>
  <c r="C70" i="328"/>
  <c r="G69" i="328"/>
  <c r="F69" i="328"/>
  <c r="G67" i="328"/>
  <c r="F67" i="328"/>
  <c r="G66" i="328"/>
  <c r="F66" i="328"/>
  <c r="G65" i="328"/>
  <c r="F65" i="328"/>
  <c r="E59" i="328"/>
  <c r="C59" i="328"/>
  <c r="C55" i="328"/>
  <c r="G54" i="328"/>
  <c r="F54" i="328"/>
  <c r="G50" i="328"/>
  <c r="F50" i="328"/>
  <c r="E41" i="328"/>
  <c r="C41" i="328"/>
  <c r="G40" i="328"/>
  <c r="G39" i="328"/>
  <c r="C36" i="328"/>
  <c r="G34" i="328"/>
  <c r="F34" i="328"/>
  <c r="G22" i="328"/>
  <c r="F22" i="328"/>
  <c r="C25" i="328"/>
  <c r="G17" i="328"/>
  <c r="F17" i="328"/>
  <c r="G28" i="328" l="1"/>
  <c r="C61" i="328"/>
  <c r="C72" i="328" s="1"/>
  <c r="G41" i="328"/>
  <c r="F41" i="328"/>
  <c r="C43" i="328"/>
  <c r="F68" i="328"/>
  <c r="G68" i="328"/>
  <c r="F70" i="328"/>
  <c r="F52" i="328"/>
  <c r="G53" i="328"/>
  <c r="F33" i="328"/>
  <c r="F32" i="328"/>
  <c r="G31" i="328"/>
  <c r="F30" i="328"/>
  <c r="F29" i="328"/>
  <c r="E36" i="328"/>
  <c r="F23" i="328"/>
  <c r="G21" i="328"/>
  <c r="F19" i="328"/>
  <c r="F18" i="328"/>
  <c r="E25" i="328"/>
  <c r="F20" i="328"/>
  <c r="G49" i="328"/>
  <c r="F51" i="328"/>
  <c r="G20" i="328"/>
  <c r="E55" i="328"/>
  <c r="E61" i="328" s="1"/>
  <c r="E72" i="328" s="1"/>
  <c r="C78" i="328" l="1"/>
  <c r="G75" i="328"/>
  <c r="F74" i="328"/>
  <c r="E43" i="328"/>
  <c r="E78" i="328" s="1"/>
  <c r="G76" i="328" l="1"/>
  <c r="I14" i="52" l="1"/>
  <c r="C28" i="51"/>
  <c r="I21" i="227" l="1"/>
  <c r="I17" i="227"/>
  <c r="G31" i="233" l="1"/>
  <c r="C23" i="410" s="1"/>
  <c r="E33" i="406"/>
  <c r="G35" i="233"/>
  <c r="C27" i="410" s="1"/>
  <c r="E37" i="406"/>
  <c r="F249" i="307"/>
  <c r="E32" i="406" l="1"/>
  <c r="F48" i="211"/>
  <c r="E48" i="211"/>
  <c r="L37" i="211" l="1"/>
  <c r="F41" i="211" s="1"/>
  <c r="L26" i="211"/>
  <c r="F34" i="211" s="1"/>
  <c r="G34" i="211" l="1"/>
  <c r="M29" i="52"/>
  <c r="M33" i="52"/>
  <c r="M21" i="52"/>
  <c r="G31" i="237" l="1"/>
  <c r="H30" i="241" s="1"/>
  <c r="G30" i="237"/>
  <c r="H14" i="237"/>
  <c r="H13" i="237"/>
  <c r="F30" i="230"/>
  <c r="E25" i="411" s="1"/>
  <c r="E30" i="230"/>
  <c r="D25" i="411" s="1"/>
  <c r="F29" i="230"/>
  <c r="E24" i="411" s="1"/>
  <c r="E29" i="230"/>
  <c r="D24" i="411" s="1"/>
  <c r="F28" i="230"/>
  <c r="E23" i="411" s="1"/>
  <c r="E28" i="230"/>
  <c r="D23" i="411" s="1"/>
  <c r="F27" i="230"/>
  <c r="E22" i="411" s="1"/>
  <c r="E27" i="230"/>
  <c r="D22" i="411" s="1"/>
  <c r="C72" i="247"/>
  <c r="D19" i="411" l="1"/>
  <c r="E19" i="411"/>
  <c r="E8" i="411" s="1"/>
  <c r="H30" i="237"/>
  <c r="F41" i="429"/>
  <c r="F38" i="419"/>
  <c r="H31" i="237"/>
  <c r="I30" i="241" s="1"/>
  <c r="F45" i="429"/>
  <c r="H45" i="429" s="1"/>
  <c r="F29" i="425"/>
  <c r="F42" i="419"/>
  <c r="H42" i="419" s="1"/>
  <c r="F16" i="418"/>
  <c r="H16" i="418" s="1"/>
  <c r="G16" i="429"/>
  <c r="G13" i="419"/>
  <c r="G17" i="429"/>
  <c r="G14" i="419"/>
  <c r="E24" i="230"/>
  <c r="F24" i="230"/>
  <c r="F13" i="230" s="1"/>
  <c r="C59" i="82"/>
  <c r="C58" i="82"/>
  <c r="C57" i="82"/>
  <c r="C48" i="51"/>
  <c r="D8" i="411" l="1"/>
  <c r="G45" i="429"/>
  <c r="G29" i="425"/>
  <c r="G28" i="425" s="1"/>
  <c r="G42" i="419"/>
  <c r="G16" i="418"/>
  <c r="F28" i="425"/>
  <c r="H28" i="425" s="1"/>
  <c r="H29" i="425"/>
  <c r="F40" i="429"/>
  <c r="H41" i="429"/>
  <c r="H40" i="429" s="1"/>
  <c r="H38" i="419"/>
  <c r="F37" i="419"/>
  <c r="H37" i="419" s="1"/>
  <c r="G41" i="429"/>
  <c r="G38" i="419"/>
  <c r="E13" i="230"/>
  <c r="C13" i="18"/>
  <c r="C21" i="52"/>
  <c r="E251" i="307"/>
  <c r="G249" i="307"/>
  <c r="G247" i="307"/>
  <c r="E229" i="307"/>
  <c r="F229" i="307"/>
  <c r="G229" i="307"/>
  <c r="H229" i="307"/>
  <c r="I229" i="307"/>
  <c r="J229" i="307"/>
  <c r="K229" i="307"/>
  <c r="L229" i="307"/>
  <c r="M229" i="307"/>
  <c r="N229" i="307"/>
  <c r="O229" i="307"/>
  <c r="P229" i="307"/>
  <c r="D229" i="307"/>
  <c r="O224" i="307"/>
  <c r="N224" i="307"/>
  <c r="M224" i="307"/>
  <c r="L224" i="307"/>
  <c r="K224" i="307"/>
  <c r="J224" i="307"/>
  <c r="I224" i="307"/>
  <c r="H224" i="307"/>
  <c r="G224" i="307"/>
  <c r="F224" i="307"/>
  <c r="E224" i="307"/>
  <c r="D224" i="307"/>
  <c r="P223" i="307"/>
  <c r="P222" i="307"/>
  <c r="P221" i="307"/>
  <c r="P220" i="307"/>
  <c r="S137" i="186"/>
  <c r="S57" i="186"/>
  <c r="S56" i="186"/>
  <c r="S55" i="186"/>
  <c r="S140" i="186"/>
  <c r="S138" i="186"/>
  <c r="P140" i="186"/>
  <c r="P139" i="186"/>
  <c r="P138" i="186"/>
  <c r="P137" i="186"/>
  <c r="R142" i="186"/>
  <c r="D142" i="186"/>
  <c r="P136" i="186" l="1"/>
  <c r="P142" i="186" s="1"/>
  <c r="G37" i="419"/>
  <c r="G40" i="429"/>
  <c r="P224" i="307"/>
  <c r="L21" i="52"/>
  <c r="N21" i="52" s="1"/>
  <c r="J21" i="52"/>
  <c r="Q142" i="186"/>
  <c r="S139" i="186"/>
  <c r="S136" i="186" s="1"/>
  <c r="S142" i="186" l="1"/>
  <c r="B17" i="18"/>
  <c r="E21" i="234"/>
  <c r="C16" i="428" s="1"/>
  <c r="E16" i="428" l="1"/>
  <c r="E43" i="428" s="1"/>
  <c r="E73" i="428" s="1"/>
  <c r="C43" i="428"/>
  <c r="C73" i="428" s="1"/>
  <c r="P57" i="186"/>
  <c r="P56" i="186"/>
  <c r="P55" i="186"/>
  <c r="Q54" i="186"/>
  <c r="R54" i="186"/>
  <c r="C11" i="82" s="1"/>
  <c r="C33" i="52" s="1"/>
  <c r="S54" i="186"/>
  <c r="E54" i="186"/>
  <c r="F54" i="186"/>
  <c r="G54" i="186"/>
  <c r="H54" i="186"/>
  <c r="I54" i="186"/>
  <c r="J54" i="186"/>
  <c r="K54" i="186"/>
  <c r="L54" i="186"/>
  <c r="M54" i="186"/>
  <c r="N54" i="186"/>
  <c r="O54" i="186"/>
  <c r="D9" i="186"/>
  <c r="J33" i="52" l="1"/>
  <c r="L33" i="52"/>
  <c r="N33" i="52" s="1"/>
  <c r="P54" i="186"/>
  <c r="M19" i="52" l="1"/>
  <c r="M23" i="52"/>
  <c r="M25" i="52"/>
  <c r="M30" i="52"/>
  <c r="M31" i="52"/>
  <c r="M32" i="52"/>
  <c r="M39" i="52"/>
  <c r="M41" i="52"/>
  <c r="M43" i="52"/>
  <c r="L14" i="52"/>
  <c r="L15" i="52"/>
  <c r="L16" i="52"/>
  <c r="L17" i="52"/>
  <c r="L36" i="52"/>
  <c r="L37" i="52"/>
  <c r="D65" i="211"/>
  <c r="H21" i="237" l="1"/>
  <c r="G31" i="429" l="1"/>
  <c r="G28" i="419"/>
  <c r="H23" i="237"/>
  <c r="G33" i="429" l="1"/>
  <c r="G30" i="419"/>
  <c r="H25" i="237"/>
  <c r="H24" i="237"/>
  <c r="G34" i="429" l="1"/>
  <c r="G31" i="419"/>
  <c r="G35" i="429"/>
  <c r="G32" i="419"/>
  <c r="C5" i="292"/>
  <c r="S17" i="186" l="1"/>
  <c r="I35" i="292" l="1"/>
  <c r="I29" i="292"/>
  <c r="I26" i="292" s="1"/>
  <c r="I25" i="292"/>
  <c r="F18" i="426" s="1"/>
  <c r="I24" i="292"/>
  <c r="F16" i="426" s="1"/>
  <c r="I19" i="292"/>
  <c r="I18" i="292"/>
  <c r="D46" i="292"/>
  <c r="D42" i="292"/>
  <c r="D36" i="292"/>
  <c r="C28" i="426" s="1"/>
  <c r="D34" i="292"/>
  <c r="C26" i="426" s="1"/>
  <c r="D30" i="292"/>
  <c r="C22" i="426" s="1"/>
  <c r="D29" i="292"/>
  <c r="C21" i="426" s="1"/>
  <c r="D28" i="292"/>
  <c r="C20" i="426" s="1"/>
  <c r="D27" i="292"/>
  <c r="C19" i="426" s="1"/>
  <c r="D21" i="292"/>
  <c r="C13" i="426" s="1"/>
  <c r="D19" i="292"/>
  <c r="C11" i="426" s="1"/>
  <c r="D18" i="292"/>
  <c r="C10" i="426" s="1"/>
  <c r="J83" i="292"/>
  <c r="I83" i="292"/>
  <c r="J75" i="292"/>
  <c r="J69" i="292"/>
  <c r="I69" i="292"/>
  <c r="J63" i="292"/>
  <c r="I49" i="292"/>
  <c r="I45" i="292"/>
  <c r="I38" i="292"/>
  <c r="I30" i="292"/>
  <c r="I78" i="292"/>
  <c r="F70" i="426" s="1"/>
  <c r="I77" i="292"/>
  <c r="F69" i="426" s="1"/>
  <c r="E66" i="292"/>
  <c r="D61" i="292"/>
  <c r="C55" i="426" s="1"/>
  <c r="D60" i="292"/>
  <c r="C54" i="426" s="1"/>
  <c r="D59" i="292"/>
  <c r="C53" i="426" s="1"/>
  <c r="I57" i="292"/>
  <c r="I63" i="292" s="1"/>
  <c r="D57" i="292"/>
  <c r="C51" i="426" s="1"/>
  <c r="D56" i="292"/>
  <c r="C50" i="426" s="1"/>
  <c r="C6" i="292"/>
  <c r="D45" i="292" l="1"/>
  <c r="C42" i="426"/>
  <c r="C41" i="426" s="1"/>
  <c r="C9" i="426"/>
  <c r="F68" i="426"/>
  <c r="F79" i="426" s="1"/>
  <c r="I34" i="292"/>
  <c r="F28" i="426"/>
  <c r="F27" i="426" s="1"/>
  <c r="F9" i="426"/>
  <c r="C60" i="426"/>
  <c r="C25" i="426"/>
  <c r="C17" i="426"/>
  <c r="D33" i="292"/>
  <c r="D25" i="292"/>
  <c r="J88" i="292"/>
  <c r="I75" i="292"/>
  <c r="I88" i="292" s="1"/>
  <c r="I17" i="292"/>
  <c r="D17" i="292"/>
  <c r="J52" i="292"/>
  <c r="J65" i="292" s="1"/>
  <c r="E51" i="292"/>
  <c r="E68" i="292" s="1"/>
  <c r="D66" i="292"/>
  <c r="C47" i="426" l="1"/>
  <c r="C62" i="426" s="1"/>
  <c r="I52" i="292"/>
  <c r="I65" i="292" s="1"/>
  <c r="I90" i="292" s="1"/>
  <c r="F47" i="426"/>
  <c r="F59" i="426" s="1"/>
  <c r="F81" i="426" s="1"/>
  <c r="J90" i="292"/>
  <c r="D51" i="292"/>
  <c r="D68" i="292" s="1"/>
  <c r="C10" i="407" l="1"/>
  <c r="C53" i="82" l="1"/>
  <c r="I19" i="227" s="1"/>
  <c r="C59" i="247" s="1"/>
  <c r="C46" i="82"/>
  <c r="C36" i="28"/>
  <c r="F13" i="237"/>
  <c r="D27" i="239"/>
  <c r="C25" i="247"/>
  <c r="D29" i="229"/>
  <c r="D31" i="228"/>
  <c r="P128" i="186"/>
  <c r="P127" i="186"/>
  <c r="P126" i="186"/>
  <c r="P118" i="186"/>
  <c r="P117" i="186"/>
  <c r="P116" i="186"/>
  <c r="P115" i="186"/>
  <c r="P107" i="186"/>
  <c r="P106" i="186" s="1"/>
  <c r="P108" i="186" s="1"/>
  <c r="P101" i="186"/>
  <c r="P100" i="186"/>
  <c r="P99" i="186"/>
  <c r="P98" i="186"/>
  <c r="P97" i="186"/>
  <c r="P88" i="186"/>
  <c r="P87" i="186"/>
  <c r="P85" i="186"/>
  <c r="P76" i="186"/>
  <c r="P75" i="186"/>
  <c r="P74" i="186"/>
  <c r="P73" i="186"/>
  <c r="P201" i="186" s="1"/>
  <c r="P71" i="186"/>
  <c r="P51" i="186"/>
  <c r="P50" i="186"/>
  <c r="P49" i="186"/>
  <c r="P48" i="186"/>
  <c r="P47" i="186"/>
  <c r="P46" i="186"/>
  <c r="P45" i="186"/>
  <c r="P44" i="186"/>
  <c r="P43" i="186"/>
  <c r="P42" i="186"/>
  <c r="P41" i="186"/>
  <c r="P40" i="186"/>
  <c r="P39" i="186"/>
  <c r="P38" i="186"/>
  <c r="P37" i="186"/>
  <c r="P36" i="186"/>
  <c r="P35" i="186"/>
  <c r="F22" i="237" s="1"/>
  <c r="P34" i="186"/>
  <c r="P33" i="186"/>
  <c r="P32" i="186"/>
  <c r="P31" i="186"/>
  <c r="P30" i="186"/>
  <c r="P29" i="186"/>
  <c r="P26" i="186"/>
  <c r="P25" i="186"/>
  <c r="F18" i="237" s="1"/>
  <c r="P24" i="186"/>
  <c r="P23" i="186"/>
  <c r="P22" i="186"/>
  <c r="P21" i="186"/>
  <c r="C64" i="51"/>
  <c r="F49" i="234"/>
  <c r="P86" i="186"/>
  <c r="I6" i="247"/>
  <c r="B2" i="247"/>
  <c r="F27" i="239"/>
  <c r="D26" i="227"/>
  <c r="I17" i="228"/>
  <c r="I19" i="228"/>
  <c r="D18" i="228"/>
  <c r="D20" i="228"/>
  <c r="G21" i="234"/>
  <c r="A4" i="28"/>
  <c r="A3" i="82"/>
  <c r="A3" i="51"/>
  <c r="A6" i="52"/>
  <c r="S18" i="186"/>
  <c r="R9" i="186"/>
  <c r="C8" i="82" s="1"/>
  <c r="Q9" i="186"/>
  <c r="B9" i="148" s="1"/>
  <c r="E9" i="186"/>
  <c r="F9" i="186"/>
  <c r="G9" i="186"/>
  <c r="H9" i="186"/>
  <c r="I9" i="186"/>
  <c r="J9" i="186"/>
  <c r="K9" i="186"/>
  <c r="L9" i="186"/>
  <c r="M9" i="186"/>
  <c r="N9" i="186"/>
  <c r="O9" i="186"/>
  <c r="A3" i="242"/>
  <c r="B5" i="239"/>
  <c r="B4" i="241"/>
  <c r="B6" i="238"/>
  <c r="B6" i="236"/>
  <c r="B6" i="235"/>
  <c r="B5" i="237"/>
  <c r="B5" i="234"/>
  <c r="E4" i="233"/>
  <c r="E3" i="233"/>
  <c r="C5" i="232"/>
  <c r="C6" i="231"/>
  <c r="C5" i="229"/>
  <c r="C5" i="230" s="1"/>
  <c r="C6" i="228"/>
  <c r="D53" i="247"/>
  <c r="D41" i="247"/>
  <c r="C26" i="247"/>
  <c r="D15" i="247"/>
  <c r="C13" i="247"/>
  <c r="C14" i="247"/>
  <c r="C12" i="247"/>
  <c r="C9" i="247"/>
  <c r="C8" i="247"/>
  <c r="C7" i="247"/>
  <c r="C6" i="247"/>
  <c r="C5" i="247"/>
  <c r="H16" i="239"/>
  <c r="H15" i="239"/>
  <c r="H28" i="237"/>
  <c r="H27" i="237"/>
  <c r="H26" i="237"/>
  <c r="H22" i="237"/>
  <c r="F23" i="237"/>
  <c r="F21" i="237"/>
  <c r="H19" i="237"/>
  <c r="G18" i="237"/>
  <c r="G17" i="237"/>
  <c r="G16" i="237"/>
  <c r="G12" i="237"/>
  <c r="G11" i="237"/>
  <c r="F14" i="237"/>
  <c r="F12" i="237"/>
  <c r="F11" i="237"/>
  <c r="I35" i="228"/>
  <c r="G40" i="407" s="1"/>
  <c r="I34" i="228"/>
  <c r="I24" i="229"/>
  <c r="J24" i="229" s="1"/>
  <c r="I18" i="228"/>
  <c r="D35" i="228"/>
  <c r="D34" i="228"/>
  <c r="D33" i="228"/>
  <c r="C22" i="407" s="1"/>
  <c r="D30" i="228"/>
  <c r="D17" i="228"/>
  <c r="C8" i="407" s="1"/>
  <c r="D30" i="230"/>
  <c r="C25" i="411" s="1"/>
  <c r="F25" i="411" s="1"/>
  <c r="G25" i="411" s="1"/>
  <c r="D28" i="230"/>
  <c r="C23" i="411" s="1"/>
  <c r="F23" i="411" s="1"/>
  <c r="G23" i="411" s="1"/>
  <c r="F21" i="411"/>
  <c r="G21" i="411" s="1"/>
  <c r="E31" i="242"/>
  <c r="D31" i="242"/>
  <c r="C31" i="242"/>
  <c r="G38" i="241"/>
  <c r="J38" i="241" s="1"/>
  <c r="G37" i="241"/>
  <c r="J37" i="241" s="1"/>
  <c r="G36" i="241"/>
  <c r="J36" i="241" s="1"/>
  <c r="G35" i="241"/>
  <c r="J35" i="241" s="1"/>
  <c r="I34" i="241"/>
  <c r="H34" i="241"/>
  <c r="F34" i="241"/>
  <c r="G34" i="241" s="1"/>
  <c r="J34" i="241" s="1"/>
  <c r="E34" i="241"/>
  <c r="G33" i="241"/>
  <c r="J33" i="241" s="1"/>
  <c r="G32" i="241"/>
  <c r="J32" i="241" s="1"/>
  <c r="G31" i="241"/>
  <c r="J31" i="241" s="1"/>
  <c r="G30" i="241"/>
  <c r="J30" i="241" s="1"/>
  <c r="I29" i="241"/>
  <c r="H29" i="241"/>
  <c r="F29" i="241"/>
  <c r="E29" i="241"/>
  <c r="G28" i="241"/>
  <c r="J28" i="241" s="1"/>
  <c r="G27" i="241"/>
  <c r="J27" i="241" s="1"/>
  <c r="I26" i="241"/>
  <c r="H26" i="241"/>
  <c r="F26" i="241"/>
  <c r="E26" i="241"/>
  <c r="G25" i="241"/>
  <c r="J25" i="241" s="1"/>
  <c r="G24" i="241"/>
  <c r="J24" i="241" s="1"/>
  <c r="G23" i="241"/>
  <c r="J23" i="241" s="1"/>
  <c r="I22" i="241"/>
  <c r="H22" i="241"/>
  <c r="F22" i="241"/>
  <c r="E22" i="241"/>
  <c r="G21" i="241"/>
  <c r="J21" i="241" s="1"/>
  <c r="G20" i="241"/>
  <c r="J20" i="241" s="1"/>
  <c r="G19" i="241"/>
  <c r="J19" i="241" s="1"/>
  <c r="G18" i="241"/>
  <c r="J18" i="241" s="1"/>
  <c r="G16" i="241"/>
  <c r="J16" i="241" s="1"/>
  <c r="G15" i="241"/>
  <c r="J15" i="241" s="1"/>
  <c r="G14" i="241"/>
  <c r="J14" i="241" s="1"/>
  <c r="G12" i="241"/>
  <c r="J12" i="241" s="1"/>
  <c r="G11" i="241"/>
  <c r="J11" i="241" s="1"/>
  <c r="I10" i="241"/>
  <c r="H10" i="241"/>
  <c r="F10" i="241"/>
  <c r="E10" i="241"/>
  <c r="F12" i="239"/>
  <c r="D12" i="239"/>
  <c r="H11" i="239"/>
  <c r="H10" i="239"/>
  <c r="F46" i="238"/>
  <c r="I46" i="238" s="1"/>
  <c r="F45" i="238"/>
  <c r="I45" i="238" s="1"/>
  <c r="F44" i="238"/>
  <c r="I44" i="238" s="1"/>
  <c r="F43" i="238"/>
  <c r="I43" i="238" s="1"/>
  <c r="H42" i="238"/>
  <c r="G42" i="238"/>
  <c r="E42" i="238"/>
  <c r="D42" i="238"/>
  <c r="F39" i="238"/>
  <c r="I39" i="238" s="1"/>
  <c r="F38" i="238"/>
  <c r="I38" i="238" s="1"/>
  <c r="F37" i="238"/>
  <c r="I37" i="238" s="1"/>
  <c r="F36" i="238"/>
  <c r="I36" i="238" s="1"/>
  <c r="F35" i="238"/>
  <c r="I35" i="238" s="1"/>
  <c r="F34" i="238"/>
  <c r="I34" i="238" s="1"/>
  <c r="F33" i="238"/>
  <c r="I33" i="238" s="1"/>
  <c r="F29" i="238"/>
  <c r="I29" i="238" s="1"/>
  <c r="F28" i="238"/>
  <c r="I28" i="238" s="1"/>
  <c r="F27" i="238"/>
  <c r="I27" i="238" s="1"/>
  <c r="F26" i="238"/>
  <c r="I26" i="238" s="1"/>
  <c r="F25" i="238"/>
  <c r="I25" i="238" s="1"/>
  <c r="F24" i="238"/>
  <c r="I24" i="238" s="1"/>
  <c r="F23" i="238"/>
  <c r="I23" i="238" s="1"/>
  <c r="H22" i="238"/>
  <c r="G22" i="238"/>
  <c r="E22" i="238"/>
  <c r="D22" i="238"/>
  <c r="F20" i="238"/>
  <c r="I20" i="238" s="1"/>
  <c r="F19" i="238"/>
  <c r="I19" i="238" s="1"/>
  <c r="F18" i="238"/>
  <c r="I18" i="238" s="1"/>
  <c r="F17" i="238"/>
  <c r="I17" i="238" s="1"/>
  <c r="F16" i="238"/>
  <c r="I16" i="238" s="1"/>
  <c r="F15" i="238"/>
  <c r="I15" i="238" s="1"/>
  <c r="F14" i="238"/>
  <c r="I14" i="238" s="1"/>
  <c r="F13" i="238"/>
  <c r="I13" i="238" s="1"/>
  <c r="H12" i="238"/>
  <c r="G12" i="238"/>
  <c r="E12" i="238"/>
  <c r="D12" i="238"/>
  <c r="F31" i="237"/>
  <c r="I31" i="237" s="1"/>
  <c r="F30" i="237"/>
  <c r="I30" i="237" s="1"/>
  <c r="H29" i="237"/>
  <c r="G29" i="424" s="1"/>
  <c r="G29" i="237"/>
  <c r="F29" i="424" s="1"/>
  <c r="E29" i="237"/>
  <c r="D29" i="237"/>
  <c r="C29" i="424" s="1"/>
  <c r="E29" i="424" s="1"/>
  <c r="E20" i="237"/>
  <c r="D28" i="424" s="1"/>
  <c r="E15" i="237"/>
  <c r="D27" i="424" s="1"/>
  <c r="F16" i="236"/>
  <c r="I16" i="236" s="1"/>
  <c r="F14" i="236"/>
  <c r="I14" i="236" s="1"/>
  <c r="I20" i="235"/>
  <c r="I19" i="235"/>
  <c r="I18" i="235"/>
  <c r="I17" i="235"/>
  <c r="I16" i="235"/>
  <c r="I15" i="235"/>
  <c r="I14" i="235"/>
  <c r="I13" i="235"/>
  <c r="G52" i="234"/>
  <c r="G51" i="234" s="1"/>
  <c r="F51" i="234"/>
  <c r="E51" i="234"/>
  <c r="G49" i="234"/>
  <c r="F48" i="234"/>
  <c r="J47" i="234"/>
  <c r="G47" i="234"/>
  <c r="J44" i="234"/>
  <c r="G44" i="234"/>
  <c r="J43" i="234"/>
  <c r="G43" i="234"/>
  <c r="J42" i="234"/>
  <c r="G42" i="234"/>
  <c r="J41" i="234"/>
  <c r="G41" i="234"/>
  <c r="I40" i="234"/>
  <c r="H40" i="234"/>
  <c r="F40" i="234"/>
  <c r="E40" i="234"/>
  <c r="J39" i="234"/>
  <c r="G39" i="234"/>
  <c r="J38" i="234"/>
  <c r="G38" i="234"/>
  <c r="I37" i="234"/>
  <c r="H37" i="234"/>
  <c r="H33" i="234" s="1"/>
  <c r="D8" i="242" s="1"/>
  <c r="F37" i="234"/>
  <c r="F33" i="234" s="1"/>
  <c r="E37" i="234"/>
  <c r="J36" i="234"/>
  <c r="G36" i="234"/>
  <c r="J35" i="234"/>
  <c r="G35" i="234"/>
  <c r="J34" i="234"/>
  <c r="G34" i="234"/>
  <c r="G24" i="234"/>
  <c r="G23" i="234"/>
  <c r="H23" i="234" s="1"/>
  <c r="H49" i="234" s="1"/>
  <c r="J22" i="234"/>
  <c r="G22" i="234"/>
  <c r="J20" i="234"/>
  <c r="G20" i="234"/>
  <c r="J19" i="234"/>
  <c r="G19" i="234"/>
  <c r="I18" i="234"/>
  <c r="H18" i="234"/>
  <c r="F18" i="234"/>
  <c r="E18" i="234"/>
  <c r="J17" i="234"/>
  <c r="G17" i="234"/>
  <c r="J16" i="234"/>
  <c r="G16" i="234"/>
  <c r="I15" i="234"/>
  <c r="H15" i="234"/>
  <c r="F15" i="234"/>
  <c r="F26" i="234" s="1"/>
  <c r="E15" i="234"/>
  <c r="J14" i="234"/>
  <c r="G14" i="234"/>
  <c r="J13" i="234"/>
  <c r="G13" i="234"/>
  <c r="J12" i="234"/>
  <c r="G12" i="234"/>
  <c r="J11" i="234"/>
  <c r="G11" i="234"/>
  <c r="P33" i="233"/>
  <c r="O34" i="233"/>
  <c r="O28" i="233"/>
  <c r="P27" i="233"/>
  <c r="H26" i="233"/>
  <c r="P18" i="233"/>
  <c r="P13" i="233"/>
  <c r="H13" i="233"/>
  <c r="H41" i="232"/>
  <c r="H40" i="232"/>
  <c r="H35" i="232"/>
  <c r="H34" i="232"/>
  <c r="H33" i="232"/>
  <c r="G32" i="232"/>
  <c r="F32" i="232"/>
  <c r="E32" i="232"/>
  <c r="D32" i="232"/>
  <c r="H23" i="232"/>
  <c r="H22" i="232"/>
  <c r="E21" i="232"/>
  <c r="D19" i="232"/>
  <c r="D17" i="232"/>
  <c r="H17" i="232" s="1"/>
  <c r="H16" i="232"/>
  <c r="D15" i="232"/>
  <c r="H15" i="232" s="1"/>
  <c r="G14" i="232"/>
  <c r="F14" i="232"/>
  <c r="E14" i="232"/>
  <c r="I35" i="231"/>
  <c r="H35" i="231"/>
  <c r="I30" i="231"/>
  <c r="H30" i="231"/>
  <c r="I21" i="231"/>
  <c r="H21" i="231"/>
  <c r="I16" i="231"/>
  <c r="I27" i="231" s="1"/>
  <c r="H16" i="231"/>
  <c r="D33" i="230"/>
  <c r="G33" i="230" s="1"/>
  <c r="D32" i="230"/>
  <c r="G32" i="230" s="1"/>
  <c r="D31" i="230"/>
  <c r="G31" i="230" s="1"/>
  <c r="D29" i="230"/>
  <c r="C24" i="411" s="1"/>
  <c r="F24" i="411" s="1"/>
  <c r="G24" i="411" s="1"/>
  <c r="D26" i="230"/>
  <c r="I54" i="229"/>
  <c r="I53" i="229"/>
  <c r="C60" i="409" s="1"/>
  <c r="I41" i="229"/>
  <c r="I39" i="229"/>
  <c r="J39" i="229" s="1"/>
  <c r="D35" i="229"/>
  <c r="E35" i="229" s="1"/>
  <c r="D34" i="229"/>
  <c r="E34" i="229" s="1"/>
  <c r="D33" i="229"/>
  <c r="E33" i="229" s="1"/>
  <c r="F20" i="232"/>
  <c r="D27" i="230"/>
  <c r="C22" i="411" s="1"/>
  <c r="F22" i="411" s="1"/>
  <c r="G22" i="411" s="1"/>
  <c r="J47" i="227"/>
  <c r="I47" i="227"/>
  <c r="J39" i="227"/>
  <c r="J32" i="227"/>
  <c r="I32" i="227"/>
  <c r="J27" i="227"/>
  <c r="I27" i="227"/>
  <c r="E25" i="227"/>
  <c r="E21" i="227"/>
  <c r="J16" i="227"/>
  <c r="J11" i="227"/>
  <c r="E11" i="227"/>
  <c r="C58" i="247"/>
  <c r="G38" i="233"/>
  <c r="D10" i="237"/>
  <c r="D19" i="229"/>
  <c r="D27" i="247"/>
  <c r="C22" i="247"/>
  <c r="G13" i="211"/>
  <c r="S16" i="186"/>
  <c r="E36" i="81"/>
  <c r="E40" i="81" s="1"/>
  <c r="D125" i="186"/>
  <c r="D129" i="186" s="1"/>
  <c r="E125" i="186"/>
  <c r="E129" i="186" s="1"/>
  <c r="F125" i="186"/>
  <c r="F129" i="186" s="1"/>
  <c r="G125" i="186"/>
  <c r="G129" i="186" s="1"/>
  <c r="H125" i="186"/>
  <c r="H129" i="186" s="1"/>
  <c r="I125" i="186"/>
  <c r="I129" i="186" s="1"/>
  <c r="J125" i="186"/>
  <c r="J129" i="186" s="1"/>
  <c r="K125" i="186"/>
  <c r="K129" i="186" s="1"/>
  <c r="L125" i="186"/>
  <c r="L129" i="186" s="1"/>
  <c r="M125" i="186"/>
  <c r="M129" i="186" s="1"/>
  <c r="N125" i="186"/>
  <c r="N129" i="186" s="1"/>
  <c r="O125" i="186"/>
  <c r="O129" i="186" s="1"/>
  <c r="D114" i="186"/>
  <c r="D119" i="186" s="1"/>
  <c r="E114" i="186"/>
  <c r="E119" i="186" s="1"/>
  <c r="F114" i="186"/>
  <c r="F119" i="186" s="1"/>
  <c r="G114" i="186"/>
  <c r="G119" i="186" s="1"/>
  <c r="H114" i="186"/>
  <c r="H119" i="186" s="1"/>
  <c r="I114" i="186"/>
  <c r="I119" i="186" s="1"/>
  <c r="J114" i="186"/>
  <c r="J119" i="186" s="1"/>
  <c r="K114" i="186"/>
  <c r="K119" i="186" s="1"/>
  <c r="L114" i="186"/>
  <c r="L119" i="186" s="1"/>
  <c r="M114" i="186"/>
  <c r="M119" i="186" s="1"/>
  <c r="N114" i="186"/>
  <c r="N119" i="186" s="1"/>
  <c r="O114" i="186"/>
  <c r="O119" i="186" s="1"/>
  <c r="D106" i="186"/>
  <c r="D108" i="186" s="1"/>
  <c r="E106" i="186"/>
  <c r="E108" i="186" s="1"/>
  <c r="F106" i="186"/>
  <c r="F108" i="186" s="1"/>
  <c r="G106" i="186"/>
  <c r="G108" i="186" s="1"/>
  <c r="H106" i="186"/>
  <c r="H108" i="186" s="1"/>
  <c r="I106" i="186"/>
  <c r="I108" i="186" s="1"/>
  <c r="J106" i="186"/>
  <c r="J108" i="186" s="1"/>
  <c r="K106" i="186"/>
  <c r="K108" i="186" s="1"/>
  <c r="L106" i="186"/>
  <c r="L108" i="186" s="1"/>
  <c r="M106" i="186"/>
  <c r="M108" i="186" s="1"/>
  <c r="N106" i="186"/>
  <c r="N108" i="186" s="1"/>
  <c r="O106" i="186"/>
  <c r="O108" i="186" s="1"/>
  <c r="R106" i="186"/>
  <c r="R108" i="186" s="1"/>
  <c r="D96" i="186"/>
  <c r="D102" i="186" s="1"/>
  <c r="E96" i="186"/>
  <c r="E102" i="186" s="1"/>
  <c r="F96" i="186"/>
  <c r="F102" i="186" s="1"/>
  <c r="G96" i="186"/>
  <c r="G102" i="186" s="1"/>
  <c r="H96" i="186"/>
  <c r="H102" i="186" s="1"/>
  <c r="I96" i="186"/>
  <c r="I102" i="186" s="1"/>
  <c r="J96" i="186"/>
  <c r="J102" i="186" s="1"/>
  <c r="K96" i="186"/>
  <c r="K102" i="186" s="1"/>
  <c r="L96" i="186"/>
  <c r="L102" i="186" s="1"/>
  <c r="M96" i="186"/>
  <c r="M102" i="186" s="1"/>
  <c r="N96" i="186"/>
  <c r="N102" i="186" s="1"/>
  <c r="O96" i="186"/>
  <c r="O102" i="186" s="1"/>
  <c r="D84" i="186"/>
  <c r="D89" i="186" s="1"/>
  <c r="E84" i="186"/>
  <c r="E89" i="186" s="1"/>
  <c r="F84" i="186"/>
  <c r="F89" i="186" s="1"/>
  <c r="G84" i="186"/>
  <c r="G89" i="186" s="1"/>
  <c r="H84" i="186"/>
  <c r="H89" i="186" s="1"/>
  <c r="I84" i="186"/>
  <c r="I89" i="186" s="1"/>
  <c r="J84" i="186"/>
  <c r="J89" i="186" s="1"/>
  <c r="K84" i="186"/>
  <c r="K89" i="186" s="1"/>
  <c r="L84" i="186"/>
  <c r="L89" i="186" s="1"/>
  <c r="M84" i="186"/>
  <c r="M89" i="186" s="1"/>
  <c r="N84" i="186"/>
  <c r="N89" i="186" s="1"/>
  <c r="O84" i="186"/>
  <c r="O89" i="186" s="1"/>
  <c r="R84" i="186"/>
  <c r="E70" i="186"/>
  <c r="F70" i="186"/>
  <c r="H70" i="186"/>
  <c r="I70" i="186"/>
  <c r="J70" i="186"/>
  <c r="K70" i="186"/>
  <c r="L70" i="186"/>
  <c r="M70" i="186"/>
  <c r="N70" i="186"/>
  <c r="O70" i="186"/>
  <c r="D28" i="186"/>
  <c r="E28" i="186"/>
  <c r="F28" i="186"/>
  <c r="G28" i="186"/>
  <c r="H28" i="186"/>
  <c r="I28" i="186"/>
  <c r="J28" i="186"/>
  <c r="K28" i="186"/>
  <c r="L28" i="186"/>
  <c r="M28" i="186"/>
  <c r="N28" i="186"/>
  <c r="O28" i="186"/>
  <c r="R28" i="186"/>
  <c r="D20" i="186"/>
  <c r="E20" i="186"/>
  <c r="F20" i="186"/>
  <c r="G20" i="186"/>
  <c r="H20" i="186"/>
  <c r="I20" i="186"/>
  <c r="J20" i="186"/>
  <c r="K20" i="186"/>
  <c r="L20" i="186"/>
  <c r="M20" i="186"/>
  <c r="N20" i="186"/>
  <c r="O20" i="186"/>
  <c r="S10" i="186"/>
  <c r="S14" i="186"/>
  <c r="S15" i="186"/>
  <c r="R125" i="186"/>
  <c r="R114" i="186"/>
  <c r="R119" i="186" s="1"/>
  <c r="R96" i="186"/>
  <c r="Q106" i="186"/>
  <c r="Q108" i="186" s="1"/>
  <c r="Q125" i="186"/>
  <c r="Q129" i="186" s="1"/>
  <c r="Q114" i="186"/>
  <c r="Q119" i="186" s="1"/>
  <c r="Q28" i="186"/>
  <c r="Q84" i="186"/>
  <c r="Q89" i="186" s="1"/>
  <c r="S128" i="186"/>
  <c r="S127" i="186"/>
  <c r="S126" i="186"/>
  <c r="S118" i="186"/>
  <c r="S117" i="186"/>
  <c r="S116" i="186"/>
  <c r="S115" i="186"/>
  <c r="S86" i="186"/>
  <c r="S85" i="186"/>
  <c r="S76" i="186"/>
  <c r="S74" i="186"/>
  <c r="S52" i="186"/>
  <c r="S49" i="186"/>
  <c r="S48" i="186"/>
  <c r="S43" i="186"/>
  <c r="S41" i="186"/>
  <c r="S40" i="186"/>
  <c r="S39" i="186"/>
  <c r="S36" i="186"/>
  <c r="S32" i="186"/>
  <c r="S30" i="186"/>
  <c r="S29" i="186"/>
  <c r="S25" i="186"/>
  <c r="C28" i="28"/>
  <c r="C60" i="82"/>
  <c r="C24" i="18" s="1"/>
  <c r="D24" i="18" s="1"/>
  <c r="S98" i="186"/>
  <c r="S75" i="186"/>
  <c r="S45" i="186"/>
  <c r="S44" i="186"/>
  <c r="S34" i="186"/>
  <c r="S33" i="186"/>
  <c r="S88" i="186"/>
  <c r="S87" i="186"/>
  <c r="S50" i="186"/>
  <c r="S47" i="186"/>
  <c r="S38" i="186"/>
  <c r="S37" i="186"/>
  <c r="S35" i="186"/>
  <c r="S100" i="186"/>
  <c r="S97" i="186"/>
  <c r="S51" i="186"/>
  <c r="I17" i="52"/>
  <c r="I16" i="52"/>
  <c r="C58" i="51"/>
  <c r="S46" i="186"/>
  <c r="S42" i="186"/>
  <c r="S31" i="186"/>
  <c r="E19" i="81"/>
  <c r="E22" i="81" s="1"/>
  <c r="C9" i="51"/>
  <c r="C14" i="51"/>
  <c r="C19" i="51"/>
  <c r="G246" i="307" s="1"/>
  <c r="C24" i="51"/>
  <c r="C42" i="51"/>
  <c r="C13" i="52"/>
  <c r="L13" i="52" s="1"/>
  <c r="H13" i="52"/>
  <c r="H27" i="52" s="1"/>
  <c r="D14" i="52"/>
  <c r="F14" i="52"/>
  <c r="D15" i="52"/>
  <c r="E15" i="52"/>
  <c r="F15" i="52"/>
  <c r="G15" i="52"/>
  <c r="D16" i="52"/>
  <c r="E16" i="52"/>
  <c r="F16" i="52"/>
  <c r="G16" i="52"/>
  <c r="D17" i="52"/>
  <c r="E17" i="52"/>
  <c r="F17" i="52"/>
  <c r="G17" i="52"/>
  <c r="C35" i="52"/>
  <c r="L35" i="52" s="1"/>
  <c r="B25" i="81"/>
  <c r="B40" i="81"/>
  <c r="R70" i="186"/>
  <c r="C18" i="82" s="1"/>
  <c r="D37" i="52" s="1"/>
  <c r="R67" i="186"/>
  <c r="C17" i="82" s="1"/>
  <c r="R20" i="186"/>
  <c r="C9" i="82" s="1"/>
  <c r="S23" i="186"/>
  <c r="S22" i="186"/>
  <c r="S21" i="186"/>
  <c r="S24" i="186"/>
  <c r="S26" i="186"/>
  <c r="S71" i="186"/>
  <c r="S73" i="186"/>
  <c r="S101" i="186"/>
  <c r="S107" i="186"/>
  <c r="S106" i="186" s="1"/>
  <c r="S108" i="186" s="1"/>
  <c r="Q96" i="186"/>
  <c r="Q102" i="186" s="1"/>
  <c r="S99" i="186"/>
  <c r="Q20" i="186"/>
  <c r="B10" i="148" s="1"/>
  <c r="G67" i="186"/>
  <c r="N67" i="186"/>
  <c r="O67" i="186"/>
  <c r="F67" i="186"/>
  <c r="I67" i="186"/>
  <c r="L67" i="186"/>
  <c r="J67" i="186"/>
  <c r="E67" i="186"/>
  <c r="D67" i="186"/>
  <c r="D77" i="186" s="1"/>
  <c r="K67" i="186"/>
  <c r="H67" i="186"/>
  <c r="M67" i="186"/>
  <c r="P68" i="186"/>
  <c r="P67" i="186" s="1"/>
  <c r="Q67" i="186"/>
  <c r="S68" i="186"/>
  <c r="S67" i="186" s="1"/>
  <c r="I18" i="229" l="1"/>
  <c r="G9" i="407"/>
  <c r="D28" i="229"/>
  <c r="E28" i="229" s="1"/>
  <c r="D18" i="409" s="1"/>
  <c r="C20" i="407"/>
  <c r="E19" i="406"/>
  <c r="I24" i="234"/>
  <c r="H24" i="234"/>
  <c r="C10" i="432"/>
  <c r="C9" i="432" s="1"/>
  <c r="C32" i="432" s="1"/>
  <c r="C26" i="424"/>
  <c r="J54" i="229"/>
  <c r="D61" i="409" s="1"/>
  <c r="C61" i="409"/>
  <c r="C59" i="409" s="1"/>
  <c r="E19" i="232"/>
  <c r="D14" i="408"/>
  <c r="H20" i="232"/>
  <c r="E13" i="408"/>
  <c r="J18" i="229"/>
  <c r="D30" i="409" s="1"/>
  <c r="C30" i="409"/>
  <c r="C18" i="409"/>
  <c r="G26" i="230"/>
  <c r="C20" i="411"/>
  <c r="D23" i="229"/>
  <c r="C14" i="407"/>
  <c r="A4" i="423"/>
  <c r="G38" i="429"/>
  <c r="G35" i="419"/>
  <c r="G39" i="429"/>
  <c r="G36" i="419"/>
  <c r="G32" i="429"/>
  <c r="G29" i="419"/>
  <c r="G37" i="429"/>
  <c r="G34" i="419"/>
  <c r="H16" i="237"/>
  <c r="F21" i="429"/>
  <c r="F18" i="419"/>
  <c r="H17" i="237"/>
  <c r="F22" i="429"/>
  <c r="H22" i="429" s="1"/>
  <c r="F19" i="419"/>
  <c r="H19" i="419" s="1"/>
  <c r="H18" i="237"/>
  <c r="F25" i="429"/>
  <c r="H25" i="429" s="1"/>
  <c r="F22" i="419"/>
  <c r="H22" i="419" s="1"/>
  <c r="G26" i="429"/>
  <c r="G23" i="419"/>
  <c r="H11" i="237"/>
  <c r="F13" i="429"/>
  <c r="F10" i="419"/>
  <c r="H12" i="237"/>
  <c r="F15" i="429"/>
  <c r="H15" i="429" s="1"/>
  <c r="F12" i="419"/>
  <c r="H12" i="419" s="1"/>
  <c r="I45" i="229"/>
  <c r="G39" i="407"/>
  <c r="G38" i="407" s="1"/>
  <c r="G49" i="407" s="1"/>
  <c r="I21" i="229"/>
  <c r="G12" i="407"/>
  <c r="I20" i="228"/>
  <c r="G8" i="407"/>
  <c r="D32" i="229"/>
  <c r="C24" i="407"/>
  <c r="D31" i="229"/>
  <c r="C23" i="407"/>
  <c r="E29" i="229"/>
  <c r="C19" i="409"/>
  <c r="D27" i="229"/>
  <c r="C17" i="409" s="1"/>
  <c r="C19" i="407"/>
  <c r="E19" i="229"/>
  <c r="D10" i="409" s="1"/>
  <c r="C10" i="409"/>
  <c r="D18" i="229"/>
  <c r="C9" i="407"/>
  <c r="C16" i="407" s="1"/>
  <c r="I32" i="228"/>
  <c r="I42" i="228" s="1"/>
  <c r="D30" i="229"/>
  <c r="C20" i="409" s="1"/>
  <c r="D42" i="228"/>
  <c r="D17" i="229"/>
  <c r="D22" i="228"/>
  <c r="I13" i="227"/>
  <c r="D36" i="52"/>
  <c r="D35" i="52" s="1"/>
  <c r="C16" i="82"/>
  <c r="C26" i="82"/>
  <c r="C24" i="82" s="1"/>
  <c r="R102" i="186"/>
  <c r="C22" i="82"/>
  <c r="C20" i="82" s="1"/>
  <c r="R89" i="186"/>
  <c r="C37" i="82"/>
  <c r="C35" i="82" s="1"/>
  <c r="R129" i="186"/>
  <c r="C19" i="52"/>
  <c r="L19" i="52" s="1"/>
  <c r="N19" i="52" s="1"/>
  <c r="D24" i="230"/>
  <c r="G24" i="230" s="1"/>
  <c r="G13" i="230" s="1"/>
  <c r="E30" i="232"/>
  <c r="G15" i="234"/>
  <c r="F22" i="238"/>
  <c r="J18" i="234"/>
  <c r="G10" i="241"/>
  <c r="H27" i="231"/>
  <c r="H41" i="231"/>
  <c r="I22" i="238"/>
  <c r="J15" i="234"/>
  <c r="F17" i="237"/>
  <c r="I17" i="237" s="1"/>
  <c r="J17" i="52"/>
  <c r="J14" i="52"/>
  <c r="I12" i="227"/>
  <c r="F29" i="237"/>
  <c r="G248" i="307"/>
  <c r="G251" i="307" s="1"/>
  <c r="M59" i="186"/>
  <c r="I59" i="186"/>
  <c r="E59" i="186"/>
  <c r="C10" i="82"/>
  <c r="R59" i="186"/>
  <c r="E54" i="211" s="1"/>
  <c r="L59" i="186"/>
  <c r="H59" i="186"/>
  <c r="O59" i="186"/>
  <c r="K59" i="186"/>
  <c r="G59" i="186"/>
  <c r="N59" i="186"/>
  <c r="J59" i="186"/>
  <c r="F59" i="186"/>
  <c r="Q59" i="186"/>
  <c r="I23" i="234"/>
  <c r="H47" i="233"/>
  <c r="D29" i="247" s="1"/>
  <c r="D30" i="247" s="1"/>
  <c r="J37" i="234"/>
  <c r="J10" i="241"/>
  <c r="H32" i="232"/>
  <c r="J19" i="52"/>
  <c r="M17" i="52"/>
  <c r="N17" i="52" s="1"/>
  <c r="M16" i="52"/>
  <c r="N16" i="52" s="1"/>
  <c r="M15" i="52"/>
  <c r="N15" i="52" s="1"/>
  <c r="M14" i="52"/>
  <c r="N14" i="52" s="1"/>
  <c r="C35" i="51"/>
  <c r="J16" i="52"/>
  <c r="J15" i="52"/>
  <c r="F19" i="232"/>
  <c r="F30" i="232" s="1"/>
  <c r="G19" i="232"/>
  <c r="P22" i="233"/>
  <c r="G28" i="230"/>
  <c r="K28" i="230" s="1"/>
  <c r="E32" i="227"/>
  <c r="C23" i="18"/>
  <c r="D23" i="18" s="1"/>
  <c r="C12" i="18"/>
  <c r="D12" i="18" s="1"/>
  <c r="I13" i="52"/>
  <c r="I27" i="52" s="1"/>
  <c r="F12" i="238"/>
  <c r="J40" i="234"/>
  <c r="J33" i="234" s="1"/>
  <c r="F42" i="238"/>
  <c r="I42" i="238" s="1"/>
  <c r="I12" i="238"/>
  <c r="P39" i="233"/>
  <c r="G18" i="234"/>
  <c r="G40" i="234"/>
  <c r="E39" i="232"/>
  <c r="E26" i="234"/>
  <c r="F26" i="237"/>
  <c r="I26" i="237" s="1"/>
  <c r="L77" i="186"/>
  <c r="L131" i="186" s="1"/>
  <c r="D131" i="186"/>
  <c r="I77" i="186"/>
  <c r="I131" i="186" s="1"/>
  <c r="K77" i="186"/>
  <c r="K131" i="186" s="1"/>
  <c r="F27" i="237"/>
  <c r="I27" i="237" s="1"/>
  <c r="M77" i="186"/>
  <c r="M131" i="186" s="1"/>
  <c r="P125" i="186"/>
  <c r="P129" i="186" s="1"/>
  <c r="P28" i="186"/>
  <c r="F19" i="237"/>
  <c r="I19" i="237" s="1"/>
  <c r="N77" i="186"/>
  <c r="N131" i="186" s="1"/>
  <c r="F28" i="237"/>
  <c r="I28" i="237" s="1"/>
  <c r="J77" i="186"/>
  <c r="J131" i="186" s="1"/>
  <c r="I22" i="237"/>
  <c r="I40" i="227"/>
  <c r="C25" i="18"/>
  <c r="D25" i="18" s="1"/>
  <c r="C43" i="52"/>
  <c r="I5" i="247"/>
  <c r="P114" i="186"/>
  <c r="P119" i="186" s="1"/>
  <c r="P96" i="186"/>
  <c r="P102" i="186" s="1"/>
  <c r="P84" i="186"/>
  <c r="P89" i="186" s="1"/>
  <c r="O77" i="186"/>
  <c r="O131" i="186" s="1"/>
  <c r="H77" i="186"/>
  <c r="H131" i="186" s="1"/>
  <c r="F77" i="186"/>
  <c r="F131" i="186" s="1"/>
  <c r="E77" i="186"/>
  <c r="E131" i="186" s="1"/>
  <c r="D14" i="232"/>
  <c r="H14" i="232" s="1"/>
  <c r="I37" i="229"/>
  <c r="G29" i="230"/>
  <c r="H29" i="230" s="1"/>
  <c r="E48" i="234"/>
  <c r="K26" i="230"/>
  <c r="F29" i="239"/>
  <c r="K32" i="230"/>
  <c r="H32" i="230"/>
  <c r="I14" i="237"/>
  <c r="C25" i="52"/>
  <c r="C15" i="18"/>
  <c r="D15" i="18" s="1"/>
  <c r="D23" i="227"/>
  <c r="E17" i="406" s="1"/>
  <c r="E15" i="406" s="1"/>
  <c r="I49" i="234"/>
  <c r="J49" i="234" s="1"/>
  <c r="J23" i="234"/>
  <c r="P20" i="186"/>
  <c r="H21" i="230"/>
  <c r="K21" i="230"/>
  <c r="P72" i="186"/>
  <c r="P70" i="186" s="1"/>
  <c r="P77" i="186" s="1"/>
  <c r="G70" i="186"/>
  <c r="G77" i="186" s="1"/>
  <c r="G131" i="186" s="1"/>
  <c r="G37" i="234"/>
  <c r="G29" i="241"/>
  <c r="J29" i="241" s="1"/>
  <c r="J50" i="227"/>
  <c r="I41" i="231"/>
  <c r="G22" i="241"/>
  <c r="J22" i="241" s="1"/>
  <c r="G26" i="241"/>
  <c r="J26" i="241" s="1"/>
  <c r="P9" i="186"/>
  <c r="F24" i="237"/>
  <c r="I24" i="237" s="1"/>
  <c r="D30" i="227"/>
  <c r="E10" i="237"/>
  <c r="G26" i="234"/>
  <c r="E33" i="234"/>
  <c r="C8" i="242" s="1"/>
  <c r="I33" i="234"/>
  <c r="E8" i="242" s="1"/>
  <c r="H12" i="239"/>
  <c r="H27" i="239"/>
  <c r="C29" i="82"/>
  <c r="C28" i="82" s="1"/>
  <c r="F46" i="234"/>
  <c r="F54" i="234" s="1"/>
  <c r="F25" i="237"/>
  <c r="I25" i="237" s="1"/>
  <c r="H17" i="230"/>
  <c r="I16" i="227"/>
  <c r="G33" i="233"/>
  <c r="E13" i="52"/>
  <c r="E27" i="52" s="1"/>
  <c r="S125" i="186"/>
  <c r="S129" i="186" s="1"/>
  <c r="C33" i="82"/>
  <c r="I13" i="237"/>
  <c r="G10" i="237"/>
  <c r="F38" i="232"/>
  <c r="E31" i="408" s="1"/>
  <c r="H20" i="230"/>
  <c r="K20" i="230"/>
  <c r="H18" i="230"/>
  <c r="G57" i="211"/>
  <c r="J41" i="229"/>
  <c r="J37" i="229" s="1"/>
  <c r="I29" i="229"/>
  <c r="J29" i="229" s="1"/>
  <c r="J26" i="229" s="1"/>
  <c r="G27" i="230"/>
  <c r="K27" i="230" s="1"/>
  <c r="I51" i="229"/>
  <c r="K22" i="230"/>
  <c r="H19" i="230"/>
  <c r="G30" i="230"/>
  <c r="H30" i="230" s="1"/>
  <c r="C14" i="18"/>
  <c r="C23" i="52"/>
  <c r="G13" i="52"/>
  <c r="G27" i="52" s="1"/>
  <c r="F13" i="52"/>
  <c r="F27" i="52" s="1"/>
  <c r="D13" i="52"/>
  <c r="D27" i="52" s="1"/>
  <c r="C41" i="52"/>
  <c r="S96" i="186"/>
  <c r="S102" i="186" s="1"/>
  <c r="R77" i="186"/>
  <c r="C37" i="148"/>
  <c r="C11" i="148"/>
  <c r="S28" i="186"/>
  <c r="I21" i="237"/>
  <c r="C9" i="148"/>
  <c r="I12" i="237"/>
  <c r="I11" i="237"/>
  <c r="I23" i="237"/>
  <c r="S114" i="186"/>
  <c r="S119" i="186" s="1"/>
  <c r="C38" i="148"/>
  <c r="S84" i="186"/>
  <c r="S89" i="186" s="1"/>
  <c r="C31" i="52"/>
  <c r="G15" i="237"/>
  <c r="F27" i="424" s="1"/>
  <c r="S20" i="186"/>
  <c r="I18" i="237"/>
  <c r="C10" i="148"/>
  <c r="G48" i="211"/>
  <c r="B37" i="148"/>
  <c r="B11" i="148"/>
  <c r="B13" i="148" s="1"/>
  <c r="S9" i="186"/>
  <c r="E43" i="81"/>
  <c r="O14" i="233"/>
  <c r="C40" i="410" s="1"/>
  <c r="B43" i="81"/>
  <c r="E65" i="211" s="1"/>
  <c r="F65" i="211" s="1"/>
  <c r="C15" i="247"/>
  <c r="K33" i="230"/>
  <c r="H33" i="230"/>
  <c r="E27" i="229"/>
  <c r="D17" i="409" s="1"/>
  <c r="H20" i="237"/>
  <c r="G28" i="424" s="1"/>
  <c r="K31" i="230"/>
  <c r="H31" i="230"/>
  <c r="O15" i="233"/>
  <c r="C41" i="410" s="1"/>
  <c r="G20" i="237"/>
  <c r="F28" i="424" s="1"/>
  <c r="J53" i="229"/>
  <c r="I46" i="229"/>
  <c r="C30" i="52"/>
  <c r="H21" i="232"/>
  <c r="I17" i="229"/>
  <c r="C29" i="409" s="1"/>
  <c r="D29" i="239"/>
  <c r="C66" i="51" l="1"/>
  <c r="C11" i="18"/>
  <c r="F17" i="413"/>
  <c r="H52" i="234"/>
  <c r="H51" i="234" s="1"/>
  <c r="F41" i="428"/>
  <c r="F39" i="428" s="1"/>
  <c r="F25" i="414"/>
  <c r="F24" i="414" s="1"/>
  <c r="I52" i="234"/>
  <c r="G41" i="428"/>
  <c r="G17" i="413"/>
  <c r="G25" i="414"/>
  <c r="J24" i="234"/>
  <c r="D10" i="432"/>
  <c r="D26" i="424"/>
  <c r="J51" i="229"/>
  <c r="D60" i="409"/>
  <c r="D59" i="409" s="1"/>
  <c r="G14" i="408"/>
  <c r="D12" i="408"/>
  <c r="G13" i="408"/>
  <c r="E12" i="408"/>
  <c r="E23" i="408" s="1"/>
  <c r="C19" i="411"/>
  <c r="F20" i="411"/>
  <c r="G20" i="411" s="1"/>
  <c r="E46" i="234"/>
  <c r="C9" i="427" s="1"/>
  <c r="C21" i="414"/>
  <c r="C14" i="413"/>
  <c r="E30" i="229"/>
  <c r="O20" i="233" s="1"/>
  <c r="C45" i="410" s="1"/>
  <c r="E23" i="229"/>
  <c r="D14" i="409" s="1"/>
  <c r="C14" i="409"/>
  <c r="D25" i="229"/>
  <c r="O16" i="233" s="1"/>
  <c r="J36" i="52"/>
  <c r="G17" i="407"/>
  <c r="G29" i="407" s="1"/>
  <c r="G51" i="407" s="1"/>
  <c r="D25" i="227"/>
  <c r="C38" i="247" s="1"/>
  <c r="E23" i="406"/>
  <c r="E18" i="406" s="1"/>
  <c r="C20" i="247"/>
  <c r="E53" i="406"/>
  <c r="M36" i="52"/>
  <c r="N36" i="52" s="1"/>
  <c r="G27" i="419"/>
  <c r="G30" i="429"/>
  <c r="G22" i="429"/>
  <c r="G19" i="419"/>
  <c r="G25" i="429"/>
  <c r="G22" i="419"/>
  <c r="F17" i="419"/>
  <c r="H17" i="419" s="1"/>
  <c r="H18" i="419"/>
  <c r="F20" i="429"/>
  <c r="H21" i="429"/>
  <c r="H20" i="429" s="1"/>
  <c r="G28" i="233"/>
  <c r="C21" i="410" s="1"/>
  <c r="E30" i="406"/>
  <c r="G21" i="429"/>
  <c r="G18" i="419"/>
  <c r="G15" i="429"/>
  <c r="G12" i="419"/>
  <c r="F9" i="419"/>
  <c r="H10" i="419"/>
  <c r="F12" i="429"/>
  <c r="H13" i="429"/>
  <c r="H12" i="429" s="1"/>
  <c r="F10" i="432"/>
  <c r="F26" i="424"/>
  <c r="F36" i="424" s="1"/>
  <c r="G27" i="233"/>
  <c r="C20" i="410" s="1"/>
  <c r="E29" i="406"/>
  <c r="G13" i="429"/>
  <c r="G10" i="419"/>
  <c r="J46" i="229"/>
  <c r="D54" i="409" s="1"/>
  <c r="C54" i="409"/>
  <c r="E37" i="232"/>
  <c r="E50" i="232" s="1"/>
  <c r="D32" i="408"/>
  <c r="G31" i="408"/>
  <c r="J45" i="229"/>
  <c r="D53" i="409" s="1"/>
  <c r="C53" i="409"/>
  <c r="J21" i="229"/>
  <c r="D33" i="409" s="1"/>
  <c r="C33" i="409"/>
  <c r="C28" i="409" s="1"/>
  <c r="C27" i="409" s="1"/>
  <c r="C30" i="407"/>
  <c r="C32" i="407" s="1"/>
  <c r="E32" i="229"/>
  <c r="D22" i="409" s="1"/>
  <c r="C22" i="409"/>
  <c r="E31" i="229"/>
  <c r="D21" i="409" s="1"/>
  <c r="C21" i="409"/>
  <c r="O19" i="233"/>
  <c r="C44" i="410" s="1"/>
  <c r="D19" i="409"/>
  <c r="D44" i="228"/>
  <c r="E18" i="229"/>
  <c r="C9" i="409"/>
  <c r="E17" i="229"/>
  <c r="C8" i="409"/>
  <c r="D15" i="229"/>
  <c r="I37" i="52"/>
  <c r="I35" i="52" s="1"/>
  <c r="I45" i="52" s="1"/>
  <c r="I49" i="52" s="1"/>
  <c r="F37" i="52"/>
  <c r="F35" i="52" s="1"/>
  <c r="F45" i="52" s="1"/>
  <c r="F49" i="52" s="1"/>
  <c r="G37" i="52"/>
  <c r="G35" i="52" s="1"/>
  <c r="G45" i="52" s="1"/>
  <c r="G49" i="52" s="1"/>
  <c r="C31" i="82"/>
  <c r="C40" i="82" s="1"/>
  <c r="E37" i="52"/>
  <c r="E35" i="52" s="1"/>
  <c r="E45" i="52" s="1"/>
  <c r="E49" i="52" s="1"/>
  <c r="G32" i="237"/>
  <c r="D13" i="230"/>
  <c r="G33" i="234"/>
  <c r="G30" i="232"/>
  <c r="G50" i="232" s="1"/>
  <c r="D30" i="232"/>
  <c r="D50" i="232" s="1"/>
  <c r="P59" i="186"/>
  <c r="R131" i="186"/>
  <c r="C32" i="52"/>
  <c r="C29" i="52" s="1"/>
  <c r="I14" i="227"/>
  <c r="P131" i="186"/>
  <c r="H38" i="232"/>
  <c r="F39" i="232"/>
  <c r="F10" i="237"/>
  <c r="I10" i="237" s="1"/>
  <c r="E32" i="237"/>
  <c r="E32" i="238" s="1"/>
  <c r="L23" i="52"/>
  <c r="N23" i="52" s="1"/>
  <c r="C27" i="52"/>
  <c r="L27" i="52" s="1"/>
  <c r="J30" i="52"/>
  <c r="D18" i="227"/>
  <c r="C12" i="82"/>
  <c r="I29" i="237"/>
  <c r="P42" i="233"/>
  <c r="P47" i="233" s="1"/>
  <c r="F251" i="307"/>
  <c r="S59" i="186"/>
  <c r="F71" i="211"/>
  <c r="L30" i="52"/>
  <c r="N30" i="52" s="1"/>
  <c r="J31" i="52"/>
  <c r="L31" i="52"/>
  <c r="N31" i="52" s="1"/>
  <c r="J41" i="52"/>
  <c r="L41" i="52"/>
  <c r="N41" i="52" s="1"/>
  <c r="J25" i="52"/>
  <c r="L25" i="52"/>
  <c r="N25" i="52" s="1"/>
  <c r="J43" i="52"/>
  <c r="L43" i="52"/>
  <c r="N43" i="52" s="1"/>
  <c r="D45" i="52"/>
  <c r="M27" i="52"/>
  <c r="M13" i="52"/>
  <c r="N13" i="52" s="1"/>
  <c r="B21" i="18"/>
  <c r="K133" i="186"/>
  <c r="H133" i="186"/>
  <c r="H19" i="232"/>
  <c r="H30" i="232" s="1"/>
  <c r="K29" i="230"/>
  <c r="I26" i="229"/>
  <c r="C39" i="52"/>
  <c r="G48" i="234"/>
  <c r="G46" i="234" s="1"/>
  <c r="G54" i="234" s="1"/>
  <c r="G27" i="211"/>
  <c r="H28" i="230"/>
  <c r="J52" i="227"/>
  <c r="I43" i="229"/>
  <c r="I35" i="229" s="1"/>
  <c r="E54" i="234"/>
  <c r="G133" i="186"/>
  <c r="N133" i="186"/>
  <c r="D20" i="237"/>
  <c r="I133" i="186"/>
  <c r="F133" i="186"/>
  <c r="E133" i="186"/>
  <c r="J133" i="186"/>
  <c r="I45" i="227"/>
  <c r="C57" i="247"/>
  <c r="H37" i="52"/>
  <c r="H35" i="52" s="1"/>
  <c r="H45" i="52" s="1"/>
  <c r="H49" i="52" s="1"/>
  <c r="L133" i="186"/>
  <c r="M133" i="186"/>
  <c r="O133" i="186"/>
  <c r="H26" i="230"/>
  <c r="H27" i="230"/>
  <c r="C7" i="242"/>
  <c r="H29" i="239"/>
  <c r="K17" i="230"/>
  <c r="K19" i="230"/>
  <c r="H22" i="230"/>
  <c r="D14" i="18"/>
  <c r="S72" i="186"/>
  <c r="Q70" i="186"/>
  <c r="F16" i="237"/>
  <c r="I16" i="237" s="1"/>
  <c r="D15" i="237"/>
  <c r="C27" i="424" s="1"/>
  <c r="E27" i="424" s="1"/>
  <c r="G23" i="233"/>
  <c r="C17" i="410" s="1"/>
  <c r="D21" i="227"/>
  <c r="C39" i="247" s="1"/>
  <c r="H10" i="237"/>
  <c r="C40" i="148"/>
  <c r="K30" i="230"/>
  <c r="K18" i="230"/>
  <c r="J23" i="52"/>
  <c r="J13" i="52"/>
  <c r="C13" i="148"/>
  <c r="C21" i="18"/>
  <c r="H15" i="237"/>
  <c r="G27" i="424" s="1"/>
  <c r="I15" i="229"/>
  <c r="J17" i="229"/>
  <c r="D13" i="229" l="1"/>
  <c r="F20" i="211"/>
  <c r="P202" i="186"/>
  <c r="H25" i="414"/>
  <c r="G24" i="414"/>
  <c r="H24" i="414" s="1"/>
  <c r="G9" i="415"/>
  <c r="H9" i="415" s="1"/>
  <c r="G18" i="424"/>
  <c r="H17" i="413"/>
  <c r="H41" i="428"/>
  <c r="G39" i="428"/>
  <c r="H39" i="428" s="1"/>
  <c r="J52" i="234"/>
  <c r="I51" i="234"/>
  <c r="J51" i="234" s="1"/>
  <c r="F18" i="424"/>
  <c r="F9" i="415"/>
  <c r="G12" i="235"/>
  <c r="F10" i="417" s="1"/>
  <c r="H17" i="241"/>
  <c r="F16" i="425" s="1"/>
  <c r="C52" i="409"/>
  <c r="C46" i="409" s="1"/>
  <c r="D20" i="409"/>
  <c r="D16" i="409" s="1"/>
  <c r="F20" i="237"/>
  <c r="I20" i="237" s="1"/>
  <c r="C28" i="424"/>
  <c r="E28" i="424" s="1"/>
  <c r="C36" i="424"/>
  <c r="D31" i="431"/>
  <c r="D30" i="420"/>
  <c r="E26" i="424"/>
  <c r="E36" i="424" s="1"/>
  <c r="D36" i="424"/>
  <c r="D38" i="424" s="1"/>
  <c r="D9" i="432"/>
  <c r="D32" i="432" s="1"/>
  <c r="E10" i="432"/>
  <c r="E9" i="432" s="1"/>
  <c r="E32" i="432" s="1"/>
  <c r="O46" i="233"/>
  <c r="C64" i="410" s="1"/>
  <c r="D65" i="410"/>
  <c r="G12" i="408"/>
  <c r="D23" i="408"/>
  <c r="G23" i="408" s="1"/>
  <c r="C8" i="411"/>
  <c r="F8" i="411" s="1"/>
  <c r="G8" i="411" s="1"/>
  <c r="F19" i="411"/>
  <c r="G19" i="411" s="1"/>
  <c r="S70" i="186"/>
  <c r="S77" i="186" s="1"/>
  <c r="S131" i="186" s="1"/>
  <c r="S133" i="186" s="1"/>
  <c r="C15" i="424"/>
  <c r="C8" i="415"/>
  <c r="C18" i="413"/>
  <c r="E18" i="413" s="1"/>
  <c r="E14" i="413"/>
  <c r="E21" i="414"/>
  <c r="C18" i="414"/>
  <c r="C45" i="427"/>
  <c r="C8" i="427"/>
  <c r="H10" i="429"/>
  <c r="H160" i="429" s="1"/>
  <c r="D52" i="409"/>
  <c r="D46" i="409" s="1"/>
  <c r="E25" i="229"/>
  <c r="O21" i="233" s="1"/>
  <c r="O18" i="233" s="1"/>
  <c r="D37" i="247"/>
  <c r="G24" i="233"/>
  <c r="C18" i="410" s="1"/>
  <c r="C16" i="409"/>
  <c r="C7" i="409"/>
  <c r="D11" i="227"/>
  <c r="E14" i="406"/>
  <c r="E7" i="406" s="1"/>
  <c r="E25" i="406" s="1"/>
  <c r="G20" i="429"/>
  <c r="F10" i="429"/>
  <c r="F160" i="429" s="1"/>
  <c r="G9" i="419"/>
  <c r="G12" i="429"/>
  <c r="C60" i="247"/>
  <c r="D56" i="247" s="1"/>
  <c r="E58" i="406"/>
  <c r="E52" i="406" s="1"/>
  <c r="G29" i="233"/>
  <c r="C22" i="410" s="1"/>
  <c r="E31" i="406"/>
  <c r="E28" i="406" s="1"/>
  <c r="G17" i="419"/>
  <c r="G10" i="432"/>
  <c r="G9" i="432" s="1"/>
  <c r="G32" i="432" s="1"/>
  <c r="G26" i="424"/>
  <c r="G36" i="424" s="1"/>
  <c r="F9" i="432"/>
  <c r="F32" i="432" s="1"/>
  <c r="F81" i="419"/>
  <c r="H81" i="419" s="1"/>
  <c r="H9" i="419"/>
  <c r="D30" i="408"/>
  <c r="D41" i="408" s="1"/>
  <c r="F37" i="232"/>
  <c r="H37" i="232" s="1"/>
  <c r="E32" i="408"/>
  <c r="E30" i="408" s="1"/>
  <c r="J43" i="229"/>
  <c r="J35" i="229" s="1"/>
  <c r="J15" i="229"/>
  <c r="J13" i="229" s="1"/>
  <c r="O37" i="233" s="1"/>
  <c r="D29" i="409"/>
  <c r="D28" i="409" s="1"/>
  <c r="D27" i="409" s="1"/>
  <c r="O13" i="233"/>
  <c r="C42" i="410"/>
  <c r="C39" i="410" s="1"/>
  <c r="D9" i="409"/>
  <c r="C24" i="247"/>
  <c r="E15" i="229"/>
  <c r="D8" i="409"/>
  <c r="H24" i="230"/>
  <c r="L32" i="52"/>
  <c r="N32" i="52" s="1"/>
  <c r="J32" i="52"/>
  <c r="P133" i="186"/>
  <c r="E68" i="211" s="1"/>
  <c r="F68" i="211" s="1"/>
  <c r="H39" i="232"/>
  <c r="F15" i="237"/>
  <c r="D32" i="237"/>
  <c r="D12" i="235" s="1"/>
  <c r="C17" i="18"/>
  <c r="E41" i="211"/>
  <c r="G41" i="211" s="1"/>
  <c r="J27" i="52"/>
  <c r="D11" i="18"/>
  <c r="D17" i="18" s="1"/>
  <c r="J29" i="52"/>
  <c r="L29" i="52"/>
  <c r="N29" i="52" s="1"/>
  <c r="E20" i="211"/>
  <c r="H32" i="237"/>
  <c r="M37" i="52"/>
  <c r="N37" i="52" s="1"/>
  <c r="N27" i="52"/>
  <c r="D49" i="52"/>
  <c r="M49" i="52" s="1"/>
  <c r="C22" i="18"/>
  <c r="C27" i="18" s="1"/>
  <c r="J39" i="52"/>
  <c r="L39" i="52"/>
  <c r="N39" i="52" s="1"/>
  <c r="M45" i="52"/>
  <c r="M35" i="52"/>
  <c r="N35" i="52" s="1"/>
  <c r="J37" i="52"/>
  <c r="J35" i="52" s="1"/>
  <c r="C62" i="82"/>
  <c r="I13" i="229"/>
  <c r="O31" i="233" s="1"/>
  <c r="H21" i="234"/>
  <c r="I21" i="234"/>
  <c r="G20" i="233"/>
  <c r="E12" i="236"/>
  <c r="E12" i="235"/>
  <c r="F40" i="238"/>
  <c r="I40" i="238" s="1"/>
  <c r="I39" i="227"/>
  <c r="I11" i="227"/>
  <c r="D51" i="247" s="1"/>
  <c r="Q77" i="186"/>
  <c r="B38" i="148"/>
  <c r="B40" i="148" s="1"/>
  <c r="R133" i="186"/>
  <c r="G12" i="236"/>
  <c r="D21" i="18"/>
  <c r="G32" i="238"/>
  <c r="D13" i="242"/>
  <c r="H15" i="230"/>
  <c r="C45" i="52"/>
  <c r="C49" i="52" s="1"/>
  <c r="F10" i="430" l="1"/>
  <c r="F9" i="430" s="1"/>
  <c r="G22" i="235"/>
  <c r="F10" i="416"/>
  <c r="F20" i="416" s="1"/>
  <c r="D67" i="247"/>
  <c r="D35" i="247"/>
  <c r="D45" i="247" s="1"/>
  <c r="H32" i="238"/>
  <c r="G30" i="420" s="1"/>
  <c r="G29" i="420" s="1"/>
  <c r="G46" i="420" s="1"/>
  <c r="I17" i="241"/>
  <c r="G16" i="425" s="1"/>
  <c r="H10" i="432"/>
  <c r="H9" i="432" s="1"/>
  <c r="H32" i="432" s="1"/>
  <c r="C10" i="430"/>
  <c r="C9" i="430" s="1"/>
  <c r="C29" i="430" s="1"/>
  <c r="C10" i="417"/>
  <c r="C22" i="417" s="1"/>
  <c r="C10" i="416"/>
  <c r="C20" i="416" s="1"/>
  <c r="E22" i="235"/>
  <c r="D10" i="430"/>
  <c r="D10" i="417"/>
  <c r="D10" i="416"/>
  <c r="F13" i="241"/>
  <c r="F40" i="241" s="1"/>
  <c r="D29" i="420"/>
  <c r="E18" i="236"/>
  <c r="D10" i="418"/>
  <c r="D30" i="431"/>
  <c r="D10" i="431" s="1"/>
  <c r="D84" i="431" s="1"/>
  <c r="H13" i="230"/>
  <c r="G10" i="429"/>
  <c r="G160" i="429" s="1"/>
  <c r="C20" i="424"/>
  <c r="E15" i="424"/>
  <c r="E18" i="414"/>
  <c r="C26" i="414"/>
  <c r="E26" i="414" s="1"/>
  <c r="C34" i="415"/>
  <c r="E34" i="415" s="1"/>
  <c r="E8" i="415"/>
  <c r="C46" i="410"/>
  <c r="C43" i="410" s="1"/>
  <c r="D32" i="227"/>
  <c r="E13" i="229"/>
  <c r="C6" i="409"/>
  <c r="O22" i="233"/>
  <c r="G45" i="233"/>
  <c r="C35" i="410" s="1"/>
  <c r="C19" i="410" s="1"/>
  <c r="G81" i="419"/>
  <c r="G30" i="408"/>
  <c r="D7" i="409"/>
  <c r="D6" i="409" s="1"/>
  <c r="I48" i="234"/>
  <c r="J48" i="234" s="1"/>
  <c r="G16" i="428"/>
  <c r="G13" i="233"/>
  <c r="C15" i="410"/>
  <c r="C8" i="410" s="1"/>
  <c r="H48" i="234"/>
  <c r="F16" i="428"/>
  <c r="F43" i="428" s="1"/>
  <c r="F73" i="428" s="1"/>
  <c r="E62" i="406"/>
  <c r="E64" i="406" s="1"/>
  <c r="H13" i="241"/>
  <c r="H40" i="241" s="1"/>
  <c r="D11" i="242"/>
  <c r="D13" i="427"/>
  <c r="G18" i="236"/>
  <c r="F10" i="418"/>
  <c r="G31" i="238"/>
  <c r="G48" i="238" s="1"/>
  <c r="F31" i="431"/>
  <c r="F30" i="420"/>
  <c r="F22" i="417"/>
  <c r="F50" i="232"/>
  <c r="E41" i="408"/>
  <c r="G41" i="408" s="1"/>
  <c r="G32" i="408"/>
  <c r="O27" i="233"/>
  <c r="C54" i="410"/>
  <c r="C50" i="410" s="1"/>
  <c r="O33" i="233"/>
  <c r="C59" i="410"/>
  <c r="C55" i="410" s="1"/>
  <c r="C47" i="410"/>
  <c r="C29" i="18"/>
  <c r="Q131" i="186"/>
  <c r="Q133" i="186" s="1"/>
  <c r="I15" i="237"/>
  <c r="I32" i="237" s="1"/>
  <c r="F32" i="237"/>
  <c r="C13" i="242" s="1"/>
  <c r="G20" i="211"/>
  <c r="F54" i="211"/>
  <c r="G54" i="211" s="1"/>
  <c r="L49" i="52"/>
  <c r="N49" i="52" s="1"/>
  <c r="L45" i="52"/>
  <c r="N45" i="52" s="1"/>
  <c r="J21" i="234"/>
  <c r="J26" i="234" s="1"/>
  <c r="I26" i="234"/>
  <c r="E9" i="242" s="1"/>
  <c r="E31" i="238"/>
  <c r="E48" i="238" s="1"/>
  <c r="E21" i="236"/>
  <c r="H26" i="234"/>
  <c r="D9" i="242" s="1"/>
  <c r="D62" i="247"/>
  <c r="E13" i="242"/>
  <c r="D32" i="238"/>
  <c r="D12" i="236"/>
  <c r="H12" i="235"/>
  <c r="H12" i="236"/>
  <c r="I50" i="227"/>
  <c r="J45" i="52"/>
  <c r="J49" i="52" s="1"/>
  <c r="D22" i="235"/>
  <c r="F12" i="235"/>
  <c r="H31" i="238" l="1"/>
  <c r="H48" i="238" s="1"/>
  <c r="J50" i="232"/>
  <c r="H50" i="232"/>
  <c r="G31" i="431"/>
  <c r="G30" i="431" s="1"/>
  <c r="G10" i="431" s="1"/>
  <c r="G84" i="431" s="1"/>
  <c r="G21" i="236"/>
  <c r="I52" i="227"/>
  <c r="C18" i="247" s="1"/>
  <c r="C27" i="247" s="1"/>
  <c r="F12" i="236"/>
  <c r="F18" i="236" s="1"/>
  <c r="C10" i="418"/>
  <c r="C20" i="418" s="1"/>
  <c r="F32" i="238"/>
  <c r="I32" i="238" s="1"/>
  <c r="C31" i="431"/>
  <c r="C30" i="420"/>
  <c r="G17" i="241"/>
  <c r="J17" i="241" s="1"/>
  <c r="C12" i="425"/>
  <c r="C39" i="425" s="1"/>
  <c r="C11" i="242"/>
  <c r="C15" i="242" s="1"/>
  <c r="C19" i="242" s="1"/>
  <c r="C23" i="242" s="1"/>
  <c r="C13" i="427"/>
  <c r="D46" i="420"/>
  <c r="D20" i="416"/>
  <c r="E20" i="416" s="1"/>
  <c r="H20" i="416" s="1"/>
  <c r="E10" i="416"/>
  <c r="H10" i="416" s="1"/>
  <c r="D20" i="418"/>
  <c r="E10" i="418"/>
  <c r="E20" i="418" s="1"/>
  <c r="D22" i="417"/>
  <c r="E22" i="417" s="1"/>
  <c r="H22" i="417" s="1"/>
  <c r="E10" i="417"/>
  <c r="H10" i="417" s="1"/>
  <c r="D12" i="425"/>
  <c r="D9" i="430"/>
  <c r="E10" i="430"/>
  <c r="H10" i="430" s="1"/>
  <c r="E20" i="424"/>
  <c r="C38" i="424"/>
  <c r="E38" i="424" s="1"/>
  <c r="I46" i="234"/>
  <c r="G26" i="233"/>
  <c r="G47" i="233" s="1"/>
  <c r="C29" i="247" s="1"/>
  <c r="C36" i="410"/>
  <c r="H46" i="234"/>
  <c r="F21" i="414"/>
  <c r="F18" i="414" s="1"/>
  <c r="F26" i="414" s="1"/>
  <c r="F14" i="413"/>
  <c r="H16" i="428"/>
  <c r="H43" i="428" s="1"/>
  <c r="H73" i="428" s="1"/>
  <c r="G43" i="428"/>
  <c r="G73" i="428" s="1"/>
  <c r="G21" i="414"/>
  <c r="G14" i="413"/>
  <c r="F30" i="431"/>
  <c r="F10" i="431" s="1"/>
  <c r="F84" i="431" s="1"/>
  <c r="F12" i="425"/>
  <c r="H18" i="236"/>
  <c r="G10" i="418"/>
  <c r="G20" i="418" s="1"/>
  <c r="I13" i="241"/>
  <c r="I40" i="241" s="1"/>
  <c r="G12" i="425"/>
  <c r="G39" i="425" s="1"/>
  <c r="F20" i="418"/>
  <c r="H22" i="235"/>
  <c r="G10" i="430"/>
  <c r="G9" i="430" s="1"/>
  <c r="G29" i="430" s="1"/>
  <c r="G10" i="417"/>
  <c r="G22" i="417" s="1"/>
  <c r="G10" i="416"/>
  <c r="G20" i="416" s="1"/>
  <c r="E11" i="242"/>
  <c r="E13" i="427"/>
  <c r="D49" i="427"/>
  <c r="D12" i="427"/>
  <c r="F29" i="420"/>
  <c r="F29" i="430"/>
  <c r="C60" i="410"/>
  <c r="O39" i="233"/>
  <c r="B22" i="18"/>
  <c r="B27" i="18" s="1"/>
  <c r="B29" i="18" s="1"/>
  <c r="D31" i="238"/>
  <c r="D48" i="238" s="1"/>
  <c r="D50" i="238" s="1"/>
  <c r="D18" i="236"/>
  <c r="D21" i="236" s="1"/>
  <c r="E13" i="241"/>
  <c r="E40" i="241" s="1"/>
  <c r="I12" i="236"/>
  <c r="I18" i="236" s="1"/>
  <c r="F22" i="235"/>
  <c r="I12" i="235"/>
  <c r="I22" i="235" s="1"/>
  <c r="C30" i="247" l="1"/>
  <c r="E16" i="425"/>
  <c r="H16" i="425" s="1"/>
  <c r="C30" i="431"/>
  <c r="C10" i="431" s="1"/>
  <c r="C84" i="431" s="1"/>
  <c r="E31" i="431"/>
  <c r="C29" i="420"/>
  <c r="E30" i="420"/>
  <c r="H30" i="420" s="1"/>
  <c r="H10" i="418"/>
  <c r="H20" i="418"/>
  <c r="D29" i="430"/>
  <c r="E9" i="430"/>
  <c r="C49" i="427"/>
  <c r="C51" i="427" s="1"/>
  <c r="C52" i="427" s="1"/>
  <c r="C12" i="427"/>
  <c r="C18" i="427" s="1"/>
  <c r="C19" i="427" s="1"/>
  <c r="C20" i="427" s="1"/>
  <c r="C27" i="427" s="1"/>
  <c r="E12" i="425"/>
  <c r="H12" i="425" s="1"/>
  <c r="D39" i="425"/>
  <c r="E39" i="425" s="1"/>
  <c r="I54" i="234"/>
  <c r="J46" i="234"/>
  <c r="J54" i="234" s="1"/>
  <c r="C62" i="410"/>
  <c r="O42" i="233"/>
  <c r="O47" i="233" s="1"/>
  <c r="C65" i="410" s="1"/>
  <c r="G18" i="414"/>
  <c r="H21" i="414"/>
  <c r="F15" i="424"/>
  <c r="F20" i="424" s="1"/>
  <c r="F38" i="424" s="1"/>
  <c r="F8" i="415"/>
  <c r="F34" i="415" s="1"/>
  <c r="F18" i="413"/>
  <c r="G15" i="424"/>
  <c r="G20" i="424" s="1"/>
  <c r="G38" i="424" s="1"/>
  <c r="G8" i="415"/>
  <c r="G18" i="413"/>
  <c r="H18" i="413" s="1"/>
  <c r="H14" i="413"/>
  <c r="E7" i="242"/>
  <c r="E15" i="242" s="1"/>
  <c r="E19" i="242" s="1"/>
  <c r="E23" i="242" s="1"/>
  <c r="E9" i="427"/>
  <c r="H54" i="234"/>
  <c r="H21" i="236"/>
  <c r="E49" i="427"/>
  <c r="E12" i="427"/>
  <c r="F46" i="420"/>
  <c r="F39" i="425"/>
  <c r="D22" i="18"/>
  <c r="D27" i="18" s="1"/>
  <c r="D29" i="18" s="1"/>
  <c r="F31" i="238"/>
  <c r="I31" i="238" s="1"/>
  <c r="I48" i="238" s="1"/>
  <c r="G13" i="241"/>
  <c r="G40" i="241" s="1"/>
  <c r="I21" i="236"/>
  <c r="F21" i="236"/>
  <c r="E30" i="431" l="1"/>
  <c r="E10" i="431" s="1"/>
  <c r="E84" i="431" s="1"/>
  <c r="H31" i="431"/>
  <c r="H30" i="431" s="1"/>
  <c r="H10" i="431" s="1"/>
  <c r="H84" i="431" s="1"/>
  <c r="C46" i="420"/>
  <c r="E46" i="420" s="1"/>
  <c r="H46" i="420" s="1"/>
  <c r="E29" i="420"/>
  <c r="H29" i="420" s="1"/>
  <c r="E29" i="430"/>
  <c r="H9" i="430"/>
  <c r="H29" i="430" s="1"/>
  <c r="H39" i="425"/>
  <c r="E8" i="427"/>
  <c r="E18" i="427" s="1"/>
  <c r="E19" i="427" s="1"/>
  <c r="E20" i="427" s="1"/>
  <c r="E27" i="427" s="1"/>
  <c r="E45" i="427"/>
  <c r="E51" i="427" s="1"/>
  <c r="E52" i="427" s="1"/>
  <c r="O69" i="233"/>
  <c r="H8" i="415"/>
  <c r="G34" i="415"/>
  <c r="H34" i="415" s="1"/>
  <c r="G26" i="414"/>
  <c r="H26" i="414" s="1"/>
  <c r="H18" i="414"/>
  <c r="D7" i="242"/>
  <c r="D15" i="242" s="1"/>
  <c r="D19" i="242" s="1"/>
  <c r="D23" i="242" s="1"/>
  <c r="D9" i="427"/>
  <c r="F48" i="238"/>
  <c r="J13" i="241"/>
  <c r="J40" i="241" s="1"/>
  <c r="D54" i="186"/>
  <c r="D59" i="186" s="1"/>
  <c r="D133" i="186" s="1"/>
  <c r="L142" i="186"/>
  <c r="K142" i="186"/>
  <c r="O142" i="186"/>
  <c r="N142" i="186"/>
  <c r="M142" i="186"/>
  <c r="E142" i="186"/>
  <c r="G142" i="186"/>
  <c r="J142" i="186"/>
  <c r="F142" i="186"/>
  <c r="I142" i="186"/>
  <c r="H142" i="186"/>
  <c r="I22" i="228"/>
  <c r="D66" i="247" s="1"/>
  <c r="D68" i="247" s="1"/>
  <c r="D8" i="427" l="1"/>
  <c r="D18" i="427" s="1"/>
  <c r="D19" i="427" s="1"/>
  <c r="D20" i="427" s="1"/>
  <c r="D27" i="427" s="1"/>
  <c r="D45" i="427"/>
  <c r="D51" i="427" s="1"/>
  <c r="D52" i="427" s="1"/>
  <c r="I43" i="231"/>
  <c r="I44" i="228"/>
  <c r="C73" i="247"/>
  <c r="C74" i="247" s="1"/>
  <c r="J22" i="228"/>
  <c r="J44" i="228" s="1"/>
  <c r="H43" i="231"/>
  <c r="E34" i="412" s="1"/>
  <c r="E36" i="412" s="1"/>
  <c r="H45" i="231" l="1"/>
  <c r="I45" i="231"/>
  <c r="F34" i="412"/>
  <c r="F36" i="4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 Marrufo</author>
  </authors>
  <commentList>
    <comment ref="D3" authorId="0" shapeId="0" xr:uid="{5990BD46-4F5B-44C7-9260-31D44F6FDDD7}">
      <text>
        <r>
          <rPr>
            <b/>
            <sz val="9"/>
            <color indexed="81"/>
            <rFont val="Tahoma"/>
            <family val="2"/>
          </rPr>
          <t>Javier Marrufo:</t>
        </r>
        <r>
          <rPr>
            <sz val="9"/>
            <color indexed="81"/>
            <rFont val="Tahoma"/>
            <family val="2"/>
          </rPr>
          <t xml:space="preserve">
5513 y 5515</t>
        </r>
      </text>
    </comment>
    <comment ref="E3" authorId="0" shapeId="0" xr:uid="{72DAEB58-C4ED-4B85-A516-B25550A476DD}">
      <text>
        <r>
          <rPr>
            <b/>
            <sz val="9"/>
            <color indexed="81"/>
            <rFont val="Tahoma"/>
            <family val="2"/>
          </rPr>
          <t>Javier Marrufo:</t>
        </r>
        <r>
          <rPr>
            <sz val="9"/>
            <color indexed="81"/>
            <rFont val="Tahoma"/>
            <family val="2"/>
          </rPr>
          <t xml:space="preserve">
1261 y 1263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javier.marrufo</author>
  </authors>
  <commentList>
    <comment ref="E21" authorId="0" shapeId="0" xr:uid="{00000000-0006-0000-1300-000001000000}">
      <text>
        <r>
          <rPr>
            <b/>
            <sz val="9"/>
            <color indexed="81"/>
            <rFont val="Tahoma"/>
            <family val="2"/>
          </rPr>
          <t>javier.marrufo:</t>
        </r>
        <r>
          <rPr>
            <sz val="9"/>
            <color indexed="81"/>
            <rFont val="Tahoma"/>
            <family val="2"/>
          </rPr>
          <t xml:space="preserve">
ing por servicios y venta terrenos anual</t>
        </r>
      </text>
    </comment>
    <comment ref="F21" authorId="0" shapeId="0" xr:uid="{00000000-0006-0000-1300-000002000000}">
      <text>
        <r>
          <rPr>
            <b/>
            <sz val="9"/>
            <color indexed="81"/>
            <rFont val="Tahoma"/>
            <family val="2"/>
          </rPr>
          <t>javier.marrufo:</t>
        </r>
        <r>
          <rPr>
            <sz val="9"/>
            <color indexed="81"/>
            <rFont val="Tahoma"/>
            <family val="2"/>
          </rPr>
          <t xml:space="preserve">
ANOTAR MANUAL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enrique.irigoyen</author>
    <author>jmarrufo</author>
    <author>Rocio Torres</author>
    <author>sdi</author>
    <author>Enrique Irigoyen</author>
  </authors>
  <commentList>
    <comment ref="O25" authorId="0" shapeId="0" xr:uid="{57752AF6-A78E-474B-B8C8-CFD30F458BBB}">
      <text>
        <r>
          <rPr>
            <sz val="8"/>
            <color indexed="81"/>
            <rFont val="Tahoma"/>
            <family val="2"/>
          </rPr>
          <t>según avaluo de 2005 eran 100,649.23m2 pero en la nueva medida resultaron 102,184.17m2 de diferencia</t>
        </r>
      </text>
    </comment>
    <comment ref="C31" authorId="1" shapeId="0" xr:uid="{04E9B6BC-5EF4-40D8-8BA6-7440B32ECC2B}">
      <text>
        <r>
          <rPr>
            <b/>
            <sz val="8"/>
            <color indexed="81"/>
            <rFont val="Tahoma"/>
            <family val="2"/>
          </rPr>
          <t>jmarrufo:</t>
        </r>
        <r>
          <rPr>
            <sz val="8"/>
            <color indexed="81"/>
            <rFont val="Tahoma"/>
            <family val="2"/>
          </rPr>
          <t xml:space="preserve">
Incluye 8988.10 m2 comprados a José Pedro Nogal Diaz en 2004
</t>
        </r>
      </text>
    </comment>
    <comment ref="AL37" authorId="2" shapeId="0" xr:uid="{7AE9245C-EA1F-476B-8047-153BFACA7B52}">
      <text>
        <r>
          <rPr>
            <b/>
            <sz val="9"/>
            <color indexed="81"/>
            <rFont val="Tahoma"/>
            <family val="2"/>
          </rPr>
          <t>Rocio Torres:</t>
        </r>
        <r>
          <rPr>
            <sz val="9"/>
            <color indexed="81"/>
            <rFont val="Tahoma"/>
            <family val="2"/>
          </rPr>
          <t xml:space="preserve">
SN</t>
        </r>
      </text>
    </comment>
    <comment ref="AM37" authorId="2" shapeId="0" xr:uid="{1F761FCA-E209-47C0-BBFB-F19214CBAC89}">
      <text>
        <r>
          <rPr>
            <b/>
            <sz val="9"/>
            <color indexed="81"/>
            <rFont val="Tahoma"/>
            <family val="2"/>
          </rPr>
          <t>Rocio Torres:</t>
        </r>
        <r>
          <rPr>
            <sz val="9"/>
            <color indexed="81"/>
            <rFont val="Tahoma"/>
            <family val="2"/>
          </rPr>
          <t xml:space="preserve">
SN</t>
        </r>
      </text>
    </comment>
    <comment ref="C101" authorId="1" shapeId="0" xr:uid="{3D008D4C-D03C-4272-BE87-0F7FF563B329}">
      <text>
        <r>
          <rPr>
            <b/>
            <sz val="8"/>
            <color indexed="81"/>
            <rFont val="Tahoma"/>
            <family val="2"/>
          </rPr>
          <t>jmarrufo:</t>
        </r>
        <r>
          <rPr>
            <sz val="8"/>
            <color indexed="81"/>
            <rFont val="Tahoma"/>
            <family val="2"/>
          </rPr>
          <t xml:space="preserve">
SE VA A RESTAR LA DONACION A CFE CUANDO SE FORMALICE</t>
        </r>
      </text>
    </comment>
    <comment ref="AK101" authorId="2" shapeId="0" xr:uid="{47765D2E-C3CE-496E-9EFA-62150EA18AFC}">
      <text>
        <r>
          <rPr>
            <b/>
            <sz val="9"/>
            <color indexed="81"/>
            <rFont val="Tahoma"/>
            <family val="2"/>
          </rPr>
          <t>Rocio Torres:</t>
        </r>
        <r>
          <rPr>
            <sz val="9"/>
            <color indexed="81"/>
            <rFont val="Tahoma"/>
            <family val="2"/>
          </rPr>
          <t xml:space="preserve">
se va arestar la donacion a CFE cuando se Formalice</t>
        </r>
      </text>
    </comment>
    <comment ref="AK112" authorId="2" shapeId="0" xr:uid="{DCE0F691-95D1-4067-97F7-013260D7258C}">
      <text>
        <r>
          <rPr>
            <b/>
            <sz val="9"/>
            <color indexed="81"/>
            <rFont val="Tahoma"/>
            <family val="2"/>
          </rPr>
          <t>Rocio Torres:</t>
        </r>
        <r>
          <rPr>
            <sz val="9"/>
            <color indexed="81"/>
            <rFont val="Tahoma"/>
            <family val="2"/>
          </rPr>
          <t xml:space="preserve">
en la base de datos de quique esta como prestado e Quiroproductos</t>
        </r>
      </text>
    </comment>
    <comment ref="AK113" authorId="2" shapeId="0" xr:uid="{51FE03ED-8C9A-47CF-ABB7-E448E16B1959}">
      <text>
        <r>
          <rPr>
            <b/>
            <sz val="9"/>
            <color indexed="81"/>
            <rFont val="Tahoma"/>
            <family val="2"/>
          </rPr>
          <t>Rocio Torres:</t>
        </r>
        <r>
          <rPr>
            <sz val="9"/>
            <color indexed="81"/>
            <rFont val="Tahoma"/>
            <family val="2"/>
          </rPr>
          <t xml:space="preserve">
la superficie no coincide con la de la base de datos de quique que es 4974.37
</t>
        </r>
      </text>
    </comment>
    <comment ref="M126" authorId="1" shapeId="0" xr:uid="{BA2DA9D3-3D67-4473-94BC-6640A36E5305}">
      <text>
        <r>
          <rPr>
            <b/>
            <sz val="8"/>
            <color indexed="81"/>
            <rFont val="Tahoma"/>
            <family val="2"/>
          </rPr>
          <t>jmarrufo:</t>
        </r>
        <r>
          <rPr>
            <sz val="8"/>
            <color indexed="81"/>
            <rFont val="Tahoma"/>
            <family val="2"/>
          </rPr>
          <t xml:space="preserve">
diferencia contra superficie donada en acta comité
</t>
        </r>
      </text>
    </comment>
    <comment ref="AL144" authorId="2" shapeId="0" xr:uid="{E668778B-FA68-4404-BF77-C3A24605FBD8}">
      <text>
        <r>
          <rPr>
            <b/>
            <sz val="9"/>
            <color indexed="81"/>
            <rFont val="Tahoma"/>
            <family val="2"/>
          </rPr>
          <t>Rocio Torres:</t>
        </r>
        <r>
          <rPr>
            <sz val="9"/>
            <color indexed="81"/>
            <rFont val="Tahoma"/>
            <family val="2"/>
          </rPr>
          <t xml:space="preserve">
en los datos de quique solo trae manzana 7 lote 4</t>
        </r>
      </text>
    </comment>
    <comment ref="W224" authorId="3" shapeId="0" xr:uid="{B004A43C-5F0C-40D4-9D34-5209E06E7D5B}">
      <text>
        <r>
          <rPr>
            <b/>
            <sz val="8"/>
            <color indexed="81"/>
            <rFont val="Tahoma"/>
            <family val="2"/>
          </rPr>
          <t>sdi:</t>
        </r>
        <r>
          <rPr>
            <sz val="8"/>
            <color indexed="81"/>
            <rFont val="Tahoma"/>
            <family val="2"/>
          </rPr>
          <t xml:space="preserve">
se considero al precio de adquisicion (I-54 AGO 04)</t>
        </r>
      </text>
    </comment>
    <comment ref="AK267" authorId="2" shapeId="0" xr:uid="{7AD0AD70-1465-475C-B86D-279D5753B07B}">
      <text>
        <r>
          <rPr>
            <b/>
            <sz val="9"/>
            <color indexed="81"/>
            <rFont val="Tahoma"/>
            <family val="2"/>
          </rPr>
          <t>Rocio Torres:</t>
        </r>
        <r>
          <rPr>
            <sz val="9"/>
            <color indexed="81"/>
            <rFont val="Tahoma"/>
            <family val="2"/>
          </rPr>
          <t xml:space="preserve">
pequeña diferencia fila 269 base de quique</t>
        </r>
      </text>
    </comment>
    <comment ref="C305" authorId="4" shapeId="0" xr:uid="{85421DD9-39EB-4087-B716-69733F411041}">
      <text>
        <r>
          <rPr>
            <b/>
            <sz val="9"/>
            <color indexed="81"/>
            <rFont val="Tahoma"/>
            <family val="2"/>
          </rPr>
          <t>Enrique Irigoyen:</t>
        </r>
        <r>
          <rPr>
            <sz val="9"/>
            <color indexed="81"/>
            <rFont val="Tahoma"/>
            <family val="2"/>
          </rPr>
          <t xml:space="preserve">
se incluyo la reversion tec. De alimentos y nutricion (6,169.97 m2 por 853,210.20)
</t>
        </r>
      </text>
    </comment>
    <comment ref="AK305" authorId="4" shapeId="0" xr:uid="{55250D86-DA1B-4E95-96FA-10FE041DD9A6}">
      <text>
        <r>
          <rPr>
            <b/>
            <sz val="9"/>
            <color indexed="81"/>
            <rFont val="Tahoma"/>
            <family val="2"/>
          </rPr>
          <t>Enrique Irigoyen:</t>
        </r>
        <r>
          <rPr>
            <sz val="9"/>
            <color indexed="81"/>
            <rFont val="Tahoma"/>
            <family val="2"/>
          </rPr>
          <t xml:space="preserve">
se incluyo la reversion tec. De alimentos y nutricion (6,169.97 m2 por 853,210.20)
</t>
        </r>
      </text>
    </comment>
    <comment ref="AK344" authorId="2" shapeId="0" xr:uid="{E64E87E1-A4D9-4CC0-9FA2-9C8920AF57F9}">
      <text>
        <r>
          <rPr>
            <b/>
            <sz val="9"/>
            <color indexed="81"/>
            <rFont val="Tahoma"/>
            <family val="2"/>
          </rPr>
          <t>Rocio Torres:</t>
        </r>
        <r>
          <rPr>
            <sz val="9"/>
            <color indexed="81"/>
            <rFont val="Tahoma"/>
            <family val="2"/>
          </rPr>
          <t xml:space="preserve">
no coincide la superficie con la base de quique que tiene 747500 m2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 Marrufo</author>
  </authors>
  <commentList>
    <comment ref="L29" authorId="0" shapeId="0" xr:uid="{00000000-0006-0000-1F00-000002000000}">
      <text>
        <r>
          <rPr>
            <b/>
            <sz val="9"/>
            <color indexed="81"/>
            <rFont val="Tahoma"/>
            <family val="2"/>
          </rPr>
          <t>Javier Marrufo:</t>
        </r>
        <r>
          <rPr>
            <sz val="9"/>
            <color indexed="81"/>
            <rFont val="Tahoma"/>
            <family val="2"/>
          </rPr>
          <t xml:space="preserve">
Dividir entre número de meses
</t>
        </r>
      </text>
    </comment>
  </commentList>
</comments>
</file>

<file path=xl/sharedStrings.xml><?xml version="1.0" encoding="utf-8"?>
<sst xmlns="http://schemas.openxmlformats.org/spreadsheetml/2006/main" count="17053" uniqueCount="7465">
  <si>
    <t>INGRESOS POR ARRENDAMIENTO</t>
  </si>
  <si>
    <t>TOTAL INGRESOS POR ARRENDAMIENTO</t>
  </si>
  <si>
    <t>PARRAL</t>
  </si>
  <si>
    <t>PRESUPUESTO</t>
  </si>
  <si>
    <t>EJERCIDO</t>
  </si>
  <si>
    <t>VARIACIÓN</t>
  </si>
  <si>
    <t>ANTICIPO A PROVEEDORES</t>
  </si>
  <si>
    <t>TOTAL ANTICIPO A PROVEEDORES</t>
  </si>
  <si>
    <t>TOTAL COSTO DE SERVICIOS</t>
  </si>
  <si>
    <t>Acumulado</t>
  </si>
  <si>
    <t>Ingresos por Venta de Terrenos</t>
  </si>
  <si>
    <t>Energía Eléctrica</t>
  </si>
  <si>
    <t>COSTO DE SERVICIOS EN PARQUES</t>
  </si>
  <si>
    <t>CASAS GRANDES</t>
  </si>
  <si>
    <t>INGRESOS POR SERVICIOS EN PARQUES</t>
  </si>
  <si>
    <t>Chihuahua</t>
  </si>
  <si>
    <t xml:space="preserve">Agua  </t>
  </si>
  <si>
    <t xml:space="preserve">Vigilancia </t>
  </si>
  <si>
    <t xml:space="preserve">Mantenimiento  </t>
  </si>
  <si>
    <t xml:space="preserve">Agua </t>
  </si>
  <si>
    <t xml:space="preserve">Mantenimiento </t>
  </si>
  <si>
    <t>Cuauhtémoc</t>
  </si>
  <si>
    <t>Agua</t>
  </si>
  <si>
    <t>VENTAS DE TERRENOS</t>
  </si>
  <si>
    <t>Parral</t>
  </si>
  <si>
    <t>Presupuesto</t>
  </si>
  <si>
    <t>Ejercido</t>
  </si>
  <si>
    <t>Depreciaciones</t>
  </si>
  <si>
    <t>CUAUHTEMOC</t>
  </si>
  <si>
    <t>Mantenimiento</t>
  </si>
  <si>
    <t>TOTAL INGRESOS POR SERVICIOS</t>
  </si>
  <si>
    <t>INTEGRACIÓN DEL ESTADO DE RESULTADOS</t>
  </si>
  <si>
    <t>Parque Ind.</t>
  </si>
  <si>
    <t>Aeropuerto (Jrz)</t>
  </si>
  <si>
    <t xml:space="preserve">Parque Ind. </t>
  </si>
  <si>
    <t>Paquimé (NCG)</t>
  </si>
  <si>
    <t>Complejo Ind.</t>
  </si>
  <si>
    <t>Banamex Cheques</t>
  </si>
  <si>
    <t>Banorte Cheques</t>
  </si>
  <si>
    <t>Bancomer</t>
  </si>
  <si>
    <t>TOTAL BANCOS</t>
  </si>
  <si>
    <t>Cuenta no. 4481-4514</t>
  </si>
  <si>
    <t>Cuenta no. 0128947777</t>
  </si>
  <si>
    <t>Cuenta no. 0135020670</t>
  </si>
  <si>
    <t>Inversiones Banorte</t>
  </si>
  <si>
    <t>TOTAL INVERSIONES EN VALORES</t>
  </si>
  <si>
    <t xml:space="preserve">ANTICIPO A PROVEEDORES </t>
  </si>
  <si>
    <t xml:space="preserve">Depreciaciones </t>
  </si>
  <si>
    <t>TOTAL VENTAS DE TERRENOS</t>
  </si>
  <si>
    <t>COSTO DE SERVICIOS</t>
  </si>
  <si>
    <t>Costo de Venta de Terrenos y de Subsidios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</si>
  <si>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</si>
  <si>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</si>
  <si>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</si>
  <si>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</si>
  <si>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</si>
  <si>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</si>
  <si>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</si>
  <si>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</si>
  <si>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</si>
  <si>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</si>
  <si>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</si>
  <si>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</si>
  <si>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</t>
  </si>
  <si>
    <t>COSTO DE SUBSIDIOS</t>
  </si>
  <si>
    <t>DEUDORES DIVERSOS</t>
  </si>
  <si>
    <t>TOTAL CIRCULANTE</t>
  </si>
  <si>
    <t>TOTAL NO CIRCULANTE</t>
  </si>
  <si>
    <t>CIRCULANTE</t>
  </si>
  <si>
    <t>NO CIRCULANTE</t>
  </si>
  <si>
    <t>RESULTADOS EJERC. ANTERIORES</t>
  </si>
  <si>
    <t>COSTO DE VENTA DE TERRENOS</t>
  </si>
  <si>
    <t>TOTAL COSTO DE VENTA DE TERRENOS</t>
  </si>
  <si>
    <t>TOTAL COSTO DE SUBSIDIOS</t>
  </si>
  <si>
    <t>TOTAL FINANCIEROS Y OTROS GASTOS</t>
  </si>
  <si>
    <t>Egresos</t>
  </si>
  <si>
    <t>INVERSIONES EN VALORES</t>
  </si>
  <si>
    <t>Varios</t>
  </si>
  <si>
    <t>Vigilancia</t>
  </si>
  <si>
    <t>CHIHUAHUA</t>
  </si>
  <si>
    <t>JUAREZ</t>
  </si>
  <si>
    <t>A C T I V O</t>
  </si>
  <si>
    <t>P A S I V O</t>
  </si>
  <si>
    <t>BANCOS</t>
  </si>
  <si>
    <t>EQUIPO DE TRANSPORTE</t>
  </si>
  <si>
    <t>PATRIMONIO</t>
  </si>
  <si>
    <t>SUMA DEL ACTIVO</t>
  </si>
  <si>
    <t>Total</t>
  </si>
  <si>
    <t xml:space="preserve">Varios   </t>
  </si>
  <si>
    <t>SUMA DEL PASIVO</t>
  </si>
  <si>
    <t>Inversiones Bancomer</t>
  </si>
  <si>
    <t>OTROS INGRESOS</t>
  </si>
  <si>
    <t>INGRESOS</t>
  </si>
  <si>
    <t>TOTAL INGRESOS</t>
  </si>
  <si>
    <t>TOTAL EGRESOS</t>
  </si>
  <si>
    <t>Parque Industrial Chihuahua Sur</t>
  </si>
  <si>
    <t>Inversiones Banamex</t>
  </si>
  <si>
    <t>RESUMEN</t>
  </si>
  <si>
    <t>TOTAL</t>
  </si>
  <si>
    <t>PARQUE INDUSTRIAL CUAUHTEMOC</t>
  </si>
  <si>
    <t>PARQUE INDUSTRIAL PARRAL</t>
  </si>
  <si>
    <t>CONCEPTO</t>
  </si>
  <si>
    <t>TOTAL GASTOS Y COSTOS</t>
  </si>
  <si>
    <t>HACIENDA PÚBLICA / PATRIMONIO</t>
  </si>
  <si>
    <t>SUMA HACIENDA PÚBLICA / PATRIMONIO</t>
  </si>
  <si>
    <t>SUMA DEL PASIVO Y PATRIMONIO</t>
  </si>
  <si>
    <t>C.O.G.</t>
  </si>
  <si>
    <t>Sueldo Base a Personal Permanente</t>
  </si>
  <si>
    <t>Gratificación Anual</t>
  </si>
  <si>
    <t>Prima Vacacional</t>
  </si>
  <si>
    <t>Horas Extras</t>
  </si>
  <si>
    <t>Cuotas para Seguro de Vida</t>
  </si>
  <si>
    <t>Cuotas para Fondo de Ahorro</t>
  </si>
  <si>
    <t>Despensa</t>
  </si>
  <si>
    <t>Materiales, Utiles y Eq. Menores Oficina</t>
  </si>
  <si>
    <t>Materiales y Utiles de Impresión</t>
  </si>
  <si>
    <t>Material de Limpieza</t>
  </si>
  <si>
    <t>Productos Alimenticios para Personas</t>
  </si>
  <si>
    <t>Combustibles</t>
  </si>
  <si>
    <t>Telefonía Tradicional</t>
  </si>
  <si>
    <t>Servicios Postales y Telegráficos</t>
  </si>
  <si>
    <t>Servicios Integrales y Otros Servicios</t>
  </si>
  <si>
    <t>Otros Arrendamientos</t>
  </si>
  <si>
    <t>Servicios Legales Contab. y Auditoría</t>
  </si>
  <si>
    <t>Serv. Consultoría Admva, Procesos</t>
  </si>
  <si>
    <t>Servicios de Capacitación</t>
  </si>
  <si>
    <t>Servicios Profesionales, Cient. y Técnicos</t>
  </si>
  <si>
    <t>Seguro de Bienes Patrimoniales</t>
  </si>
  <si>
    <t>Servicios Fin., Banc. y Comerciales</t>
  </si>
  <si>
    <t>Cons. y Mant. Menor de Inmuebles</t>
  </si>
  <si>
    <t>Inst. Rep. y Mant. De Mobiliario</t>
  </si>
  <si>
    <t>Reparación y Mant. Equipo de Transporte</t>
  </si>
  <si>
    <t>Serv. Limpieza y Manejo de Desechos</t>
  </si>
  <si>
    <t>Viáticos en el País</t>
  </si>
  <si>
    <t>Viáticos en el Extranjero</t>
  </si>
  <si>
    <t>Congresos y Convenciones</t>
  </si>
  <si>
    <t>Reuniones Oficiales</t>
  </si>
  <si>
    <t>Otros Servicios Generales</t>
  </si>
  <si>
    <t>Servicios de Vigilancia</t>
  </si>
  <si>
    <t>Conservación y Mant. Menor Inmuebles</t>
  </si>
  <si>
    <t>Inst. Rep. y Mant. De Maquinaria</t>
  </si>
  <si>
    <t>Servicios Financieros y Bancarios</t>
  </si>
  <si>
    <t>INFRAESTRUCTURA</t>
  </si>
  <si>
    <t>Plan Ctas</t>
  </si>
  <si>
    <t>Descripción</t>
  </si>
  <si>
    <t>SERVICIOS PERSONALES</t>
  </si>
  <si>
    <t>MATERIALES Y SUMINISTROS</t>
  </si>
  <si>
    <t>SERVICIOS GENERALES</t>
  </si>
  <si>
    <t>GASTOS DE FUNCIONAMIENTO</t>
  </si>
  <si>
    <t>COMPLEJO INDUSTRIAL CHIHUAHUA</t>
  </si>
  <si>
    <t>PARQUE INDUSTRIAL AEROPUERTO (JUÁREZ)</t>
  </si>
  <si>
    <t>PARQUE INDUSTRIAL CUAUHTÉMOC</t>
  </si>
  <si>
    <t>PARQUE INDUSTRIAL PAQUIMÉ (N.C.G.)</t>
  </si>
  <si>
    <t>TOTAL GASTOS DE FUNCIONAMIENTO</t>
  </si>
  <si>
    <t>TOTAL COMPLEJO INDUSTRIAL CHIHUAHUA</t>
  </si>
  <si>
    <t>TOTAL PARQUE INDUSTRIAL AEROPUERTO</t>
  </si>
  <si>
    <t>TOTAL PARQUE INDUSTRIAL CUAUHTÉMOC</t>
  </si>
  <si>
    <t>TOTAL PARQUE INDUSTRIAL PARRAL</t>
  </si>
  <si>
    <t>TOTAL PARQUE INDUSTRIAL PAQUIMÉ</t>
  </si>
  <si>
    <t>PARQUE INDUSTRIAL CHIHUAHUA SUR</t>
  </si>
  <si>
    <t>Gas</t>
  </si>
  <si>
    <t>INTEGRACIÓN DE INGRESOS</t>
  </si>
  <si>
    <t>Rendimientos por inversiones</t>
  </si>
  <si>
    <t>Rendimientos bancarios</t>
  </si>
  <si>
    <t>Otros Ingresos</t>
  </si>
  <si>
    <t>TOTAL OTROS INGRESOS</t>
  </si>
  <si>
    <t>INTEGRACIÓN DE EGRESOS</t>
  </si>
  <si>
    <t>Materiales y Suministros</t>
  </si>
  <si>
    <t>Servicios Generales</t>
  </si>
  <si>
    <t>Servicios Personales</t>
  </si>
  <si>
    <t>OTROS GASTOS Y PÉRDIDAS</t>
  </si>
  <si>
    <t>INTEGRACIÓN DE LAS PRINCIPALES CUENTAS DE BALANCE</t>
  </si>
  <si>
    <t>1112-10001</t>
  </si>
  <si>
    <t>1112-10002</t>
  </si>
  <si>
    <t>1112-10003</t>
  </si>
  <si>
    <t>1112-10008</t>
  </si>
  <si>
    <t>1114-10001</t>
  </si>
  <si>
    <t>1114-10002</t>
  </si>
  <si>
    <t>1114-10003</t>
  </si>
  <si>
    <t xml:space="preserve">DOCUMENTOS POR COBRAR A LARGO PLAZO </t>
  </si>
  <si>
    <t>TOTAL DEUDORES DIVERSOS</t>
  </si>
  <si>
    <t>TOTAL COSTO DE SERVICIOS EN PARQUES</t>
  </si>
  <si>
    <t>Ingresos por Servicios en Parques</t>
  </si>
  <si>
    <t>Costo de Servicios en Parques</t>
  </si>
  <si>
    <t>TOTAL COSTOS Y GASTOS</t>
  </si>
  <si>
    <t>Otros Gastos y Pérdidas</t>
  </si>
  <si>
    <t xml:space="preserve">Otros Ingresos </t>
  </si>
  <si>
    <t>EFECTIVO</t>
  </si>
  <si>
    <t>CUENTAS POR COBRAR A CORTO PLAZO</t>
  </si>
  <si>
    <t>DEUDORES DIVERSOS A CORTO PLAZO</t>
  </si>
  <si>
    <t>ANTICIPO A PROV. DE BIENES INTANGIBLES</t>
  </si>
  <si>
    <t>VALORES EN GARANTÍA</t>
  </si>
  <si>
    <t>TITULOS Y VALORES A LARGO PLAZO</t>
  </si>
  <si>
    <t>DOCUMENTOS POR COBRAR A LARGO PLAZO</t>
  </si>
  <si>
    <t>TERRENOS</t>
  </si>
  <si>
    <t>EDIFICIOS NO HABITACIONALES</t>
  </si>
  <si>
    <t>MOBILIARIO Y EQUIPO DE ADMINISTRACION</t>
  </si>
  <si>
    <t>MAQUINARIA Y EQUIPO</t>
  </si>
  <si>
    <t>ACTIVOS INTANGIBLES</t>
  </si>
  <si>
    <t>DEPRECIACION ACUMULADA DE INMUEBLES</t>
  </si>
  <si>
    <t>DEPRECIACIÓN ACUMULADA DE BIENES MUEBLES</t>
  </si>
  <si>
    <t>RETENCIONES Y CONTRIBUCIONES POR PAGAR</t>
  </si>
  <si>
    <t>OTRAS CUENTAS POR PAGAR A CORTO PLAZO</t>
  </si>
  <si>
    <t>TOTAL DOC. POR COBRAR A LARGO PLAZO</t>
  </si>
  <si>
    <t>ESTADO DE RESULTADOS CONTRA PRESUPUESTO</t>
  </si>
  <si>
    <t>Utilidad Cambiaria</t>
  </si>
  <si>
    <t>ANTICIPOS DE TESORERÍA</t>
  </si>
  <si>
    <t>TOTAL ANTICIPOS DE TESORERIA</t>
  </si>
  <si>
    <t>Medicinas y Productos Farmacéuticos</t>
  </si>
  <si>
    <t>Aportaciones al Ichisal</t>
  </si>
  <si>
    <t>DOCUMENTOS POR PAGAR A CORTO PLAZO</t>
  </si>
  <si>
    <t>PROVEEDORES POR PAGAR A CORTO PLAZO</t>
  </si>
  <si>
    <t>INGRESOS POR RECUPERAR A CORTO PLAZO</t>
  </si>
  <si>
    <t>DEUDORES ANTICIPOS TESORERIA CORTO PLAZO</t>
  </si>
  <si>
    <t>INGRESOS COBRADOS ADELANTADO C. PLAZO</t>
  </si>
  <si>
    <t>TOTAL PARQUE INDUSTRIAL CHIHUAHUA SUR</t>
  </si>
  <si>
    <t>Complejo Ind. Chihuahua</t>
  </si>
  <si>
    <t>Parque Industrial Aeropuerto (Juárez)</t>
  </si>
  <si>
    <t>Parque Industrial Cuauhtémoc</t>
  </si>
  <si>
    <t>Parque Industrial Paquimé (N.C.G.)</t>
  </si>
  <si>
    <t>VENTA DE TERRENOS</t>
  </si>
  <si>
    <t>NUEVO CASAS GRANDES</t>
  </si>
  <si>
    <t>TOTAL GASTOS</t>
  </si>
  <si>
    <t>Administración</t>
  </si>
  <si>
    <t>Central</t>
  </si>
  <si>
    <t>Chihuahua Sur</t>
  </si>
  <si>
    <t>Origen</t>
  </si>
  <si>
    <t>Aplicación</t>
  </si>
  <si>
    <t>Endeudamiento Neto</t>
  </si>
  <si>
    <t>Servicios de la Deuda</t>
  </si>
  <si>
    <t>Concepto</t>
  </si>
  <si>
    <t>Rectificaciones de Resultados de Ejercicios Anteriores</t>
  </si>
  <si>
    <t>RESULTADO DEL EJERCICIO (AHORRO/DESAHORRO)</t>
  </si>
  <si>
    <t>GASTOS DE ADMINISTRACIÓN CENTRAL</t>
  </si>
  <si>
    <t>Gastos de  Administración Central</t>
  </si>
  <si>
    <t>TOTAL GASTOS DE ADMINISTRACION CENTRAL</t>
  </si>
  <si>
    <t>Devengado</t>
  </si>
  <si>
    <t>TOTAL GASTOS DE ADMINISTRACIÓN CENTRAL</t>
  </si>
  <si>
    <t>INDICADORES DEL PRESUPUESTO BASADO EN RESULTADOS</t>
  </si>
  <si>
    <t>PROPÓSITO</t>
  </si>
  <si>
    <t>RESULTADO</t>
  </si>
  <si>
    <t>META</t>
  </si>
  <si>
    <t>COMPONENTE 1</t>
  </si>
  <si>
    <t>MANTENIMIENTO, VIGILANCIA Y AGUA</t>
  </si>
  <si>
    <t>MANTENIMIENTO Y VIGILANCIA</t>
  </si>
  <si>
    <t>MANTENIMIENTO</t>
  </si>
  <si>
    <t>AGUA</t>
  </si>
  <si>
    <t>Complejo Industrial Chihuahua</t>
  </si>
  <si>
    <t>Parque Industrial Aeropuerto</t>
  </si>
  <si>
    <t>Parque Industrial Paquime</t>
  </si>
  <si>
    <t>COMPONENTE 2</t>
  </si>
  <si>
    <t>Parque Industrial Paquimé</t>
  </si>
  <si>
    <t>EXTRAIDOS</t>
  </si>
  <si>
    <t>FACTURADOS</t>
  </si>
  <si>
    <t>ACTIVIDAD 1.1</t>
  </si>
  <si>
    <t>ACTIVIDAD 2.1</t>
  </si>
  <si>
    <t>RELACIÓN DE LOTES</t>
  </si>
  <si>
    <t>VALOR ADQ.</t>
  </si>
  <si>
    <t>FECHA DE ALTA</t>
  </si>
  <si>
    <t>FECHA REGISTRO</t>
  </si>
  <si>
    <t>LIBRO</t>
  </si>
  <si>
    <t>SECCION</t>
  </si>
  <si>
    <t>FOLIO</t>
  </si>
  <si>
    <t>DISTRITO</t>
  </si>
  <si>
    <t>SUPERFICIE</t>
  </si>
  <si>
    <t>M2 TOTALES</t>
  </si>
  <si>
    <t xml:space="preserve">AVALUO </t>
  </si>
  <si>
    <t xml:space="preserve">VALOR </t>
  </si>
  <si>
    <t>VALORES REESTRUCTURA CONTABILIDAD</t>
  </si>
  <si>
    <t>MAN</t>
  </si>
  <si>
    <t>LOTE</t>
  </si>
  <si>
    <t>NOMBRE DEL USUARIO</t>
  </si>
  <si>
    <t>UBICACIÓN</t>
  </si>
  <si>
    <t>DISPONIBLE M2</t>
  </si>
  <si>
    <t>SERVICIOS</t>
  </si>
  <si>
    <t>URBANIZ.</t>
  </si>
  <si>
    <t>SIN URB.</t>
  </si>
  <si>
    <t>VALOR AVALUO</t>
  </si>
  <si>
    <t>M2 VALUADOS</t>
  </si>
  <si>
    <t>AJUSTADO M2</t>
  </si>
  <si>
    <t>M2</t>
  </si>
  <si>
    <t>VALUADOR</t>
  </si>
  <si>
    <t>FECHA</t>
  </si>
  <si>
    <t>Uso Propio</t>
  </si>
  <si>
    <t>Breña</t>
  </si>
  <si>
    <t>Proc. Urb.</t>
  </si>
  <si>
    <t>Urbanizado</t>
  </si>
  <si>
    <t>A PRORRATEAR</t>
  </si>
  <si>
    <t>11-B</t>
  </si>
  <si>
    <t>POZO 1 PROMOTORA</t>
  </si>
  <si>
    <t>COMPLEJO IND CHIH</t>
  </si>
  <si>
    <t>Rodolfo Ruiz González</t>
  </si>
  <si>
    <t>C</t>
  </si>
  <si>
    <t>K.1/1.20</t>
  </si>
  <si>
    <t>9-A-1</t>
  </si>
  <si>
    <t>POZO 8 PROMOTORA / JMAS</t>
  </si>
  <si>
    <t>K.1/1.24</t>
  </si>
  <si>
    <t>13-A</t>
  </si>
  <si>
    <t>POZO 4</t>
  </si>
  <si>
    <t>K.1/1.23</t>
  </si>
  <si>
    <t>6 fr II-B</t>
  </si>
  <si>
    <t>PROMOTORA (Pago especie de P. Ind. America)</t>
  </si>
  <si>
    <t>Estimado RRG</t>
  </si>
  <si>
    <t>E</t>
  </si>
  <si>
    <t>1-D</t>
  </si>
  <si>
    <t>POZO 6 Y TANQUE ELEVADO</t>
  </si>
  <si>
    <t>K.1/1.25</t>
  </si>
  <si>
    <t>PROMOTORA/ EDIFICIO SDI</t>
  </si>
  <si>
    <t>K.1/1.19</t>
  </si>
  <si>
    <t>16/17</t>
  </si>
  <si>
    <t>PROMOTORA / LEON TOLSTOI</t>
  </si>
  <si>
    <t>K.1/1.18</t>
  </si>
  <si>
    <t>PROMOTORA / ESTACIONAMIENTO LEON TOLSTOI</t>
  </si>
  <si>
    <t>1A.</t>
  </si>
  <si>
    <t>MORELOS</t>
  </si>
  <si>
    <t>PROMOTORA / SDI</t>
  </si>
  <si>
    <t>K.1/1.22</t>
  </si>
  <si>
    <t>1B</t>
  </si>
  <si>
    <t>PROMOTORA / CANCHAS DEPORTIVAS</t>
  </si>
  <si>
    <t>K.1/1.21</t>
  </si>
  <si>
    <t>PROMOTORA/Atrás ADUANA</t>
  </si>
  <si>
    <t>Roberto Guzman Nava</t>
  </si>
  <si>
    <t>Nota: Verificar el ajuste por valuacion en m2.</t>
  </si>
  <si>
    <t>AVENIDA COLON (DENNYS)</t>
  </si>
  <si>
    <t>Abelardo Casas</t>
  </si>
  <si>
    <t>Edificio PICH donado por Mpio. (esc. 9798)</t>
  </si>
  <si>
    <t>COMPLEJO IND CHIH (COMODATO CNA)</t>
  </si>
  <si>
    <t>CHIHUAHUA-RESERVA NORTE</t>
  </si>
  <si>
    <t>PROMOTORA (Atrás Planta Coca-Cola)</t>
  </si>
  <si>
    <t>CHIHUAHUA RESERVA NORTE</t>
  </si>
  <si>
    <t>Antonio de la Mora Prieto</t>
  </si>
  <si>
    <t>K.1/1.2</t>
  </si>
  <si>
    <t>PARQUE INDUSTRIAL CD. CHIHUAHUA SUR</t>
  </si>
  <si>
    <t>PROYECTO 1</t>
  </si>
  <si>
    <t>PARQUE IND CHIHUAHUA SUR</t>
  </si>
  <si>
    <t>Gutiérrez Calderón, S.C.</t>
  </si>
  <si>
    <t>k.1/1.30</t>
  </si>
  <si>
    <t>PROYECTO 3 (Para venta a Superior)</t>
  </si>
  <si>
    <t>RESERVA T</t>
  </si>
  <si>
    <t>a prorratear</t>
  </si>
  <si>
    <t>EQUIPAMIENTO</t>
  </si>
  <si>
    <t>AREA M</t>
  </si>
  <si>
    <t>Estimado GC,S.C.</t>
  </si>
  <si>
    <t>ADQ. JULIO ORNELAS (parcelas 20,102,22,41,29,69,6,18,19)</t>
  </si>
  <si>
    <t>Costo Adquisición</t>
  </si>
  <si>
    <t>A</t>
  </si>
  <si>
    <t>Cotejado vs escritura, mayor.</t>
  </si>
  <si>
    <t>NOTA: VERIFICAR SI SE CARGARON A GASTOS O A TERRENOS LOS HONORARIOS POR LA ELABORACION DE ESCRITURAS POR 111,1149.80, ELABORACION DE AVALUOS, PLANOS Y PAGO DE IMPTOS LA CANT DE 1,058,177.50</t>
  </si>
  <si>
    <t>ADQ. JULIO ORNELAS (parcela 25Z-1 P-1/1)</t>
  </si>
  <si>
    <t>ADQ. JULIO ORNELAS</t>
  </si>
  <si>
    <t>1,5,9</t>
  </si>
  <si>
    <t>DONACION DE MPIO. DE CHIH. (entre parcelas 92 y 98)</t>
  </si>
  <si>
    <t>CATASTRO</t>
  </si>
  <si>
    <t>CA</t>
  </si>
  <si>
    <t>Cotejado vs avalúo de catastro</t>
  </si>
  <si>
    <t>2,6,9,10,5,1</t>
  </si>
  <si>
    <t>DONACION DE MPIO. DE CHIH. (parcela 92)</t>
  </si>
  <si>
    <t>PARCELAS 297, 227, 228, 238, 237</t>
  </si>
  <si>
    <t>TABALAOPA (PARQUE SUR)</t>
  </si>
  <si>
    <t>ADQ. JESUS ALFONSO PAZOS LINARES (parcela 242 Z-2 P2/2) escritura 15,356</t>
  </si>
  <si>
    <t>ADQ. JORGE VILLARINO DOMINGUEZ (parcela 241Z-2 P2/2) escritura 15,356</t>
  </si>
  <si>
    <t>ADQ. SAUL ARMENDARIZ GARCIA (parcela 212)</t>
  </si>
  <si>
    <t>RESERVA AEROPUERTO</t>
  </si>
  <si>
    <t>ADQ. AGUSTIN LOPEZ DAUMAS</t>
  </si>
  <si>
    <t>CONCORDIA (PARQUE SUR)</t>
  </si>
  <si>
    <t>SUMAS</t>
  </si>
  <si>
    <t>PARQUE INDUSTRIAL AEROPUERTO CD. JUAREZ</t>
  </si>
  <si>
    <t>AVALUO</t>
  </si>
  <si>
    <t>INDICE</t>
  </si>
  <si>
    <t>OBSERVACIONES</t>
  </si>
  <si>
    <t>DISPONIBLE</t>
  </si>
  <si>
    <t>URBANIZADA</t>
  </si>
  <si>
    <t>POZO 1 (Con oficina móvil)</t>
  </si>
  <si>
    <t>PARQUE IND AEROPUERTO</t>
  </si>
  <si>
    <t>K.1/1.16</t>
  </si>
  <si>
    <t>7 Y 8</t>
  </si>
  <si>
    <t>S/N</t>
  </si>
  <si>
    <t>POZO 2 PROMOTORA</t>
  </si>
  <si>
    <t>K.1/1.17</t>
  </si>
  <si>
    <t>SAMALAYUCA (EL CANTON)</t>
  </si>
  <si>
    <t>POLIGONO A</t>
  </si>
  <si>
    <t>PROMOTORA (Incluye Cereso)</t>
  </si>
  <si>
    <t>BRAVOS</t>
  </si>
  <si>
    <t>Estimado Zaragoza Yonk</t>
  </si>
  <si>
    <t>POLIGONO B</t>
  </si>
  <si>
    <t>PROMOTORA</t>
  </si>
  <si>
    <t>|</t>
  </si>
  <si>
    <t>EJE JUAN GABRIEL</t>
  </si>
  <si>
    <t>PERMUTA CON SRIA. DE SALUD</t>
  </si>
  <si>
    <t>Oscar Alfonso Rey Solis</t>
  </si>
  <si>
    <t>K.1/1.10</t>
  </si>
  <si>
    <t>Nota: verificar el avaluo ajustado en m2</t>
  </si>
  <si>
    <t>ZARAGOZA (YONKEROS)</t>
  </si>
  <si>
    <t>RESERVA ZARAGOZA CD. JUAREZ (YONKEROS)</t>
  </si>
  <si>
    <t>PROMOTORA (DONADO SDUE 2004)</t>
  </si>
  <si>
    <t>ZARAGOZA/YONKEROS</t>
  </si>
  <si>
    <t>RESERVA SAN JERONIMO CD. JUAREZ</t>
  </si>
  <si>
    <t>PROMOTORA (ADQ. INM. SAN JERONIMO 2004)</t>
  </si>
  <si>
    <t>SAN JERONIMO</t>
  </si>
  <si>
    <t>K.1/1.13</t>
  </si>
  <si>
    <t>PRORRATEO GASTOS DE JULIO</t>
  </si>
  <si>
    <t>1-B</t>
  </si>
  <si>
    <t>POZO 1</t>
  </si>
  <si>
    <t>PARQUE CUAUHTEMOC</t>
  </si>
  <si>
    <t>k.1/1.45</t>
  </si>
  <si>
    <t xml:space="preserve">PROMOTORA </t>
  </si>
  <si>
    <t>k.1/1.47</t>
  </si>
  <si>
    <t>6-B</t>
  </si>
  <si>
    <t>SERVIDUMBRE</t>
  </si>
  <si>
    <t>k.1/1.41</t>
  </si>
  <si>
    <t>7-A</t>
  </si>
  <si>
    <t>PROMOTORA (Ofrecido Area Deportiva)</t>
  </si>
  <si>
    <t>PROMOTORA BEISBOL (Por desincorporar)</t>
  </si>
  <si>
    <t>4-A</t>
  </si>
  <si>
    <t>POZO 2</t>
  </si>
  <si>
    <t>k.1/1.44</t>
  </si>
  <si>
    <t>PROMOTORA pago en especie de P.IND. AMERICA</t>
  </si>
  <si>
    <t>2-B</t>
  </si>
  <si>
    <t>PROMOTORA.</t>
  </si>
  <si>
    <t>PROMOTORA. (Prestado a Quiroproductos)</t>
  </si>
  <si>
    <t>k.1/1.42</t>
  </si>
  <si>
    <t>NOTA: VERIFICAR AJUSTE POR AVALUO DE M2</t>
  </si>
  <si>
    <t>OFICINAS PROMOTORA</t>
  </si>
  <si>
    <t>k.1/1.43</t>
  </si>
  <si>
    <t>5A</t>
  </si>
  <si>
    <t>TANQUE ELEVADO</t>
  </si>
  <si>
    <t>Vialidad interna P. Beisbol (Por desincorporar)</t>
  </si>
  <si>
    <t>2a etapa</t>
  </si>
  <si>
    <t>permuta Consejo empresarial Cuauhtemoc</t>
  </si>
  <si>
    <t>PARQUE PARRAL 1a. Etapa</t>
  </si>
  <si>
    <t>PROMOTORA (Reversión de Ecotransfer)</t>
  </si>
  <si>
    <t>1-A</t>
  </si>
  <si>
    <t>PROMOTORA OFICINA</t>
  </si>
  <si>
    <t>k.1/1.48</t>
  </si>
  <si>
    <t>TANQUE DE ALMACENAMIENTO</t>
  </si>
  <si>
    <t>PARQUE PARRAL 2a. Etapa</t>
  </si>
  <si>
    <t>k.1/1.49</t>
  </si>
  <si>
    <t>DISPONIBLE PARA VENTA</t>
  </si>
  <si>
    <t>k.1/1.51</t>
  </si>
  <si>
    <t>Nota: Verificar el ajuste de la valuacion por m2.</t>
  </si>
  <si>
    <t>FUERA DEL PARQUE INDUSTRIAL</t>
  </si>
  <si>
    <t>parcelas</t>
  </si>
  <si>
    <t>67 y 68</t>
  </si>
  <si>
    <t>PLANTA METALURGICA EXPERIMENTAL</t>
  </si>
  <si>
    <t>EJIDO LA ALMANCEÑA</t>
  </si>
  <si>
    <t>PAGO EN ESPECIE IMPULSORA COMERCIAL EL CAMINO (AVE. CENTAURO DEL NTE COL. INFONAVIT REAL VICTORIA)</t>
  </si>
  <si>
    <t>HDO. DEL PARRAL</t>
  </si>
  <si>
    <t>PARQUE INDUSTRIAL PAQUIMÉ</t>
  </si>
  <si>
    <t>RELACIÓN DE LOTES DENTRO DEL PARQUE</t>
  </si>
  <si>
    <t>2-A</t>
  </si>
  <si>
    <t>POZO Y TANQUE</t>
  </si>
  <si>
    <t>PARQUE PAQUIME</t>
  </si>
  <si>
    <t>k.1/1.40</t>
  </si>
  <si>
    <t>k.1/1.38</t>
  </si>
  <si>
    <t>Nota: Verificar el ajuste de valuacion en m2.</t>
  </si>
  <si>
    <t>8-B</t>
  </si>
  <si>
    <t>1 AL 8</t>
  </si>
  <si>
    <t>PROMOTORA TOTAL M-5</t>
  </si>
  <si>
    <t>SUPERFICIES FUERA DEL PARQUE PAQUIME</t>
  </si>
  <si>
    <t>GALEANA</t>
  </si>
  <si>
    <t>FUERA DEL PARQUE</t>
  </si>
  <si>
    <t>11-A</t>
  </si>
  <si>
    <t>12-A</t>
  </si>
  <si>
    <t>12-B</t>
  </si>
  <si>
    <t>PARQUE DEPORTIVO</t>
  </si>
  <si>
    <t>Rodolfo Ruiz Gonzalez</t>
  </si>
  <si>
    <t>k.1/1.39</t>
  </si>
  <si>
    <t>NAICA</t>
  </si>
  <si>
    <t>Z-1</t>
  </si>
  <si>
    <t>Valuado al costo de adquisicion. El costo de adquisicion esta respaldado por un avalúo, realizado el 28 de mayo de 2004.</t>
  </si>
  <si>
    <t>JORGE PAZOS LINARES</t>
  </si>
  <si>
    <t>ESC. 7865</t>
  </si>
  <si>
    <t>COL. ADOLFO ORIVE</t>
  </si>
  <si>
    <t>PROMOTORA DERECHO VIA</t>
  </si>
  <si>
    <t>Estimado RIC</t>
  </si>
  <si>
    <t>PROMOTORA (DERECHO VIA DUCTOS)</t>
  </si>
  <si>
    <t>Roberto Ibarra Caballero</t>
  </si>
  <si>
    <t>k.1/1.54</t>
  </si>
  <si>
    <t>PROMOTORA ESQUINA HORTALIZAS</t>
  </si>
  <si>
    <t>PROMOTORA (Ofrecido a Margarita Barraza)</t>
  </si>
  <si>
    <t>k.1/1.55</t>
  </si>
  <si>
    <t>RESERVA ANÁHUAC</t>
  </si>
  <si>
    <t>PROMOTORA (Adquisiciones y permutas)</t>
  </si>
  <si>
    <t>ANAHUAC</t>
  </si>
  <si>
    <t>2003-2004</t>
  </si>
  <si>
    <t>k.1/1.61</t>
  </si>
  <si>
    <t>Integracion terrenos Anahuac</t>
  </si>
  <si>
    <t>(Hidroponicos Centuaro)</t>
  </si>
  <si>
    <t>REVERSION TERRENO ACM</t>
  </si>
  <si>
    <t>PRIMERA</t>
  </si>
  <si>
    <t>RESERVA PALOMAS CRUCES FRONTERIZOS</t>
  </si>
  <si>
    <t>1,2,3,4</t>
  </si>
  <si>
    <t>PROMOTORA (ADQ. SERGIO J. ROMERO FLORES esc. 8258)</t>
  </si>
  <si>
    <t>PALOMAS/CRUCES</t>
  </si>
  <si>
    <t>k.1/1.59</t>
  </si>
  <si>
    <t>Nota: Estos terrenos se valuaron al costo de adquisicion. En el contrato de compra venta, se estipula el como precio de compra venta 7,500,000.00</t>
  </si>
  <si>
    <t>El valor establecido en el contrato de compra venta incluye una construccion, en el momento de la compra no se identifica la parte que corresponde a terreno, se le aplica el 20% según el art 151 LISR - PF - ENAJENACION DE BIENES. Contablemente se registro por los 7,500,000.00.ver poliza D-58 del 31/08/05.</t>
  </si>
  <si>
    <t>PROMOTORA (ADQ. ARACELY REAL CARVAJAL)</t>
  </si>
  <si>
    <t>k.1/1.57</t>
  </si>
  <si>
    <t>Nota: Estos terrenos se valuaron al costo de adquisicion. En el contrato de compra venta, se estipula el como precio de compra venta 1,750,000.00</t>
  </si>
  <si>
    <t>El valor establecido en el contrato de compra venta incluye una construccion, en el momento de la compra no se identifica la parte que corresponde a terreno, se le aplica el 20% según el art 151 LISR - PF - ENAJENACION DE BIENES. Contablemente se registro por los 1,750,000.00</t>
  </si>
  <si>
    <t>JUAN MANUEL VELAZQUEZ MATANCILLAS (escritura 5075)</t>
  </si>
  <si>
    <t>ALMA IRENE SANCHEZ PORRAS (escritura 5078)</t>
  </si>
  <si>
    <t>MANUEL FLORES ORTEGA (escritura 5077)</t>
  </si>
  <si>
    <t>ANTONIO QUEZADA LICANO (escritura 5068)</t>
  </si>
  <si>
    <t>ARIANA APODACA YAÑEZ (escritura 5070)</t>
  </si>
  <si>
    <t>MOISES VELAZQUEZ MATANCILLAS (escritura 5069)</t>
  </si>
  <si>
    <t>SOCORRO JUAREZ GARCIA (escritura 5115)</t>
  </si>
  <si>
    <t>3 y 4</t>
  </si>
  <si>
    <t>JUAN VELAZQUEZ (escritura 5073)</t>
  </si>
  <si>
    <t>honorarios del villar esc. 5063 al 5073, 5075 al 5079 y 7 mas en proceso</t>
  </si>
  <si>
    <t>JOSE ALEJANDRO REY ALVARADO (escritura 8,502)</t>
  </si>
  <si>
    <t>VICTOR MANUEL REGALADO (esc. 5,076)</t>
  </si>
  <si>
    <t>ANGELICA TREVIZO MONTES (ESC. 5115)</t>
  </si>
  <si>
    <t>1 FRAC B</t>
  </si>
  <si>
    <t>MARIA GUADALUPE ORTIZ ENRIQUEZ (5079)</t>
  </si>
  <si>
    <t>MANUEL AGUIRRE ANDOLA (ESC. 5094)</t>
  </si>
  <si>
    <t>GLORIA MIRANDA (ESC. 5099)</t>
  </si>
  <si>
    <t>EMMA LILIA RAMOS ALONSO (ESC 5098)</t>
  </si>
  <si>
    <t>JOSE LUIS GARCIA NUÑEZ (ESC 5097)</t>
  </si>
  <si>
    <t>AARON CARRASCO IBARRA</t>
  </si>
  <si>
    <t>MARTIN RAMIREZ CAZAREZ (ESC. 5095)</t>
  </si>
  <si>
    <t>TOMASA MATANCILLAS ARROYOS (ESC. 5064)</t>
  </si>
  <si>
    <t>FRAC DEL 8</t>
  </si>
  <si>
    <t>MIREYA ACUÑA GRANADOS (ESC 5063)</t>
  </si>
  <si>
    <t>FRAC C DEL 1</t>
  </si>
  <si>
    <t>MARTIN FLORES URBINA (ESC. 5066)</t>
  </si>
  <si>
    <t>FRAC A DEL 1</t>
  </si>
  <si>
    <t>LOURDES MORALES (ESC. 5065)</t>
  </si>
  <si>
    <t>JOSE MARIA REY ALVARADO (ESC. 10,074)</t>
  </si>
  <si>
    <t>JOSE MARIA REY ALVARADO (ESC. 10,122)</t>
  </si>
  <si>
    <t>JUAN ANGEL REY SERRANO (ESC. 10,073)</t>
  </si>
  <si>
    <t>PARCELA 46 Z-9 P1/1</t>
  </si>
  <si>
    <t>ASCENSION</t>
  </si>
  <si>
    <t>PARCELA 47 Z-9 P1/1</t>
  </si>
  <si>
    <t>JUAN MANUEL RANGEL VAZQUEZ</t>
  </si>
  <si>
    <t>ESC. 6742</t>
  </si>
  <si>
    <t>APOLINAR VILLALOBOS ESTRADA</t>
  </si>
  <si>
    <t>ESC. 6743</t>
  </si>
  <si>
    <t>HILDA JUAREZ GARCIA</t>
  </si>
  <si>
    <t>ESC. 6739</t>
  </si>
  <si>
    <t>ELOISA ACUÑA HDEZ</t>
  </si>
  <si>
    <t>ESC. 5071</t>
  </si>
  <si>
    <t>MA. MAGDALENA QUINTANA JAQUEZ</t>
  </si>
  <si>
    <t>ESC. 6741</t>
  </si>
  <si>
    <t>BERTHA BENCOMO VELEZQUEZ</t>
  </si>
  <si>
    <t>ESC. 6738</t>
  </si>
  <si>
    <t>NATALIA VILLALOBOS ALVAREZ</t>
  </si>
  <si>
    <t>ESC. 6744</t>
  </si>
  <si>
    <t>Donacion de calles de Presidencia de Asencion</t>
  </si>
  <si>
    <t>TRASPASO D-9 MAR 2010 (ACTA COMITÉ 16 MAR 2010)</t>
  </si>
  <si>
    <t>8a</t>
  </si>
  <si>
    <t>Donacion por Mpio. De Ascencion</t>
  </si>
  <si>
    <t>RODRIGO M. QUEVEDO</t>
  </si>
  <si>
    <t>RESERVA EL BERRENDO CRUCES FRONTERIZOS</t>
  </si>
  <si>
    <t>esc. 6,302</t>
  </si>
  <si>
    <t>ADQ A EZZIO JAQUEZ QUINTANA</t>
  </si>
  <si>
    <t>JANOS</t>
  </si>
  <si>
    <t>Nota: Se debe registrar en Edificios el 80% del costo total de adquisición, debido a que se adquirieron fincas y no se especificó el valor del terreno separado de la construcción (Art. 151 LISR)</t>
  </si>
  <si>
    <t>Sergio J.Romero Flores  $7,500,000 x 80%</t>
  </si>
  <si>
    <t>Aracely Real Carvajal    $1,750,000 x 80%</t>
  </si>
  <si>
    <t xml:space="preserve">IMPORTE CARGADO EN EDIFICIOS </t>
  </si>
  <si>
    <t>ALDAMA</t>
  </si>
  <si>
    <t>k.1/1.53</t>
  </si>
  <si>
    <t>PROMOTORA INM. DE SACRAMENTO ESC. 8,322</t>
  </si>
  <si>
    <t>VILLA ALDAMA</t>
  </si>
  <si>
    <t>CAMARGO</t>
  </si>
  <si>
    <t>LA NOGALERA</t>
  </si>
  <si>
    <t>k.1/1.56</t>
  </si>
  <si>
    <t>EL SOLDADO</t>
  </si>
  <si>
    <t>SAUCILLO ENTRONQUE DELICIAS CAMARGO</t>
  </si>
  <si>
    <t>ENTRONQUE DELICIAS/CAMARGO</t>
  </si>
  <si>
    <t>k.1/1.34</t>
  </si>
  <si>
    <t>OJINAGA</t>
  </si>
  <si>
    <t>DELICIAS (PARQUE INDUSTRIAL DELICIAS)</t>
  </si>
  <si>
    <t>F-1</t>
  </si>
  <si>
    <t>SANTANDER SERFIN (PROYECTO KOHLER esc. 2323)</t>
  </si>
  <si>
    <t>DELICIAS</t>
  </si>
  <si>
    <t>TRASLACION DE DOMINIO (PROYECTO KOHLER)</t>
  </si>
  <si>
    <t>2,3,45,6,7</t>
  </si>
  <si>
    <t>PARQUE INDUSTRIAL DELICIAS escritura 770</t>
  </si>
  <si>
    <t>ABRAHAM GLEZ</t>
  </si>
  <si>
    <t>PARQUE IND. DELICIAS</t>
  </si>
  <si>
    <t>ISNCRIPCION TERRENO HONEYWELL 20 HAS</t>
  </si>
  <si>
    <t>RODOLFO PARRA GALLEGOS (escritura 2,863)</t>
  </si>
  <si>
    <t>1era</t>
  </si>
  <si>
    <t>1 FRAC A</t>
  </si>
  <si>
    <t>PARQUE INDUSTRIAL DELICIAS (escritura 2,421)</t>
  </si>
  <si>
    <t>1A</t>
  </si>
  <si>
    <t>traslacion dominio predio fertimex y ejido col. Terrazas</t>
  </si>
  <si>
    <t>ADQ. FCO. JAVIER GARCIA AVILA</t>
  </si>
  <si>
    <t xml:space="preserve">SERV. DE ADMON. Y ENAJENACION DE BIENES </t>
  </si>
  <si>
    <t>MICRO PARQUE LACTEOS</t>
  </si>
  <si>
    <t>OSCAR HUMBERTO TERRAZAS CARRASCO (parque lacteos delicias)</t>
  </si>
  <si>
    <t>de riego 05</t>
  </si>
  <si>
    <t>ROSALES</t>
  </si>
  <si>
    <t>VERONICA ISABEL AGUIRRE LLAMAS parcela 4437</t>
  </si>
  <si>
    <t>LA CIENEGA</t>
  </si>
  <si>
    <t>ESPUELA</t>
  </si>
  <si>
    <t>fraccion A de la fracc 1</t>
  </si>
  <si>
    <t>MARINA IBETT CALDERON GOMEZ parcela 4441</t>
  </si>
  <si>
    <t xml:space="preserve">fraccion A </t>
  </si>
  <si>
    <t>JAIME CASTAÑEDA ABUNDISparcela 4448</t>
  </si>
  <si>
    <t>fraccion A</t>
  </si>
  <si>
    <t>JAIME CASTAÑEDA parcela 4461</t>
  </si>
  <si>
    <t>fraccion B</t>
  </si>
  <si>
    <t>JORGE SOTO DIAZ parcela 4429</t>
  </si>
  <si>
    <t>DONACION DE GOB. DEL EDO DE CHIH.</t>
  </si>
  <si>
    <t>ALFFREDO CHAVEZ</t>
  </si>
  <si>
    <t>RIEGO 05</t>
  </si>
  <si>
    <t>MEOQUI</t>
  </si>
  <si>
    <t>GRAN TOTAL</t>
  </si>
  <si>
    <t>Impuesto Sobre Nóminas</t>
  </si>
  <si>
    <t>Buenaventura Autopartes Yazaki</t>
  </si>
  <si>
    <t>Estado de Actividades</t>
  </si>
  <si>
    <t>INGRESOS Y OTROS BENEFICIOS</t>
  </si>
  <si>
    <t>GASTOS Y OTRAS PÉRDIDAS</t>
  </si>
  <si>
    <t>Ingresos de la Gestión</t>
  </si>
  <si>
    <t>Gastos de  Funcionamiento</t>
  </si>
  <si>
    <t>Impuestos</t>
  </si>
  <si>
    <t xml:space="preserve">Servicios Personales  </t>
  </si>
  <si>
    <t xml:space="preserve">Cuotas y Aportaciones de Seguridad Social </t>
  </si>
  <si>
    <t>Contribuciones de Mejoras</t>
  </si>
  <si>
    <t>Derechos</t>
  </si>
  <si>
    <t>Productos de Tipo Corriente</t>
  </si>
  <si>
    <t>Transferencia, Asignaciones, Subsidios y Otras Ayudas</t>
  </si>
  <si>
    <t>Aprovechamientos de Tipo Corriente</t>
  </si>
  <si>
    <t>Transferencias Internas y Asignaciones al Sector Público</t>
  </si>
  <si>
    <t>Ingresos por Venta de Bienes y Servicios</t>
  </si>
  <si>
    <t>Transferencias al Resto del Sector Público</t>
  </si>
  <si>
    <t>Ingresos no Comprendidos en las Fracciones de la Ley de Ingresos Causados en Ejercicios Fiscales Anteriores Pendientes de Liquidación o Pago</t>
  </si>
  <si>
    <t>Subsidios y Subvenciones</t>
  </si>
  <si>
    <t>Ayudas Sociales</t>
  </si>
  <si>
    <t>Participaciones, Aportaciones, Transferencias, Asignaciones, Subsidios y Otras Ayudas</t>
  </si>
  <si>
    <t>Pensiones y Jubilaciones</t>
  </si>
  <si>
    <t>Participaciones y Aportaciones</t>
  </si>
  <si>
    <t>Transferencias a Fideicomisos, Mandatos y Contratos Análogos</t>
  </si>
  <si>
    <t>Transferencia, Asignaciones, Subsidios y Otras ayudas</t>
  </si>
  <si>
    <t>Transferencias a la Seguridad Social</t>
  </si>
  <si>
    <t>Donativos</t>
  </si>
  <si>
    <t>Otros Ingresos y Beneficios</t>
  </si>
  <si>
    <t>Transferencias al Exterior</t>
  </si>
  <si>
    <t xml:space="preserve">Ingresos Financieros  </t>
  </si>
  <si>
    <t>Incremento por Variación de Inventarios</t>
  </si>
  <si>
    <t>Disminución del Exceso de Estimaciones por Pérdida o Deterioro u Obsolescencia</t>
  </si>
  <si>
    <t>Participaciones</t>
  </si>
  <si>
    <t>Disminución del Exceso de Provisiones</t>
  </si>
  <si>
    <t>Aportaciones</t>
  </si>
  <si>
    <t>Otros Ingresos y Beneficios Varios</t>
  </si>
  <si>
    <t>Convenios</t>
  </si>
  <si>
    <t>Total de Ingresos y Otros Beneficios</t>
  </si>
  <si>
    <t>Intereses, Comisiones y Otros Gastos de la Deuda Pública</t>
  </si>
  <si>
    <t>Intereses de la Deuda Pública</t>
  </si>
  <si>
    <t>Comisiones de la Deuda Pública</t>
  </si>
  <si>
    <t>Gastos de la Deuda Pública</t>
  </si>
  <si>
    <t>Costo por Coberturas</t>
  </si>
  <si>
    <t>Apoyos Financieros</t>
  </si>
  <si>
    <t>Otros Gastos y Pérdidas Extraordinarias</t>
  </si>
  <si>
    <t>Estimaciones, Depreciaciones, Deterioros, Obsolescencia y Amortizaciones</t>
  </si>
  <si>
    <t>Provisiones</t>
  </si>
  <si>
    <t>Disminución de Inventarios</t>
  </si>
  <si>
    <t>Aumento por Insuficiencia de Estimaciones por Pérdida o Deterioro y Obsolescencia</t>
  </si>
  <si>
    <t>Aumento por Insuficiencia de Provisiones</t>
  </si>
  <si>
    <t>Otros Gastos</t>
  </si>
  <si>
    <t>Inversión Pública</t>
  </si>
  <si>
    <t xml:space="preserve">Inversión Pública no Capitalizable </t>
  </si>
  <si>
    <t>Total de Gastos y Otras Pérdidas</t>
  </si>
  <si>
    <t>Resultados del Ejercicio  (Ahorro/Desahorro)</t>
  </si>
  <si>
    <t>Bajo protesta de decir verdad declaramos que los Estados Financieros y sus Notas son razonablemente correctos y responsabilidad del emisor</t>
  </si>
  <si>
    <t>C.P. BACILIO JAVIER MARRUFO PEREZ</t>
  </si>
  <si>
    <t>JEFE DE UNIDAD DE ADMINISTRACIÓN</t>
  </si>
  <si>
    <t>Estado de Situación Financiera</t>
  </si>
  <si>
    <t xml:space="preserve"> ACTIVO </t>
  </si>
  <si>
    <t>PASIVO</t>
  </si>
  <si>
    <t>Activo Circulante</t>
  </si>
  <si>
    <t>Pasivo Circulante</t>
  </si>
  <si>
    <t>Efectivo y Equivalentes</t>
  </si>
  <si>
    <t>Cuentas por Pagar a Corto Plazo</t>
  </si>
  <si>
    <t>Derechos a Recibir Efectivo o Equivalentes</t>
  </si>
  <si>
    <t>Documentos por Pagar a Corto Plazo</t>
  </si>
  <si>
    <t>Derechos a Recibir Bienes o Servicios</t>
  </si>
  <si>
    <t>Porción a Corto Plazo de la Deuda Pública a Largo Plazo</t>
  </si>
  <si>
    <t xml:space="preserve">Inventarios </t>
  </si>
  <si>
    <t>Títulos y Valores a Corto Plazo</t>
  </si>
  <si>
    <t>Almacenes</t>
  </si>
  <si>
    <t>Pasivos Diferidos a Corto Plazo</t>
  </si>
  <si>
    <t>Estimación por Pérdida o Deterioro de Activos Circulantes</t>
  </si>
  <si>
    <t>Otros Activos  Circulantes</t>
  </si>
  <si>
    <t>Provisiones a Corto Plazo</t>
  </si>
  <si>
    <t>Otros Pasivos a Corto Plazo</t>
  </si>
  <si>
    <t>Total de  Activos  Circulantes</t>
  </si>
  <si>
    <t>Total de Pasivos Circulantes</t>
  </si>
  <si>
    <t>Activo No Circulante</t>
  </si>
  <si>
    <t>Pasivo No Circulante</t>
  </si>
  <si>
    <t>Inversiones Financieras a Largo Plazo</t>
  </si>
  <si>
    <t>Cuentas por Pagar a Largo Plazo</t>
  </si>
  <si>
    <t>Derechos a Recibir Efectivo o Equivalentes a Largo Plazo</t>
  </si>
  <si>
    <t>Documentos por Pagar a Largo Plazo</t>
  </si>
  <si>
    <t>Bienes Inmuebles, Infraestructura y Construcciones en Proceso</t>
  </si>
  <si>
    <t>Deuda Pública a Largo Plazo</t>
  </si>
  <si>
    <t>Bienes Muebles</t>
  </si>
  <si>
    <t>Pasivos Diferidos a Largo Plazo</t>
  </si>
  <si>
    <t>Activos Intangibles</t>
  </si>
  <si>
    <t>Depreciación, Deterioro y Amortización Acumulada de Bienes</t>
  </si>
  <si>
    <t>Provisiones a Largo Plazo</t>
  </si>
  <si>
    <t>Activos Diferidos</t>
  </si>
  <si>
    <t>Estimación por Pérdida o Deterioro de Activos no Circulantes</t>
  </si>
  <si>
    <t>Total de Pasivos No Circulantes</t>
  </si>
  <si>
    <t>Otros Activos no Circulantes</t>
  </si>
  <si>
    <t>Total del  Pasivo</t>
  </si>
  <si>
    <t>Total de  Activos  No Circulantes</t>
  </si>
  <si>
    <t>HACIENDA PÚBLICA/ PATRIMONIO</t>
  </si>
  <si>
    <t>Total del Activo</t>
  </si>
  <si>
    <t>Hacienda Pública/Patrimonio Contribuido</t>
  </si>
  <si>
    <t>Donaciones de Capital</t>
  </si>
  <si>
    <t>Actualización de la Hacienda Pública / Patrimonio</t>
  </si>
  <si>
    <t>Hacienda Pública/Patrimonio Generado</t>
  </si>
  <si>
    <t>Resultados del Ejercicio (Ahorro / Desahorro)</t>
  </si>
  <si>
    <t>Resultados de Ejercicios Anteriores</t>
  </si>
  <si>
    <t>Revalúos</t>
  </si>
  <si>
    <t>Reservas</t>
  </si>
  <si>
    <t>Exceso o Insuficiencia en la Actualización de la Hacienda Publica/Patrimonio</t>
  </si>
  <si>
    <t>Resultado por Posición Monetaria</t>
  </si>
  <si>
    <t>Resultado por Tenencia de Activos no Monetarios</t>
  </si>
  <si>
    <t>Total Hacienda Pública/ Patrimonio</t>
  </si>
  <si>
    <t>Total del  Pasivo y Hacienda Pública / Patrimonio</t>
  </si>
  <si>
    <t>Estado de Cambios en la Situación Financiera</t>
  </si>
  <si>
    <t>Exceso o Insuficiencia en la Actualización de la Hacienda Pública/Patrimonio</t>
  </si>
  <si>
    <t>Estado Analítico del Activo</t>
  </si>
  <si>
    <t>Saldo Inicial</t>
  </si>
  <si>
    <t>Cargos del Periodo</t>
  </si>
  <si>
    <t>Abonos del Periodo</t>
  </si>
  <si>
    <t>Saldo Final</t>
  </si>
  <si>
    <t>Variación del Periodo</t>
  </si>
  <si>
    <t>4 =(1+2-3)</t>
  </si>
  <si>
    <t>(4-1)</t>
  </si>
  <si>
    <t xml:space="preserve"> </t>
  </si>
  <si>
    <t xml:space="preserve">Bienes Muebles </t>
  </si>
  <si>
    <t>Estado Analítico de la Deuda y Otros Pasivos</t>
  </si>
  <si>
    <t>Denominación de las Deudas</t>
  </si>
  <si>
    <t xml:space="preserve">Moneda de Contratación  </t>
  </si>
  <si>
    <t>Institución o País Acreedor</t>
  </si>
  <si>
    <t>Saldo Inicial del Periodo</t>
  </si>
  <si>
    <t>Saldo Final del Periodo</t>
  </si>
  <si>
    <t>DEUDA PÚBLICA</t>
  </si>
  <si>
    <t xml:space="preserve">Corto Plazo               </t>
  </si>
  <si>
    <t>Deuda Interna</t>
  </si>
  <si>
    <t>Instituciones de Crédito</t>
  </si>
  <si>
    <t>Títulos y Valores</t>
  </si>
  <si>
    <t>Arrendamientos Financieros</t>
  </si>
  <si>
    <t>Deuda Externa</t>
  </si>
  <si>
    <t>Organismos Financieros Internacionales</t>
  </si>
  <si>
    <t>Deuda Bilateral</t>
  </si>
  <si>
    <t xml:space="preserve">              Subtotal a Corto Plazo</t>
  </si>
  <si>
    <t xml:space="preserve">Largo Plazo           </t>
  </si>
  <si>
    <t xml:space="preserve">                Subtotal a Largo Plazo</t>
  </si>
  <si>
    <t>Otros Pasivos</t>
  </si>
  <si>
    <t xml:space="preserve">                Total Deuda y Otros Pasivos</t>
  </si>
  <si>
    <t>C.P. BACILIO JAVIER MARRUFO PÉREZ</t>
  </si>
  <si>
    <t>Estado de Variación en la Hacienda Pública</t>
  </si>
  <si>
    <t>Hacienda Pública/Patrimonio Generado de Ejercicios Anteriores</t>
  </si>
  <si>
    <t>Hacienda Pública/Patrimonio Generado del Ejercicio</t>
  </si>
  <si>
    <t xml:space="preserve">Aportaciones </t>
  </si>
  <si>
    <t>Actualización de la Hacienda Pública/Patrimonio</t>
  </si>
  <si>
    <t>Variaciones de la Hacienda Pública/Patrimonio Neto del Ejercicio</t>
  </si>
  <si>
    <t>Resultados del Ejercicio (Ahorro/Desahorro)</t>
  </si>
  <si>
    <t xml:space="preserve">Revalúos  </t>
  </si>
  <si>
    <t>Estado de Flujos de Efectivo</t>
  </si>
  <si>
    <t>Flujos de Efectivo de las Actividades de Gestión</t>
  </si>
  <si>
    <t xml:space="preserve">Flujos de Efectivo de las Actividades de Inversión </t>
  </si>
  <si>
    <t>Cuotas y Aportaciones de Seguridad Social</t>
  </si>
  <si>
    <t>Contribuciones de mejoras</t>
  </si>
  <si>
    <t xml:space="preserve">Otros Orígenes de Inversión </t>
  </si>
  <si>
    <t>Otras Aplicaciones de Inversión</t>
  </si>
  <si>
    <t>Flujos Netos de Efectivo por Actividades de Inversión</t>
  </si>
  <si>
    <t>Transferencias, Asignaciones y Subsidios y Otras Ayudas</t>
  </si>
  <si>
    <t>Otros Orígenes de Operación</t>
  </si>
  <si>
    <t>Flujo de Efectivo de las Actividades de Financiamiento</t>
  </si>
  <si>
    <t xml:space="preserve">   Interno</t>
  </si>
  <si>
    <t xml:space="preserve">   Externo</t>
  </si>
  <si>
    <t>Otros Orígenes de Financiamiento</t>
  </si>
  <si>
    <t>Transferencias al resto del Sector Público</t>
  </si>
  <si>
    <t xml:space="preserve">Subsidios y Subvenciones </t>
  </si>
  <si>
    <t>Otras Aplicaciones de Financiamiento</t>
  </si>
  <si>
    <t>Flujos netos de Efectivo por Actividades de Financiamiento</t>
  </si>
  <si>
    <t xml:space="preserve">Participaciones </t>
  </si>
  <si>
    <t xml:space="preserve">Incremento/Disminución Neta en el Efectivo y Equivalentes al Efectivo </t>
  </si>
  <si>
    <t>Otras Aplicaciones de Operación</t>
  </si>
  <si>
    <t>Efectivo y Equivalente al Efectivo al Inicio del Ejercicio</t>
  </si>
  <si>
    <t>Flujos Netos de Efectivo por Actividades de Operación</t>
  </si>
  <si>
    <t>Efectivo y Equivalente al Efectivo al Final del Ejercicio</t>
  </si>
  <si>
    <t>Estado Analítico de Ingresos</t>
  </si>
  <si>
    <t>Rubro de Ingresos</t>
  </si>
  <si>
    <t>Ingreso</t>
  </si>
  <si>
    <t>Diferencia</t>
  </si>
  <si>
    <t>Estimado</t>
  </si>
  <si>
    <t>Ampliaciones y Reducciones</t>
  </si>
  <si>
    <t>Modificado</t>
  </si>
  <si>
    <t>Recaudado</t>
  </si>
  <si>
    <t>(1)</t>
  </si>
  <si>
    <t>(2)</t>
  </si>
  <si>
    <t>(3= 1 + 2)</t>
  </si>
  <si>
    <t>(4)</t>
  </si>
  <si>
    <t>(5)</t>
  </si>
  <si>
    <t>(6 = 5 - 1 )</t>
  </si>
  <si>
    <t>Productos</t>
  </si>
  <si>
    <t>Corriente</t>
  </si>
  <si>
    <t>Capital</t>
  </si>
  <si>
    <t>Aprovechamientos</t>
  </si>
  <si>
    <t>Ingresos por Ventas de Bienes y Servicios</t>
  </si>
  <si>
    <t>Transferencias, Asignaciones, Subsidios y Otras Ayudas</t>
  </si>
  <si>
    <t>Ingresos Derivados de Financiamientos</t>
  </si>
  <si>
    <t>Ingresos excedentes¹</t>
  </si>
  <si>
    <t>Estado Analítico de Ingresos
Por Fuente de Financiamiento</t>
  </si>
  <si>
    <t>Ingresos del Gobierno</t>
  </si>
  <si>
    <t>Ingresos de Organismos y Empresas</t>
  </si>
  <si>
    <t>Ingresos derivados de financiamiento</t>
  </si>
  <si>
    <t>¹ Los ingresos excedentes se presentan para efectos de cumplimiento de la Ley General de Contabilidad Gubernamental y el importe reflejado debe ser siempre mayor a cero</t>
  </si>
  <si>
    <t>Estado Analítico del Ejercicio del Presupuesto de Egresos</t>
  </si>
  <si>
    <t>Clasificación Administrativa</t>
  </si>
  <si>
    <t>Subejercicio</t>
  </si>
  <si>
    <t>Aprobado</t>
  </si>
  <si>
    <t>Ampliaciones/ (Reducciones)</t>
  </si>
  <si>
    <t>Pagado</t>
  </si>
  <si>
    <t>3 = (1 + 2 )</t>
  </si>
  <si>
    <t>6 = ( 3 - 4 )</t>
  </si>
  <si>
    <t>Total del Gasto</t>
  </si>
  <si>
    <t>Clasificación Económica (por Tipo de Gasto)</t>
  </si>
  <si>
    <t xml:space="preserve">Egresos </t>
  </si>
  <si>
    <t>Gasto Corriente</t>
  </si>
  <si>
    <t>Gasto de Capital</t>
  </si>
  <si>
    <t>Amortización de la Deuda y Disminución de Pasivos</t>
  </si>
  <si>
    <t>Clasificación por Objeto del Gasto (Capítulo y Concepto)</t>
  </si>
  <si>
    <t>Remuneraciones al Personal de Carácter Permanente</t>
  </si>
  <si>
    <t>Remuneraciones Adicionales y Especiales</t>
  </si>
  <si>
    <t>Seguridad Social</t>
  </si>
  <si>
    <t>Otras Prestaciones Sociales y Económicas</t>
  </si>
  <si>
    <t>Materiales de Administración, Emisión de Documentos y Artículos Oficiales</t>
  </si>
  <si>
    <t>Alimentos y Utensilios</t>
  </si>
  <si>
    <t>Productos Químicos, Farmacéuticos y de Laboratorio</t>
  </si>
  <si>
    <t>Combustibles, Lubricantes y Aditivos</t>
  </si>
  <si>
    <t>Servicios Básicos</t>
  </si>
  <si>
    <t>Servicios de Arrendamiento</t>
  </si>
  <si>
    <t>Servicios Profesionales, Científicos, Técnicos y Otros Servicios</t>
  </si>
  <si>
    <t>Servicios Financieros, Bancarios y Comerciales</t>
  </si>
  <si>
    <t>Servicios de Instalación, Reparación, Mantenimiento y Conservación</t>
  </si>
  <si>
    <t>Servicios de Traslado y Viáticos</t>
  </si>
  <si>
    <t>Servicios Oficiales</t>
  </si>
  <si>
    <t>Clasificación Funcional (Finalidad y Función)</t>
  </si>
  <si>
    <t>Gobierno</t>
  </si>
  <si>
    <t>Legislación</t>
  </si>
  <si>
    <t>Justicia</t>
  </si>
  <si>
    <t>Coordinación de la Política de Gobierno</t>
  </si>
  <si>
    <t>Relaciones Exteriores</t>
  </si>
  <si>
    <t>Asuntos Financieros y Hacendarios</t>
  </si>
  <si>
    <t>Seguridad Nacional</t>
  </si>
  <si>
    <t>Asuntos de Orden Público y de Seguridad Interior</t>
  </si>
  <si>
    <t>Desarrollo Social</t>
  </si>
  <si>
    <t>Protección Ambiental</t>
  </si>
  <si>
    <t>Vivienda y Servicios a la Comunidad</t>
  </si>
  <si>
    <t>Salud</t>
  </si>
  <si>
    <t>Recreación, Cultura y Otras Manifestaciones Sociales</t>
  </si>
  <si>
    <t>Educación</t>
  </si>
  <si>
    <t>Protección Social</t>
  </si>
  <si>
    <t>Otros Asuntos Sociales</t>
  </si>
  <si>
    <t>Desarrollo Económico</t>
  </si>
  <si>
    <t>Asuntos Económicos, Comerciales y Laborales en General</t>
  </si>
  <si>
    <t>Agropecuaria, Silvicultura, Pesca y Caza</t>
  </si>
  <si>
    <t>Combustibles y Energía</t>
  </si>
  <si>
    <t>Minería, Manufacturas y Construcción</t>
  </si>
  <si>
    <t>Transporte</t>
  </si>
  <si>
    <t>Comunicaciones</t>
  </si>
  <si>
    <t>Turismo</t>
  </si>
  <si>
    <t>Ciencia, Tecnología e Innovación</t>
  </si>
  <si>
    <t>Otras Industrias y Otros Asuntos Económicos</t>
  </si>
  <si>
    <t>Otras no Clasificadas en Funciones Anteriores</t>
  </si>
  <si>
    <t>Transacciones de la Deuda Publica / Costo Financiero de la Deuda</t>
  </si>
  <si>
    <t>Transferencias, Participaciones y Aportaciones entre Diferentes Niveles y Ordenes de Gobierno</t>
  </si>
  <si>
    <t>Saneamiento del Sistema Financiero</t>
  </si>
  <si>
    <t>Adeudos de Ejercicios Fiscales Anteriores</t>
  </si>
  <si>
    <t>Identificación de Crédito o Instrumento</t>
  </si>
  <si>
    <t>Contratación / Colocación</t>
  </si>
  <si>
    <t>Amortización</t>
  </si>
  <si>
    <t xml:space="preserve">Endeudamiento Neto </t>
  </si>
  <si>
    <t>B</t>
  </si>
  <si>
    <t>C = A - B</t>
  </si>
  <si>
    <t>Créditos Bancarios</t>
  </si>
  <si>
    <t>Total Créditos Bancarios</t>
  </si>
  <si>
    <t>Otros Instrumentos de Deuda</t>
  </si>
  <si>
    <t>Total Otros Instrumentos de Deuda</t>
  </si>
  <si>
    <t>Intereses de la Deuda</t>
  </si>
  <si>
    <t>Total de Intereses de Créditos Bancarios</t>
  </si>
  <si>
    <t>Total de Intereses de Otros Instrumentos de Deuda</t>
  </si>
  <si>
    <t>Gasto por Categoría Programática</t>
  </si>
  <si>
    <t>Programas</t>
  </si>
  <si>
    <t>Subsidios: Sector Social y Privado o Entidades Federativas y Municipios</t>
  </si>
  <si>
    <t>Sujetos a Reglas de Operación</t>
  </si>
  <si>
    <t>Otros Subsidios</t>
  </si>
  <si>
    <t>Desempeño de las Funciones</t>
  </si>
  <si>
    <t>Prestación de Servicios Públicos</t>
  </si>
  <si>
    <t>Provisión de Bienes Públicos</t>
  </si>
  <si>
    <t>Planeación, seguimiento y evaluación de políticas públicas</t>
  </si>
  <si>
    <t>Promoción y fomento</t>
  </si>
  <si>
    <t>Regulación y supervisión</t>
  </si>
  <si>
    <t>Funciones de las Fuerzas Armadas (Únicamente Gobierno Federal)</t>
  </si>
  <si>
    <t>Específicos</t>
  </si>
  <si>
    <t>Proyectos de Inversión</t>
  </si>
  <si>
    <t>Administrativos y de Apoyo</t>
  </si>
  <si>
    <t>Apoyo al proceso presupuestario y para mejorar la eficiencia institucional</t>
  </si>
  <si>
    <t>Apoyo a la función pública y al mejoramiento de la gestión</t>
  </si>
  <si>
    <t>Operaciones ajenas</t>
  </si>
  <si>
    <t>Compromisos</t>
  </si>
  <si>
    <t>Obligaciones de cumplimiento de resolución jurisdiccional</t>
  </si>
  <si>
    <t>Desastres Naturales</t>
  </si>
  <si>
    <t>Obligaciones</t>
  </si>
  <si>
    <t>Pensiones y jubilaciones</t>
  </si>
  <si>
    <t>Aportaciones a la seguridad social</t>
  </si>
  <si>
    <t>Aportaciones a fondos de estabilización</t>
  </si>
  <si>
    <t>Aportaciones a fondos de inversión y reestructura de pensiones</t>
  </si>
  <si>
    <t>Programas de Gasto Federalizado (Gobierno Federal)</t>
  </si>
  <si>
    <t>Gasto Federalizado</t>
  </si>
  <si>
    <t>Participaciones a entidades federativas y municipios</t>
  </si>
  <si>
    <t>Costo financiero, deuda o apoyos a deudores y ahorradores de la banca</t>
  </si>
  <si>
    <t>Adeudos de ejercicios fiscales anteriores</t>
  </si>
  <si>
    <t>Indicadores de Postura Fiscal</t>
  </si>
  <si>
    <r>
      <t xml:space="preserve">Pagado </t>
    </r>
    <r>
      <rPr>
        <b/>
        <vertAlign val="superscript"/>
        <sz val="8"/>
        <color theme="0"/>
        <rFont val="Arial"/>
        <family val="2"/>
      </rPr>
      <t>3</t>
    </r>
  </si>
  <si>
    <t>I. Ingresos Presupuestarios (I=1+2)</t>
  </si>
  <si>
    <r>
      <t xml:space="preserve">     1. Ingresos del Gobierno de la Entidad Federativa </t>
    </r>
    <r>
      <rPr>
        <vertAlign val="superscript"/>
        <sz val="8"/>
        <color theme="1"/>
        <rFont val="Calibri"/>
        <family val="2"/>
      </rPr>
      <t>1</t>
    </r>
  </si>
  <si>
    <r>
      <t xml:space="preserve">     2. Ingresos del Sector Paraestatal </t>
    </r>
    <r>
      <rPr>
        <vertAlign val="superscript"/>
        <sz val="8"/>
        <color theme="1"/>
        <rFont val="Arial"/>
        <family val="2"/>
      </rPr>
      <t>1</t>
    </r>
  </si>
  <si>
    <t>II. Egresos Presupuestarios (II=3+4)</t>
  </si>
  <si>
    <r>
      <t xml:space="preserve">        3. Egresos del Gobierno de la Entidad Federativa </t>
    </r>
    <r>
      <rPr>
        <vertAlign val="superscript"/>
        <sz val="8"/>
        <color theme="1"/>
        <rFont val="Arial"/>
        <family val="2"/>
      </rPr>
      <t>2</t>
    </r>
  </si>
  <si>
    <r>
      <t xml:space="preserve">          4. Egresos del Sector Paraestatal </t>
    </r>
    <r>
      <rPr>
        <vertAlign val="superscript"/>
        <sz val="8"/>
        <color theme="1"/>
        <rFont val="Arial"/>
        <family val="2"/>
      </rPr>
      <t>2</t>
    </r>
  </si>
  <si>
    <t xml:space="preserve">  III. Balance Presupuestario (Superávit o Déficit) (III = I - II)</t>
  </si>
  <si>
    <t xml:space="preserve">     III. Balance presupuestario (Superávit o Déficit)</t>
  </si>
  <si>
    <t xml:space="preserve">    IV. Intereses, Comisiones y Gastos de la Deuda</t>
  </si>
  <si>
    <t xml:space="preserve"> V. Balance Primario ( Superávit o Déficit) (V= III - IV)</t>
  </si>
  <si>
    <t xml:space="preserve">    A. Financiamiento</t>
  </si>
  <si>
    <t xml:space="preserve">    B.  Amortización de la deuda</t>
  </si>
  <si>
    <t>C. Endeudamiento ó desendeudamiento (C = A - B)</t>
  </si>
  <si>
    <t>1 Los Ingresos que se presentan son los ingresos presupuestario totales sin incluir los ingresos por financiamientos. Los Ingresos del Gobierno de la Entidad Federativa corresponden a los del Poder Ejecutivo, Legislativo Judicial y Autónomos</t>
  </si>
  <si>
    <t>2 Los egresos que se presentan son los egresos presupuestarios totales sin incluir los egresos por amortización. Los egresos del Gobierno de la Entidad Federativa corresponden a los del Poder Ejecutivo, Legislativo, Judicial y Órganos Autónomos</t>
  </si>
  <si>
    <t>3 Para Ingresos se reportan los ingresos recaudados; para egresos se reportan los egresos pagados</t>
  </si>
  <si>
    <t>Relación de cuentas bancarias productivas específicas</t>
  </si>
  <si>
    <t>Fondo, Programa o Convenio</t>
  </si>
  <si>
    <t>Datos de la Cuenta Bancaria</t>
  </si>
  <si>
    <t>Institución Bancaria</t>
  </si>
  <si>
    <t>Número de Cuenta</t>
  </si>
  <si>
    <t>Programa Fomento Industrial - Gasto Corriente</t>
  </si>
  <si>
    <t>Banorte</t>
  </si>
  <si>
    <t>0128947777</t>
  </si>
  <si>
    <t>0135020670</t>
  </si>
  <si>
    <t>4481-4514</t>
  </si>
  <si>
    <t>Programa Fomento Industrial - Gasto Corriente Dólares</t>
  </si>
  <si>
    <t>4481-9000775</t>
  </si>
  <si>
    <t>Saldo</t>
  </si>
  <si>
    <t>DIFERENCIA</t>
  </si>
  <si>
    <t>Secretaría de Hacienda y Crédito Público</t>
  </si>
  <si>
    <t>Impuestos federales ISR, e IVA</t>
  </si>
  <si>
    <t>BIENES MUEBLES E INMUEBLES</t>
  </si>
  <si>
    <t>SALDO</t>
  </si>
  <si>
    <t>DEPREC. EJERCICIO</t>
  </si>
  <si>
    <t>DEPREC. ACUM.</t>
  </si>
  <si>
    <t>TASA DEPREC.</t>
  </si>
  <si>
    <t>No Aplica</t>
  </si>
  <si>
    <t>10% y 33.33%</t>
  </si>
  <si>
    <t>GASTOS Y PÉRDIDAS</t>
  </si>
  <si>
    <t>Efectivo en Cajas Chicas</t>
  </si>
  <si>
    <t>Efectivo en Bancos</t>
  </si>
  <si>
    <t>Inversiones temporales</t>
  </si>
  <si>
    <t>Total de Efectivo y Equivalentes</t>
  </si>
  <si>
    <t>Ahorro/Desahorro antes de rubros extraordinarios</t>
  </si>
  <si>
    <t>Movimientos de partidas que no afectan al efectivo</t>
  </si>
  <si>
    <t>Depreciación</t>
  </si>
  <si>
    <t>Ganancia/pérdida en venta de propiedad, planta y equipo</t>
  </si>
  <si>
    <t>Costo de venta de terrenos</t>
  </si>
  <si>
    <t>Flujo Neto de Actividades de Operación</t>
  </si>
  <si>
    <t>Pérdidas por tipo de cambio</t>
  </si>
  <si>
    <t>Otras pérdidas</t>
  </si>
  <si>
    <t>diferencia</t>
  </si>
  <si>
    <t>Conciliación entre los Ingresos Presupuestarios y Contables</t>
  </si>
  <si>
    <t>1. Ingresos Presupuestarios</t>
  </si>
  <si>
    <t>2. Más ingresos contables no presupuestarios</t>
  </si>
  <si>
    <t>Otros ingresos y beneficios varios</t>
  </si>
  <si>
    <t>3. Menos ingresos presupuestarios no contables</t>
  </si>
  <si>
    <t>Productos de capital</t>
  </si>
  <si>
    <t>Otros ingresos presupuestarios no contables</t>
  </si>
  <si>
    <t>4. Ingresos Contables</t>
  </si>
  <si>
    <t>Conciliación entre los Egresos Presupuestarios y los Gastos Contables</t>
  </si>
  <si>
    <t>2. Menos egresos presupuestarios no contables</t>
  </si>
  <si>
    <t>Otros egresos presupuestarios no contables</t>
  </si>
  <si>
    <t>Estimaciones, depreciaciones, amortizaciones</t>
  </si>
  <si>
    <t>Otros gastos</t>
  </si>
  <si>
    <t>Subsidios y subvenciones</t>
  </si>
  <si>
    <t>4. Total del Gasto Contable</t>
  </si>
  <si>
    <t>Deuda</t>
  </si>
  <si>
    <t>Recaudación</t>
  </si>
  <si>
    <t>Porcentaje</t>
  </si>
  <si>
    <t>Intereses pagados</t>
  </si>
  <si>
    <t>Tasa</t>
  </si>
  <si>
    <t>Vencimiento</t>
  </si>
  <si>
    <t>Retenciones y contribuciones por pagar</t>
  </si>
  <si>
    <t>Mensual</t>
  </si>
  <si>
    <t>Otros menores</t>
  </si>
  <si>
    <t>1. Total de Egresos (Presupuestarios)</t>
  </si>
  <si>
    <t>3. Más gastos contables no presupuestarios</t>
  </si>
  <si>
    <t>Importe</t>
  </si>
  <si>
    <t>Impuestos y Derechos   (Predial, IVA No. Acr)</t>
  </si>
  <si>
    <t>TABLAS DIVERSAS PARA NOTAS A LOS ESTADOS FINANCIEROS</t>
  </si>
  <si>
    <t>ESTADO DE SITUACIÓN FINANCIERA</t>
  </si>
  <si>
    <t>EFECTIVO Y EQUIVALENTES</t>
  </si>
  <si>
    <t>ACTIVO CIRCULANTE</t>
  </si>
  <si>
    <t>DERECHOS A RECIBIR EFECTIVO O EQUIVALENTES</t>
  </si>
  <si>
    <t>DERECHOS A RECIBIR BIENES O SERVICIOS</t>
  </si>
  <si>
    <t>OTROS ACTIVOS CIRCULANTES</t>
  </si>
  <si>
    <t>ACTIVO NO CIRCULANTE</t>
  </si>
  <si>
    <t>INVERSIONES FINANCIERAS A LARGO PLAZO</t>
  </si>
  <si>
    <t>BIENES INMUEBLES, INFRAESTRUCTURA Y CONSTRUCCIONES EN PROCESO</t>
  </si>
  <si>
    <t>BIENES MUEBLES</t>
  </si>
  <si>
    <t>DEPRECIACIÓN, DETERIORO Y AMORTIZACIÓN ACUMULADA DE BIENES</t>
  </si>
  <si>
    <t>Dif Dep. Ejerc</t>
  </si>
  <si>
    <t>Dif Dep. Acum</t>
  </si>
  <si>
    <t>Incremento o disminución en cuentas por cobrar</t>
  </si>
  <si>
    <t>ACTIVO</t>
  </si>
  <si>
    <t>Manufacturas Estampadas, SA de CV</t>
  </si>
  <si>
    <t>Maquinaria, SA de CV</t>
  </si>
  <si>
    <t>TRANSPORTATION AND CARGO SOLUTIONS S DE RL DE CV</t>
  </si>
  <si>
    <t>Joel Arturo Payan Monares</t>
  </si>
  <si>
    <t>Fideicomiso F/00291</t>
  </si>
  <si>
    <t>Lutron CNC S de RL de CV</t>
  </si>
  <si>
    <t>Parque Industrial Juarez, SA de CV</t>
  </si>
  <si>
    <t>Alejandro Leyva Reyes</t>
  </si>
  <si>
    <t>Javier Morrem Garcia</t>
  </si>
  <si>
    <t>SECRETARIA DE TURISMO</t>
  </si>
  <si>
    <t>Grupo Empresarial Podelsa, SA de CV</t>
  </si>
  <si>
    <t>Gala Diseño en Muebles, SA de CV</t>
  </si>
  <si>
    <t>Centro de Servicios Metrologicos, S de RL de CV</t>
  </si>
  <si>
    <t>FW CKD D FIDEICOMISO CIB/2104</t>
  </si>
  <si>
    <t>BIMBO SA DE CV</t>
  </si>
  <si>
    <t>Honeywell Aerospace de México, S de RL de CV</t>
  </si>
  <si>
    <t>Intereses por venta de terrenos</t>
  </si>
  <si>
    <t>Lorenzo Rafael Porras Moran</t>
  </si>
  <si>
    <t>FAMSA MEXICO, SA DE CV</t>
  </si>
  <si>
    <t>FW CKD MASTER TRUST F/1836</t>
  </si>
  <si>
    <t>Ingresos por Subsidios</t>
  </si>
  <si>
    <t>INGRESOS POR SUBSIDIOS</t>
  </si>
  <si>
    <t>TOTAL INGRESOS POR SUBSIDIOS</t>
  </si>
  <si>
    <t>Participaciones, subsidios y otras ayudas</t>
  </si>
  <si>
    <t>Recubrimientos Interceramic SA de CV</t>
  </si>
  <si>
    <t>Arturo Federico Rico Granillo</t>
  </si>
  <si>
    <t>Ferbaq Ferreteria, SA de CV</t>
  </si>
  <si>
    <t>Arrow Internacional de Chihuahua, SA de CV</t>
  </si>
  <si>
    <t>Molinos Azteca, SA de CV</t>
  </si>
  <si>
    <t>Importaciones La Llamarada, SA de CV</t>
  </si>
  <si>
    <t>Representaciones Verdes de México, SA de CV</t>
  </si>
  <si>
    <t>EMPRESA</t>
  </si>
  <si>
    <t>AGUA, MANTENIMIENTO Y VIGILANCIA</t>
  </si>
  <si>
    <t>Accudyn de México, S de RL de CV</t>
  </si>
  <si>
    <t>AB Pollo, SA de CV</t>
  </si>
  <si>
    <t>Aditivos y Recubrimientos Técnicos, SA</t>
  </si>
  <si>
    <t>Administracion y Consultorías de Chihuahua, SA de CV</t>
  </si>
  <si>
    <t>Agri Estrella, S de RL de CV</t>
  </si>
  <si>
    <t>Agua y Hielo Purificados, SA de CV</t>
  </si>
  <si>
    <t>Alejandro Medina Martínez</t>
  </si>
  <si>
    <t>Alestra, S de RL de CV</t>
  </si>
  <si>
    <t>Altec Electronica Chihuahua, SA de CV</t>
  </si>
  <si>
    <t>American Beef, SA de CV</t>
  </si>
  <si>
    <t>Ana Bertha Margarita de la Garza Lascuraín</t>
  </si>
  <si>
    <t>Ana Margarita S PR de RL de CV</t>
  </si>
  <si>
    <t>Arnoldo Valencia Ortiz</t>
  </si>
  <si>
    <t>Arrendamientos Arma, SA de CV</t>
  </si>
  <si>
    <t>Asociación de Maquiladoras y Exp. De Chihuahua, AC</t>
  </si>
  <si>
    <t>Auto Fletera de Chihuahua SA de CV</t>
  </si>
  <si>
    <t>Automatización y Tecnología Mexicana SA de CV</t>
  </si>
  <si>
    <t>Autotransportes del Real SA de CV</t>
  </si>
  <si>
    <t>Autotransportres de Carga Tres Guerras SA de CV</t>
  </si>
  <si>
    <t>Autronic, SA de CV</t>
  </si>
  <si>
    <t>Axis Arquitectura, SA de CV</t>
  </si>
  <si>
    <t>Bachoco SA de CV</t>
  </si>
  <si>
    <t xml:space="preserve">Banco del Bajío, SA </t>
  </si>
  <si>
    <t>Banco Nacional de México, S.A</t>
  </si>
  <si>
    <t>Bebidas Purificadas, S de RL de CV</t>
  </si>
  <si>
    <t>Bienes Raices Lom, SA de CV</t>
  </si>
  <si>
    <t>Bimbo, SA de CV</t>
  </si>
  <si>
    <t>Bio Pappel Products, SA de CV</t>
  </si>
  <si>
    <t>Oxxo Express, SA de CV</t>
  </si>
  <si>
    <t>Cadisa, SA de CV</t>
  </si>
  <si>
    <t>Canplast México SA de CV</t>
  </si>
  <si>
    <t>Carlirsle Productos de México, S de RL de CV</t>
  </si>
  <si>
    <t>Century Mold México, S de RL de CV</t>
  </si>
  <si>
    <t>Cessna México, S de RL de CV</t>
  </si>
  <si>
    <t>Chihuahua Meat Visa Qualitty, SA de CV</t>
  </si>
  <si>
    <t>Cía de Teléfonos y Bienes Raíces SA de CV</t>
  </si>
  <si>
    <t>Come Camila D1, SA de CV</t>
  </si>
  <si>
    <t>Comercializadora de Lacteos y Derivados SA de CV</t>
  </si>
  <si>
    <t>Comercializadora y Desarrolladora del Norte Sa de CV</t>
  </si>
  <si>
    <t>Comisión Federal de Electricidad</t>
  </si>
  <si>
    <t>Consolidated Medical Equipmet Company S de RL de CV</t>
  </si>
  <si>
    <t>Construcciones Nirvana, SA de CV</t>
  </si>
  <si>
    <t>Constructora Adobe, SA de CV</t>
  </si>
  <si>
    <t>Constructora y Proveedora Ferretodo, SA de CV</t>
  </si>
  <si>
    <t>Controladora IDEA, SA de CV</t>
  </si>
  <si>
    <t xml:space="preserve">  </t>
  </si>
  <si>
    <t>Corporación Electromecanica de Chihuahua, SA de CV</t>
  </si>
  <si>
    <t>Demo Technic,S de RL de CV</t>
  </si>
  <si>
    <t>Desarrollo de Ingenieria y Contratación, SA de CV</t>
  </si>
  <si>
    <t>DHL Express México, SA de CV</t>
  </si>
  <si>
    <t>Digital Applicance Controls de Mexico, SA de CV</t>
  </si>
  <si>
    <t>Distribuidor Mobile Hidraulico e Industrial, SA de CV</t>
  </si>
  <si>
    <t>Distribuidora de Cervezas Modelo en Chihuahua, SA de CV</t>
  </si>
  <si>
    <t>Don Miguel Transportes S de RL de CV</t>
  </si>
  <si>
    <t>Durabox de Chihuahua S de RL de CV</t>
  </si>
  <si>
    <t>Empaques el Paraiso, S de RLMI</t>
  </si>
  <si>
    <t>Equipos Osenal, SA de CV</t>
  </si>
  <si>
    <t>Estapack SAPI de CV</t>
  </si>
  <si>
    <t>ETTCOM, SA DE CV</t>
  </si>
  <si>
    <t>EUROMOLDURAS, SA DE CV</t>
  </si>
  <si>
    <t>Express Tres Fronteras, SA de CV</t>
  </si>
  <si>
    <t>F/1622 FIBRA MACQUARIE MEXICO</t>
  </si>
  <si>
    <t>Fabricas de Jabón La Corona, SA de CV</t>
  </si>
  <si>
    <t>Factoria Industrial, SA de CV</t>
  </si>
  <si>
    <t>Farmacia Guadalajara, SA de CV</t>
  </si>
  <si>
    <t>FASE Chihuahua, SA de CV</t>
  </si>
  <si>
    <t>Fideicomiso F/00335</t>
  </si>
  <si>
    <t>Fideicomiso Número F/129</t>
  </si>
  <si>
    <t>Fletes Astro SA de CV</t>
  </si>
  <si>
    <t>Fletes México Chihuahua,SA de CV</t>
  </si>
  <si>
    <t>Fletes Sotelo SA de CV</t>
  </si>
  <si>
    <t>Ford Motor Company. S.A. de C.V.</t>
  </si>
  <si>
    <t>F-R Tecnologías de Flujo, SA de CV</t>
  </si>
  <si>
    <t>Frugasa, SA de CV</t>
  </si>
  <si>
    <t>Fruver, SA de CV</t>
  </si>
  <si>
    <t>Gastronomicas Smokehouse México, SA de CV</t>
  </si>
  <si>
    <t>GCC Concreto, SA de CV</t>
  </si>
  <si>
    <t>GEN Industrial, SA de CV</t>
  </si>
  <si>
    <t>Global Products Co. SA de CV</t>
  </si>
  <si>
    <t>Gobierno de Estado de Chihuahua/ Recaudación</t>
  </si>
  <si>
    <t>Grainger, SA de CV</t>
  </si>
  <si>
    <t>Grupo American Industries, SA de CV</t>
  </si>
  <si>
    <t>Grupo American Industries, SA de CV (CAV)</t>
  </si>
  <si>
    <t>Grupo American Industries, SA de CV (CAV ICE)</t>
  </si>
  <si>
    <t>Grupo American Industries, SA de CV (Metal Finishing Co)</t>
  </si>
  <si>
    <t>Grupo American Industries, SA de CV (L3)</t>
  </si>
  <si>
    <t>Grupo American Industries, SA de CV (ADS)</t>
  </si>
  <si>
    <t>Southco, S de RL de CV</t>
  </si>
  <si>
    <t>Grupo Amex SA de CV</t>
  </si>
  <si>
    <t>Grupo Comercial de México, SA de CV</t>
  </si>
  <si>
    <t>Grupo Pasan de Chihuahua, SA de CV</t>
  </si>
  <si>
    <t>Grupo TBGas SA de CV</t>
  </si>
  <si>
    <t>Hawker Beech de México, S de RL de CV</t>
  </si>
  <si>
    <t>Helm de México, SA</t>
  </si>
  <si>
    <t>Herme´s y Asociados, SA de CV</t>
  </si>
  <si>
    <t>Hidrotecnología Ecologica, SA de CV</t>
  </si>
  <si>
    <t>Hiscomex, SA de CV</t>
  </si>
  <si>
    <t>Honeywell Manufacturas de Chihuahua, S de RL de CV</t>
  </si>
  <si>
    <t>Impresos y Artículos de Publicidad SA de CV (planta 1)</t>
  </si>
  <si>
    <t>Impresos y Artículos de Publicidad SA de CV (planta 2)</t>
  </si>
  <si>
    <t>Impulsora Sahuayo, SA de CV</t>
  </si>
  <si>
    <t>INDICON, SA de CV</t>
  </si>
  <si>
    <t>Industrias Unidas, SA de CV</t>
  </si>
  <si>
    <t>Ingeniería y Diseño Van, SA de CV</t>
  </si>
  <si>
    <t>Inmobiliaria CC SA de CV</t>
  </si>
  <si>
    <t>Inmobiliaria Comercial Intermex, SA de CV</t>
  </si>
  <si>
    <t>Inmobiliaria Los Berrendos, SA de CV</t>
  </si>
  <si>
    <t>Inmobiliaria Madoz SA de CV</t>
  </si>
  <si>
    <t>inmobiliaria Madoz SA de CV (Escuela de Chefs)</t>
  </si>
  <si>
    <t>Inmobiliaria Tomas Valles Vivar SA de CV</t>
  </si>
  <si>
    <t>Inmuebles Urbe SA de CV</t>
  </si>
  <si>
    <t>Integrated International Services, S de RL de CV</t>
  </si>
  <si>
    <t>Intermex Manufactura de Chihuahua, SA de CV</t>
  </si>
  <si>
    <t>Intermex Manufactura de Chihuahua, SA de CV (Manoir)</t>
  </si>
  <si>
    <t>Intermex Manufactura de Chihuahua, SA de CV (NIFCO)</t>
  </si>
  <si>
    <t>Intermex Manufactura de Chihuahua, SA de CV (Zodiac)</t>
  </si>
  <si>
    <t>International Paper México Company, S de RL de CV</t>
  </si>
  <si>
    <t>IPC Chihuahua, SA de CV</t>
  </si>
  <si>
    <t>ISSSTE</t>
  </si>
  <si>
    <t>Jabil Circuit de Chihuahua, S de RL de CV</t>
  </si>
  <si>
    <t>José A. Amador Hernández</t>
  </si>
  <si>
    <t>José de Jesús Alonso Rodríguez</t>
  </si>
  <si>
    <t>Juan Manuel Rubio Unibe</t>
  </si>
  <si>
    <t>Kalisch Fierro y Acero, SA de CV</t>
  </si>
  <si>
    <t>Key Plastics de México, S de RL de CV</t>
  </si>
  <si>
    <t>Labinal de Chihuahua, SA de CV (planta 1)</t>
  </si>
  <si>
    <t>Labinal de Chihuahua, SA de CV (planta 2)</t>
  </si>
  <si>
    <t>Llantas y Herramientas, SA de CV</t>
  </si>
  <si>
    <t>Lorenzo Eguiarte Tallavas</t>
  </si>
  <si>
    <t>Luis Carlos Chávez Loya</t>
  </si>
  <si>
    <t>Luis Raúl Porras Delgado</t>
  </si>
  <si>
    <t>Mansour Mining Technologies de México, SA de CV</t>
  </si>
  <si>
    <t>Manyser Manufacturas y Servicios, SA de CV</t>
  </si>
  <si>
    <t>María Merced de la Torres Jaureguí</t>
  </si>
  <si>
    <t>Marlo Industrias SA de CV</t>
  </si>
  <si>
    <t>Material Constructor, SA de CV</t>
  </si>
  <si>
    <t>MGS Plastics Chihuahua, SA de CV</t>
  </si>
  <si>
    <t>Minas Guilloyna, SA de CV</t>
  </si>
  <si>
    <t>Minpro, SA de CV</t>
  </si>
  <si>
    <t>Molinos Azteca SA de CV</t>
  </si>
  <si>
    <t>Mueblerías Futurama, SA de CV</t>
  </si>
  <si>
    <t>Muelles y Suspenciones el Dragón SA de CV</t>
  </si>
  <si>
    <t>Nalco de México, S de RL de CV</t>
  </si>
  <si>
    <t>NIFCO DE MÉXICO, S DE RL DE CV</t>
  </si>
  <si>
    <t>Operación Técnica Industrial de Manejo de Almacenes,SA de CV</t>
  </si>
  <si>
    <t>Operaciones Hoteleras de Chihuahua  SA de CV</t>
  </si>
  <si>
    <t>Operadora Futurama S.A. de C.V.</t>
  </si>
  <si>
    <t>Operadora la Sierra, SA de CV</t>
  </si>
  <si>
    <t>Pace Industries de Chihuahua II, SA de CV</t>
  </si>
  <si>
    <t>Pactiv México, S de RL de CV</t>
  </si>
  <si>
    <t>Papelera KIF de México, SA de CV</t>
  </si>
  <si>
    <t>Pavimentos de la Laguna,SA de CV</t>
  </si>
  <si>
    <t>Pick-One, SA de CV</t>
  </si>
  <si>
    <t>Plasmatec Metalizaciones SA de CV</t>
  </si>
  <si>
    <t>Plaza San Ignacio, AC</t>
  </si>
  <si>
    <t>Pochteca Materias Primas, SA de CV</t>
  </si>
  <si>
    <t>Pregis México S de RL de CV</t>
  </si>
  <si>
    <t>Productos Chachitos SA de CV</t>
  </si>
  <si>
    <t>Productos de Consumo Z, SA de CV</t>
  </si>
  <si>
    <t>Promotora de Restaurantes de Norte, SA de CV</t>
  </si>
  <si>
    <t>Promotora Industrial GIM, SA de CV</t>
  </si>
  <si>
    <t>Proveedora de Seguridad Industrial de Chihuahua, SA de CV</t>
  </si>
  <si>
    <t>Proveedora de Servicios y Cultura Fisica DABSE, SA de CV</t>
  </si>
  <si>
    <t>Proyecto Pidea KRC F/128</t>
  </si>
  <si>
    <t>Proyecto PIDEA-KRC F/129</t>
  </si>
  <si>
    <t>Saimexicana, SA de CV</t>
  </si>
  <si>
    <t>Sensotek, S de RL de CV</t>
  </si>
  <si>
    <t>Servicio de Administración Tributaria</t>
  </si>
  <si>
    <t>Servicio de Manufactura y Desarrollo, SA de CV (Logistica)</t>
  </si>
  <si>
    <t>Servicio Internacional de Logistica y Transporte, SA de CV</t>
  </si>
  <si>
    <t>Servicio RG SA de CV</t>
  </si>
  <si>
    <t>Servicios de Ingenieria y Calidad ACOR, SA de CV</t>
  </si>
  <si>
    <t>Servicios Garica SA de CV</t>
  </si>
  <si>
    <t>Servicios Integrales Ruta, SA de CV</t>
  </si>
  <si>
    <t>SERVICIOS SWECOMEX, SA DE CV</t>
  </si>
  <si>
    <t>Sistemas y Productos de Señalización S de RL de CV</t>
  </si>
  <si>
    <t>Span de México, SA de CV</t>
  </si>
  <si>
    <t>ST Plastics, S de RL</t>
  </si>
  <si>
    <t>Superior Bright Technologies, S de RL de CV</t>
  </si>
  <si>
    <t>Tanner Maquinas y Herramientas, SA de CV</t>
  </si>
  <si>
    <t>TBC de México, SA de CV</t>
  </si>
  <si>
    <t>Tomas Ramon Miranda Granillo</t>
  </si>
  <si>
    <t>TP Nearshore, S de RL de CV</t>
  </si>
  <si>
    <t>Tractocamiones Kenworth de Chihuahua, SA de CV</t>
  </si>
  <si>
    <t>Transervicios SA de CV</t>
  </si>
  <si>
    <t>Transpojit, SA de CV</t>
  </si>
  <si>
    <t>Transportation and Cargo Solutions, S de RL de CV</t>
  </si>
  <si>
    <t>Transportes Foraneos y Locales del Río Grande, SA de CV</t>
  </si>
  <si>
    <t>Transportes Julian de Obregon. SA de CV</t>
  </si>
  <si>
    <t>Transportes Soto e Hijos, SA de CV</t>
  </si>
  <si>
    <t>Transportes Thomas, SA de CV</t>
  </si>
  <si>
    <t>TSI Solutions Services S de RL de CV</t>
  </si>
  <si>
    <t>Viakable, SA de CV</t>
  </si>
  <si>
    <t>Viga y Lamina, SA de CV</t>
  </si>
  <si>
    <t>VTC West, SA de CV</t>
  </si>
  <si>
    <t>Wit-Son Carbide de México, SA de CV</t>
  </si>
  <si>
    <t>Xomox Chihuahua SA de CV</t>
  </si>
  <si>
    <t>NOMBRE</t>
  </si>
  <si>
    <t>AGUA Y MANTENIMIENTO</t>
  </si>
  <si>
    <t>Almacenes Distribuidores de la Frontera</t>
  </si>
  <si>
    <t>Alquiladora de Casas, SA de CV</t>
  </si>
  <si>
    <t>Autotanques Nieto, SA de CV</t>
  </si>
  <si>
    <t>Centro de Fabricantes, SA de CV</t>
  </si>
  <si>
    <t>Davol Surgical Innovations, SA de CV</t>
  </si>
  <si>
    <t>Héctor Francisco García Acosta</t>
  </si>
  <si>
    <t>Inmobiliaria Zeta de Cd. Juarez SA de CV</t>
  </si>
  <si>
    <t>Instituto de Apoyo al Desarrollo Tecnológico</t>
  </si>
  <si>
    <t>Manufacturas y Rejillas de México, SA de CV</t>
  </si>
  <si>
    <t>Maquilados Técnicos, SA de CV</t>
  </si>
  <si>
    <t>Operadora Mpal. De Estacionamientos de Cd. Juárez</t>
  </si>
  <si>
    <t>Praxair México, S de RL de CV</t>
  </si>
  <si>
    <t>Repanor de México, SA de CV</t>
  </si>
  <si>
    <t>Supermercados González de Altavista SA de CV</t>
  </si>
  <si>
    <t>Tafi SA de CV</t>
  </si>
  <si>
    <t>Tractocamiones y Refacciones de Chihuahua, SA de CV</t>
  </si>
  <si>
    <t>Tractores y Equipos de Chihuahua, SA de CV</t>
  </si>
  <si>
    <t>FW CKD FIDEICOMISO CIB/2104</t>
  </si>
  <si>
    <t>Arvato de México, SA de CV</t>
  </si>
  <si>
    <t>FW CKD MASTER TRUSTS F/1836</t>
  </si>
  <si>
    <t>Desarrollos Inmobiliarios Bermudez, SA de CV</t>
  </si>
  <si>
    <t>Desarrollo Ind. Tarahumara, SA</t>
  </si>
  <si>
    <t>Repuestos del Noroeste, SA de CV</t>
  </si>
  <si>
    <t>Cía. De Telefonos y Bienes Raíces, SA de CV</t>
  </si>
  <si>
    <t>Quiroproductos de Cuauhtemoc, SA de CV</t>
  </si>
  <si>
    <t>Parque Ind. Int. Mexicano, SA de CV</t>
  </si>
  <si>
    <t>Crashmetal FWF de México, S de RL de CV</t>
  </si>
  <si>
    <t>Intermetro de México, S de RL de Cv</t>
  </si>
  <si>
    <t>GCC Concreto SA de CV</t>
  </si>
  <si>
    <t>Leoni Cable, SA de CV</t>
  </si>
  <si>
    <t>Centro de Investigacion en Alimentacion y Desarrollo AC</t>
  </si>
  <si>
    <t>Kalish Chatarra, SA de CV</t>
  </si>
  <si>
    <t>Armando Vega Chavarría</t>
  </si>
  <si>
    <t>Kalish Fierro y Acero, SA de CV</t>
  </si>
  <si>
    <t>Sun View Foods, SA de CV</t>
  </si>
  <si>
    <t>Superior Industries de México, S de RL de CV</t>
  </si>
  <si>
    <t>Fokker, SA de CV</t>
  </si>
  <si>
    <t>Arnprior,SA de CV</t>
  </si>
  <si>
    <t>INADET</t>
  </si>
  <si>
    <t>Tighitco Latinoamerica, SA de CV</t>
  </si>
  <si>
    <t>Precision Omega, SA de CV</t>
  </si>
  <si>
    <t>Parque American Industries, SA de CV</t>
  </si>
  <si>
    <t>Mexroll México, S.A. de C.V.</t>
  </si>
  <si>
    <t>Victaulic, SA de CV</t>
  </si>
  <si>
    <t>VIGILANCIA</t>
  </si>
  <si>
    <t xml:space="preserve">MANTENIMIENTO </t>
  </si>
  <si>
    <t>ADMÓN PROGRAMAS</t>
  </si>
  <si>
    <t>SOUTHCO S DE RL DE CV</t>
  </si>
  <si>
    <t>Gustavo Arenivar Romero parcela 450 Z-1 P1/1</t>
  </si>
  <si>
    <t>ISABEL LOPEZ MARQUEZ</t>
  </si>
  <si>
    <t>ENRQUE ARANDA CASTILLO</t>
  </si>
  <si>
    <t xml:space="preserve">VARIACIONES DEL PRESUPUESTO DE EGRESOS </t>
  </si>
  <si>
    <t>TSI SOLUTIONS SERVICES S DE RL DE CV</t>
  </si>
  <si>
    <t>Aceros Levinson, SA de CV</t>
  </si>
  <si>
    <t>Corporativo AGA, SA de CV</t>
  </si>
  <si>
    <t>Deutsche Bank México, SA</t>
  </si>
  <si>
    <t>Florinda Chávez Renova</t>
  </si>
  <si>
    <t>Graficos y Corrugados de Parral, SA de CV</t>
  </si>
  <si>
    <t>Grupo Calibeb, SA de CV</t>
  </si>
  <si>
    <t>Grupo OR Diseño y Construccion, SA de CV</t>
  </si>
  <si>
    <t>Honeywell Centro de Investigación y Desarrollo,  S de RL</t>
  </si>
  <si>
    <t>Gas Natural de Juarez, SA de CV</t>
  </si>
  <si>
    <t>ETTCOM SA DE CV</t>
  </si>
  <si>
    <t>SALDO ANTERIOR</t>
  </si>
  <si>
    <t>M O V I M I E N T O S</t>
  </si>
  <si>
    <t>SALDO ACTUAL</t>
  </si>
  <si>
    <t>Nat.</t>
  </si>
  <si>
    <t>Cuenta</t>
  </si>
  <si>
    <t>Nombre de la cuenta</t>
  </si>
  <si>
    <t>DEUDOR</t>
  </si>
  <si>
    <t>ACREEDOR</t>
  </si>
  <si>
    <t>D</t>
  </si>
  <si>
    <t>1111</t>
  </si>
  <si>
    <t>1111-10001</t>
  </si>
  <si>
    <t>1111-10002</t>
  </si>
  <si>
    <t>1112</t>
  </si>
  <si>
    <t>BANCOS/TESORERÍA</t>
  </si>
  <si>
    <t>1112-10009</t>
  </si>
  <si>
    <t>1114</t>
  </si>
  <si>
    <t>INVERSIONES TEMPORALES (HASTA 3 MESES)</t>
  </si>
  <si>
    <t>1122</t>
  </si>
  <si>
    <t>1122-11002</t>
  </si>
  <si>
    <t>1122-11005</t>
  </si>
  <si>
    <t>1122-11007</t>
  </si>
  <si>
    <t>1122-11023</t>
  </si>
  <si>
    <t>1122-11031</t>
  </si>
  <si>
    <t>1122-11041</t>
  </si>
  <si>
    <t>1122-11046</t>
  </si>
  <si>
    <t>1122-11048</t>
  </si>
  <si>
    <t>1122-11052</t>
  </si>
  <si>
    <t>1122-11053</t>
  </si>
  <si>
    <t>1122-11060</t>
  </si>
  <si>
    <t>1122-11073</t>
  </si>
  <si>
    <t>1122-11075</t>
  </si>
  <si>
    <t>1122-11076</t>
  </si>
  <si>
    <t>1122-11078</t>
  </si>
  <si>
    <t>1122-11086</t>
  </si>
  <si>
    <t>1122-11087</t>
  </si>
  <si>
    <t>1122-11092</t>
  </si>
  <si>
    <t>1122-11100</t>
  </si>
  <si>
    <t>1122-11102</t>
  </si>
  <si>
    <t>1122-11103</t>
  </si>
  <si>
    <t>1122-11109</t>
  </si>
  <si>
    <t>1122-11123</t>
  </si>
  <si>
    <t>1122-11127</t>
  </si>
  <si>
    <t>1122-11145</t>
  </si>
  <si>
    <t>1122-11153</t>
  </si>
  <si>
    <t>1122-11173</t>
  </si>
  <si>
    <t>1122-11200</t>
  </si>
  <si>
    <t>1122-11232</t>
  </si>
  <si>
    <t>1122-11241</t>
  </si>
  <si>
    <t>1122-11250</t>
  </si>
  <si>
    <t>1122-11253</t>
  </si>
  <si>
    <t>1122-11259</t>
  </si>
  <si>
    <t>1122-11261</t>
  </si>
  <si>
    <t>1122-11276</t>
  </si>
  <si>
    <t>1122-11295</t>
  </si>
  <si>
    <t>1122-11296</t>
  </si>
  <si>
    <t>1122-11300</t>
  </si>
  <si>
    <t>1122-11310</t>
  </si>
  <si>
    <t>1122-11312</t>
  </si>
  <si>
    <t>1122-11320</t>
  </si>
  <si>
    <t>1122-11321</t>
  </si>
  <si>
    <t>1122-11326</t>
  </si>
  <si>
    <t>1122-11336</t>
  </si>
  <si>
    <t>1122-11353</t>
  </si>
  <si>
    <t>1122-11367</t>
  </si>
  <si>
    <t>1122-11370</t>
  </si>
  <si>
    <t>1122-11381</t>
  </si>
  <si>
    <t>1122-11390</t>
  </si>
  <si>
    <t>1122-11404</t>
  </si>
  <si>
    <t>1122-11413</t>
  </si>
  <si>
    <t>1122-11418</t>
  </si>
  <si>
    <t>1122-11419</t>
  </si>
  <si>
    <t>1122-11423</t>
  </si>
  <si>
    <t>1122-11432</t>
  </si>
  <si>
    <t>1122-11433</t>
  </si>
  <si>
    <t>1122-11435</t>
  </si>
  <si>
    <t>1122-11438</t>
  </si>
  <si>
    <t>1122-11439</t>
  </si>
  <si>
    <t>1122-11441</t>
  </si>
  <si>
    <t>1122-11442</t>
  </si>
  <si>
    <t>1122-11444</t>
  </si>
  <si>
    <t>1122-11448</t>
  </si>
  <si>
    <t>1122-11451</t>
  </si>
  <si>
    <t>1122-11454</t>
  </si>
  <si>
    <t>1122-11464</t>
  </si>
  <si>
    <t>1122-11468</t>
  </si>
  <si>
    <t>1122-11471</t>
  </si>
  <si>
    <t>1122-11473</t>
  </si>
  <si>
    <t>1122-11475</t>
  </si>
  <si>
    <t>1122-11476</t>
  </si>
  <si>
    <t>1122-11480</t>
  </si>
  <si>
    <t>1122-11485</t>
  </si>
  <si>
    <t>1122-11496</t>
  </si>
  <si>
    <t>1122-11505</t>
  </si>
  <si>
    <t>1122-11518</t>
  </si>
  <si>
    <t>1122-11521</t>
  </si>
  <si>
    <t>1122-11522</t>
  </si>
  <si>
    <t>1122-11524</t>
  </si>
  <si>
    <t>1122-11525</t>
  </si>
  <si>
    <t>1122-11541</t>
  </si>
  <si>
    <t>1122-11546</t>
  </si>
  <si>
    <t>1122-11552</t>
  </si>
  <si>
    <t>1122-11558</t>
  </si>
  <si>
    <t>1122-11561</t>
  </si>
  <si>
    <t>1122-11573</t>
  </si>
  <si>
    <t>1122-11604</t>
  </si>
  <si>
    <t>1122-11605</t>
  </si>
  <si>
    <t>1122-11606</t>
  </si>
  <si>
    <t>1122-11607</t>
  </si>
  <si>
    <t>1122-11611</t>
  </si>
  <si>
    <t>1122-11614</t>
  </si>
  <si>
    <t>1122-11621</t>
  </si>
  <si>
    <t>1122-11623</t>
  </si>
  <si>
    <t>1122-11626</t>
  </si>
  <si>
    <t>1122-11646</t>
  </si>
  <si>
    <t>1122-11669</t>
  </si>
  <si>
    <t>1122-11671</t>
  </si>
  <si>
    <t>1122-11677</t>
  </si>
  <si>
    <t>1122-11678</t>
  </si>
  <si>
    <t>1122-11679</t>
  </si>
  <si>
    <t>1122-11689</t>
  </si>
  <si>
    <t>1122-11691</t>
  </si>
  <si>
    <t>1122-11699</t>
  </si>
  <si>
    <t>1122-11701</t>
  </si>
  <si>
    <t>1122-11712</t>
  </si>
  <si>
    <t>1122-11715</t>
  </si>
  <si>
    <t>1122-11720</t>
  </si>
  <si>
    <t>1122-11721</t>
  </si>
  <si>
    <t>1122-11727</t>
  </si>
  <si>
    <t>1122-11728</t>
  </si>
  <si>
    <t>1122-11736</t>
  </si>
  <si>
    <t>1122-11737</t>
  </si>
  <si>
    <t>1122-11738</t>
  </si>
  <si>
    <t>1122-11744</t>
  </si>
  <si>
    <t>1122-11748</t>
  </si>
  <si>
    <t>1122-11749</t>
  </si>
  <si>
    <t>1122-11752</t>
  </si>
  <si>
    <t>1122-11754</t>
  </si>
  <si>
    <t>1122-11755</t>
  </si>
  <si>
    <t>1122-11762</t>
  </si>
  <si>
    <t>1122-11764</t>
  </si>
  <si>
    <t>1122-11765</t>
  </si>
  <si>
    <t>1122-11767</t>
  </si>
  <si>
    <t>1122-11768</t>
  </si>
  <si>
    <t>1122-11769</t>
  </si>
  <si>
    <t>1122-11770</t>
  </si>
  <si>
    <t>1122-11772</t>
  </si>
  <si>
    <t>1122-11773</t>
  </si>
  <si>
    <t>1122-11776</t>
  </si>
  <si>
    <t>1122-11778</t>
  </si>
  <si>
    <t>1122-11779</t>
  </si>
  <si>
    <t>1122-11781</t>
  </si>
  <si>
    <t>1122-11784</t>
  </si>
  <si>
    <t>1122-11789</t>
  </si>
  <si>
    <t>1122-11790</t>
  </si>
  <si>
    <t>1122-11801</t>
  </si>
  <si>
    <t>1122-11802</t>
  </si>
  <si>
    <t>1122-11805</t>
  </si>
  <si>
    <t>1122-11806</t>
  </si>
  <si>
    <t>1122-11809</t>
  </si>
  <si>
    <t>1122-11811</t>
  </si>
  <si>
    <t>1122-11812</t>
  </si>
  <si>
    <t>1122-11813</t>
  </si>
  <si>
    <t>1122-11814</t>
  </si>
  <si>
    <t>1122-11815</t>
  </si>
  <si>
    <t>1122-11816</t>
  </si>
  <si>
    <t>1122-11817</t>
  </si>
  <si>
    <t>1122-11818</t>
  </si>
  <si>
    <t>1122-11821</t>
  </si>
  <si>
    <t>1122-11822</t>
  </si>
  <si>
    <t>1122-11823</t>
  </si>
  <si>
    <t>1122-11830</t>
  </si>
  <si>
    <t>1122-11832</t>
  </si>
  <si>
    <t>1122-11834</t>
  </si>
  <si>
    <t>1122-11835</t>
  </si>
  <si>
    <t>1122-11837</t>
  </si>
  <si>
    <t>1122-11839</t>
  </si>
  <si>
    <t>1122-11842</t>
  </si>
  <si>
    <t>1122-11847</t>
  </si>
  <si>
    <t>1122-11849</t>
  </si>
  <si>
    <t>1122-11852</t>
  </si>
  <si>
    <t>1122-11853</t>
  </si>
  <si>
    <t>1122-11855</t>
  </si>
  <si>
    <t>1122-11856</t>
  </si>
  <si>
    <t>1122-11864</t>
  </si>
  <si>
    <t>1122-11865</t>
  </si>
  <si>
    <t>1122-11867</t>
  </si>
  <si>
    <t>1122-11870</t>
  </si>
  <si>
    <t>1122-11879</t>
  </si>
  <si>
    <t>1122-11881</t>
  </si>
  <si>
    <t>1122-11888</t>
  </si>
  <si>
    <t>1122-11889</t>
  </si>
  <si>
    <t>1122-11892</t>
  </si>
  <si>
    <t>1122-11893</t>
  </si>
  <si>
    <t>1122-11896</t>
  </si>
  <si>
    <t>1122-21007</t>
  </si>
  <si>
    <t>1122-21012</t>
  </si>
  <si>
    <t>1122-21017</t>
  </si>
  <si>
    <t>1122-21020</t>
  </si>
  <si>
    <t>1122-21062</t>
  </si>
  <si>
    <t>1122-21066</t>
  </si>
  <si>
    <t>1122-21077</t>
  </si>
  <si>
    <t>1122-21082</t>
  </si>
  <si>
    <t>1122-21083</t>
  </si>
  <si>
    <t>1122-21087</t>
  </si>
  <si>
    <t>1122-21089</t>
  </si>
  <si>
    <t>1122-21090</t>
  </si>
  <si>
    <t>1122-21093</t>
  </si>
  <si>
    <t>1122-31007</t>
  </si>
  <si>
    <t>1122-31013</t>
  </si>
  <si>
    <t>1122-31014</t>
  </si>
  <si>
    <t>1122-31017</t>
  </si>
  <si>
    <t>1122-31020</t>
  </si>
  <si>
    <t>1122-31024</t>
  </si>
  <si>
    <t>1122-31027</t>
  </si>
  <si>
    <t>1122-31028</t>
  </si>
  <si>
    <t>1122-51011</t>
  </si>
  <si>
    <t>1122-51013</t>
  </si>
  <si>
    <t>1122-51019</t>
  </si>
  <si>
    <t>1122-51021</t>
  </si>
  <si>
    <t>1122-51022</t>
  </si>
  <si>
    <t>1122-51024</t>
  </si>
  <si>
    <t>1123</t>
  </si>
  <si>
    <t>DEUDORES DIVERSOS POR COBRAR A CORTO PLAZO</t>
  </si>
  <si>
    <t>1123-10010</t>
  </si>
  <si>
    <t>1124</t>
  </si>
  <si>
    <t>1124-10001</t>
  </si>
  <si>
    <t>1124-10002</t>
  </si>
  <si>
    <t>1124-10003</t>
  </si>
  <si>
    <t>1124-10004</t>
  </si>
  <si>
    <t>1131</t>
  </si>
  <si>
    <t>1133</t>
  </si>
  <si>
    <t>1133-10001</t>
  </si>
  <si>
    <t>1133-10002</t>
  </si>
  <si>
    <t>1191</t>
  </si>
  <si>
    <t>1191-10001</t>
  </si>
  <si>
    <t>1212</t>
  </si>
  <si>
    <t>TÍTULOS Y VALORES A LARGO PLAZO</t>
  </si>
  <si>
    <t>1212-1</t>
  </si>
  <si>
    <t>Bonos a LP</t>
  </si>
  <si>
    <t>1212-10001</t>
  </si>
  <si>
    <t>1212-10006</t>
  </si>
  <si>
    <t>1231</t>
  </si>
  <si>
    <t>1233</t>
  </si>
  <si>
    <t>1233-58312</t>
  </si>
  <si>
    <t>1241</t>
  </si>
  <si>
    <t>MOBILIARIO Y EQUIPO DE ADMINISTRACIÓN</t>
  </si>
  <si>
    <t>1241-51112</t>
  </si>
  <si>
    <t>1241-51512</t>
  </si>
  <si>
    <t>1244</t>
  </si>
  <si>
    <t>1244-5</t>
  </si>
  <si>
    <t>Embarcaciones</t>
  </si>
  <si>
    <t>1244-54112</t>
  </si>
  <si>
    <t>1246</t>
  </si>
  <si>
    <t>MAQUINARIA, OTROS EQUIPOS Y HERRAMIENTAS</t>
  </si>
  <si>
    <t>1246-5</t>
  </si>
  <si>
    <t>Equipo de Comunicación y Telecomunicación</t>
  </si>
  <si>
    <t>1246-56212</t>
  </si>
  <si>
    <t>1250</t>
  </si>
  <si>
    <t>1261</t>
  </si>
  <si>
    <t>DEPRECIACIÓN ACUMULADA DE BIENES INMUEBLES</t>
  </si>
  <si>
    <t>1261-58312</t>
  </si>
  <si>
    <t>1263</t>
  </si>
  <si>
    <t>1263-51112</t>
  </si>
  <si>
    <t>1263-51512</t>
  </si>
  <si>
    <t>1263-54112</t>
  </si>
  <si>
    <t>1263-56212</t>
  </si>
  <si>
    <t>2111</t>
  </si>
  <si>
    <t>SERVICIOS PERSONALES POR PAGAR A CORTO PLAZO</t>
  </si>
  <si>
    <t>2111-1</t>
  </si>
  <si>
    <t>2111-3</t>
  </si>
  <si>
    <t>2111-4</t>
  </si>
  <si>
    <t>Seguridad Social y Seguros por pagar a CP</t>
  </si>
  <si>
    <t>2111-5</t>
  </si>
  <si>
    <t>2112</t>
  </si>
  <si>
    <t>2112-1</t>
  </si>
  <si>
    <t>2117</t>
  </si>
  <si>
    <t>2117-10001</t>
  </si>
  <si>
    <t>2117-10003</t>
  </si>
  <si>
    <t>2117-10005</t>
  </si>
  <si>
    <t>2117-10020</t>
  </si>
  <si>
    <t>2117-20005</t>
  </si>
  <si>
    <t>2117-20020</t>
  </si>
  <si>
    <t>2117-30005</t>
  </si>
  <si>
    <t>2117-30020</t>
  </si>
  <si>
    <t>2117-50005</t>
  </si>
  <si>
    <t>2117-50020</t>
  </si>
  <si>
    <t>2117-60020</t>
  </si>
  <si>
    <t>2119</t>
  </si>
  <si>
    <t>2119-10005</t>
  </si>
  <si>
    <t>2119-10008</t>
  </si>
  <si>
    <t>3110</t>
  </si>
  <si>
    <t>APORTACIONES</t>
  </si>
  <si>
    <t>3110-10001</t>
  </si>
  <si>
    <t>3130</t>
  </si>
  <si>
    <t>ACTUALIZACIÓN DE LA HACIENDA PÚBLICA/PATRIMONIO</t>
  </si>
  <si>
    <t>3130-10001</t>
  </si>
  <si>
    <t>3220</t>
  </si>
  <si>
    <t>RESULTADOS DE EJERCICIOS ANTERIORES</t>
  </si>
  <si>
    <t>3220-01997</t>
  </si>
  <si>
    <t>3220-01998</t>
  </si>
  <si>
    <t>3220-01999</t>
  </si>
  <si>
    <t>3220-02000</t>
  </si>
  <si>
    <t>3220-02001</t>
  </si>
  <si>
    <t>3220-02002</t>
  </si>
  <si>
    <t>3220-02003</t>
  </si>
  <si>
    <t>3220-02004</t>
  </si>
  <si>
    <t>3220-02005</t>
  </si>
  <si>
    <t>3220-02006</t>
  </si>
  <si>
    <t>3220-02007</t>
  </si>
  <si>
    <t>3220-02008</t>
  </si>
  <si>
    <t>3220-02009</t>
  </si>
  <si>
    <t>3220-02010</t>
  </si>
  <si>
    <t>3220-02011</t>
  </si>
  <si>
    <t>3220-02012</t>
  </si>
  <si>
    <t>3220-02013</t>
  </si>
  <si>
    <t>3220-02014</t>
  </si>
  <si>
    <t>3220-02015</t>
  </si>
  <si>
    <t>3310</t>
  </si>
  <si>
    <t>RESULTADO POR POSICIÓN MONETARIA</t>
  </si>
  <si>
    <t>3310-10001</t>
  </si>
  <si>
    <t>3320</t>
  </si>
  <si>
    <t>RESULTADO POR TENENCIA DE ACTIVOS NO MONETARIOS</t>
  </si>
  <si>
    <t>3320-10001</t>
  </si>
  <si>
    <t>4173</t>
  </si>
  <si>
    <t>4311</t>
  </si>
  <si>
    <t>4311-10001</t>
  </si>
  <si>
    <t>4311-10002</t>
  </si>
  <si>
    <t>4399</t>
  </si>
  <si>
    <t>OTROS INGRESOS Y BENEFICIOS VARIOS</t>
  </si>
  <si>
    <t>4399-10003</t>
  </si>
  <si>
    <t>5111</t>
  </si>
  <si>
    <t>REMUNERACIONES AL PERSONAL DE CARÁCTER PERMANENTE</t>
  </si>
  <si>
    <t>5113</t>
  </si>
  <si>
    <t>REMUNERACIONES ADICIONALES Y ESPECIALES</t>
  </si>
  <si>
    <t>5114</t>
  </si>
  <si>
    <t>SEGURIDAD SOCIAL</t>
  </si>
  <si>
    <t>5115</t>
  </si>
  <si>
    <t>OTRAS PRESTACIONES SOCIALES Y ECONÓMICAS</t>
  </si>
  <si>
    <t>5121</t>
  </si>
  <si>
    <t>5126</t>
  </si>
  <si>
    <t>COMBUSTIBLES, LUBRICANTES Y ADITIVOS</t>
  </si>
  <si>
    <t>5131</t>
  </si>
  <si>
    <t>SERVICIOS BÁSICOS</t>
  </si>
  <si>
    <t>5133</t>
  </si>
  <si>
    <t>5134</t>
  </si>
  <si>
    <t>SERVICIOS FINANCIEROS, BANCARIOS Y COMERCIALES</t>
  </si>
  <si>
    <t>5135</t>
  </si>
  <si>
    <t>5137</t>
  </si>
  <si>
    <t>SERVICIOS DE TRASLADO Y VIÁTICOS</t>
  </si>
  <si>
    <t>5139</t>
  </si>
  <si>
    <t>OTROS SERVICIOS GENERALES</t>
  </si>
  <si>
    <t>5513</t>
  </si>
  <si>
    <t>DEPRECIACIÓN DE BIENES INMUEBLES</t>
  </si>
  <si>
    <t>5513-58312</t>
  </si>
  <si>
    <t>5515</t>
  </si>
  <si>
    <t>DEPRECIACIÓN DE BIENES MUEBLES</t>
  </si>
  <si>
    <t>5515-51112</t>
  </si>
  <si>
    <t>5515-51512</t>
  </si>
  <si>
    <t>5515-54112</t>
  </si>
  <si>
    <t>5515-56212</t>
  </si>
  <si>
    <t>5599</t>
  </si>
  <si>
    <t>OTROS GASTOS VARIOS</t>
  </si>
  <si>
    <t>5599-10001</t>
  </si>
  <si>
    <t>5599-10002</t>
  </si>
  <si>
    <t>8110</t>
  </si>
  <si>
    <t>LEY DE INGRESOS ESTIMADA</t>
  </si>
  <si>
    <t>8120</t>
  </si>
  <si>
    <t>LEY DE INGRESOS POR EJECUTAR</t>
  </si>
  <si>
    <t>8140</t>
  </si>
  <si>
    <t>LEY DE INGRESOS DEVENGADA</t>
  </si>
  <si>
    <t>8150</t>
  </si>
  <si>
    <t>LEY DE INGRESOS RECAUDADA</t>
  </si>
  <si>
    <t>8210</t>
  </si>
  <si>
    <t>PRESUPUESTO DE EGRESOS APROBADO</t>
  </si>
  <si>
    <t>HORAS EXTRAS</t>
  </si>
  <si>
    <t>DESPENSA</t>
  </si>
  <si>
    <t>COMBUSTIBLES</t>
  </si>
  <si>
    <t>8220</t>
  </si>
  <si>
    <t>PRESUPUESTO DE EGRESOS POR EJERCER</t>
  </si>
  <si>
    <t>8240</t>
  </si>
  <si>
    <t>PRESUPUESTO DE EGRESOS COMPROMETIDO</t>
  </si>
  <si>
    <t>8250</t>
  </si>
  <si>
    <t>PRESUPUESTO DE EGRESOS DEVENGADO</t>
  </si>
  <si>
    <t>8260</t>
  </si>
  <si>
    <t>PRESUPUESTO DE EGRESOS EJERCIDO</t>
  </si>
  <si>
    <t>8270</t>
  </si>
  <si>
    <t>PRESUPUESTO DE EGRESOS PAGADO</t>
  </si>
  <si>
    <t>Sumas =&gt;</t>
  </si>
  <si>
    <t>RESULTADO DEL EJERCICIO</t>
  </si>
  <si>
    <t>1122-11545</t>
  </si>
  <si>
    <t>1122-11895</t>
  </si>
  <si>
    <t>Carlos Enrique Arzate Ontiveros</t>
  </si>
  <si>
    <t>Efectivo</t>
  </si>
  <si>
    <t>Bancos/Tesorería</t>
  </si>
  <si>
    <t>Bancos/Dependencias y Otros</t>
  </si>
  <si>
    <t>Inversiones (hasta 3 meses)</t>
  </si>
  <si>
    <t>Fondos de afectación específica</t>
  </si>
  <si>
    <t>Depósitos de fondos de terceros en garantía</t>
  </si>
  <si>
    <t>Otros efectivos y equivalentes</t>
  </si>
  <si>
    <t>Inversiones financieras a corto plazo</t>
  </si>
  <si>
    <t>Cuentas por cobrar a corto plazo</t>
  </si>
  <si>
    <t>Deudores diversos por cobrar a corto plazo</t>
  </si>
  <si>
    <t>Ingresos por recuperar a corto plazo</t>
  </si>
  <si>
    <t>Deudores por anticipos de tesorería corto plazo</t>
  </si>
  <si>
    <t>Préstamos otorgados a corto plazo</t>
  </si>
  <si>
    <t>Otros derechos a recibir efectivo a corto plazo</t>
  </si>
  <si>
    <t>Ant. Prov. Adq. Bienes y servicios corto plazo</t>
  </si>
  <si>
    <t>Ant. Prov. Adq. Bienes inmuebles y muebles corto plazo</t>
  </si>
  <si>
    <t>Ant. Prov. Adq. Bienes intangibles corto plazo</t>
  </si>
  <si>
    <t>Ant. Contratistas obras públicas corto plazo</t>
  </si>
  <si>
    <t>Otros derechos a recibir bienes o servicios corto plazo</t>
  </si>
  <si>
    <t>Inventario de mercancías por venta</t>
  </si>
  <si>
    <t>Est. Ctas incobrables por derechos a recibir efectivo</t>
  </si>
  <si>
    <t>Est. Por deterioro de inventarios</t>
  </si>
  <si>
    <t>Valores en garantía</t>
  </si>
  <si>
    <t>Bienes en garantía</t>
  </si>
  <si>
    <t>Bienes derivados de embargos, decomisos</t>
  </si>
  <si>
    <t>Adquisición con fontos de terceros</t>
  </si>
  <si>
    <t>Servicios personales por pagar corto plazo</t>
  </si>
  <si>
    <t>Proveedores por pagar a corto plazo</t>
  </si>
  <si>
    <t>Contratistas obras públicas por pagar corto plazo</t>
  </si>
  <si>
    <t>Participaciones y aportaciones por pagar corto plazo</t>
  </si>
  <si>
    <t>Transferencias otorgadas por pagar a corto plazo</t>
  </si>
  <si>
    <t>Intereses, comisiones deuda pública corto plazo</t>
  </si>
  <si>
    <t>Retenciones y contribuciones por pagar corto plazo</t>
  </si>
  <si>
    <t>Documentos comerciales por pagar corto plazo</t>
  </si>
  <si>
    <t>Documentos contratistas obra por pagar corto plazo</t>
  </si>
  <si>
    <t>Otros documentos por pagar a corto plazo</t>
  </si>
  <si>
    <t>Porción a corto plazo de la deuda pública</t>
  </si>
  <si>
    <t>Porción a corto plazo de arrendamiento financiero</t>
  </si>
  <si>
    <t>Ingresos cobrados por adelantado a corto plazo</t>
  </si>
  <si>
    <t>Intereses cobrados por adelantado a corto plazo</t>
  </si>
  <si>
    <t>Otros pasivos diferidos a corto plazo</t>
  </si>
  <si>
    <t>Fondos y Bienes de Terceros en Garantía y/o Admón. a Corto Plazo</t>
  </si>
  <si>
    <t>Fondos en garanía a corto plazo</t>
  </si>
  <si>
    <t>Fondos en administración de corto plazo</t>
  </si>
  <si>
    <t>Fondos contingentes a corto plazo</t>
  </si>
  <si>
    <t>Fondos fideicomisos, mandatos y contratos corto plazo</t>
  </si>
  <si>
    <t>Otros fondos de terceros en garantía corto plazo</t>
  </si>
  <si>
    <t>Valores y bienes en garantía a corto plazo</t>
  </si>
  <si>
    <t>Provisiones por demandas y juicios a corto plazo</t>
  </si>
  <si>
    <t>Provisiones para contingencias a corto plazo</t>
  </si>
  <si>
    <t>Otras provisiones a corto plazo</t>
  </si>
  <si>
    <t>Otros pasivos circulantes</t>
  </si>
  <si>
    <t>Fondos y Bienes de Terceros en Gtía y/o en Admón. Largo Plazo</t>
  </si>
  <si>
    <t>Otras cuentas por pagar corto plazo</t>
  </si>
  <si>
    <t>Otros gastos varios (Cancelación de facturas para reexpedir, gastos no deducibles)</t>
  </si>
  <si>
    <t>SERVICIOS FINANCIEROS Y BANCARIOS</t>
  </si>
  <si>
    <t>1122-11478</t>
  </si>
  <si>
    <t>1122-11905</t>
  </si>
  <si>
    <t>1122-31011</t>
  </si>
  <si>
    <t>COORDINADOR GENERAL</t>
  </si>
  <si>
    <t>1122-11270</t>
  </si>
  <si>
    <t>Mensual sin iva</t>
  </si>
  <si>
    <t>Administración Centro Comercial Chihuahua, SA de CV</t>
  </si>
  <si>
    <t>DSV AIR &amp; SEA, SA DE CV</t>
  </si>
  <si>
    <t>MegaConstr Remodelaciones y Construcciones, SA de CV</t>
  </si>
  <si>
    <t>QUMA SERVICES MEXICO, SA DE CV</t>
  </si>
  <si>
    <t>Servicios Gasolineros de México, SA de CV</t>
  </si>
  <si>
    <t>Tecnologia en Maquilados de Chihuahua, SA de CV</t>
  </si>
  <si>
    <t>1122-11472</t>
  </si>
  <si>
    <t>5590</t>
  </si>
  <si>
    <t>OTROS GASTOS</t>
  </si>
  <si>
    <t>1122-11434</t>
  </si>
  <si>
    <t>1122-11846</t>
  </si>
  <si>
    <t>1122-11885</t>
  </si>
  <si>
    <t>1122-11898</t>
  </si>
  <si>
    <t>1122-11913</t>
  </si>
  <si>
    <t>Gastos de Administración Central</t>
  </si>
  <si>
    <t>1123-10013</t>
  </si>
  <si>
    <t>1122-11797</t>
  </si>
  <si>
    <t>1122-11908</t>
  </si>
  <si>
    <t>1122-11909</t>
  </si>
  <si>
    <t>1122-11914</t>
  </si>
  <si>
    <t>1122-11915</t>
  </si>
  <si>
    <t>1122-11921</t>
  </si>
  <si>
    <t>1122-11922</t>
  </si>
  <si>
    <t>1122-11925</t>
  </si>
  <si>
    <t>2117-70020</t>
  </si>
  <si>
    <t>Saldo final en inversión al cierre de mes</t>
  </si>
  <si>
    <t>Agroindustrial Miñaca, SPR de RL de CV</t>
  </si>
  <si>
    <t>1122-11146</t>
  </si>
  <si>
    <t>1122-11918</t>
  </si>
  <si>
    <t>1122-11920</t>
  </si>
  <si>
    <t>1122-11923</t>
  </si>
  <si>
    <t>1122-11927</t>
  </si>
  <si>
    <t>1122-11928</t>
  </si>
  <si>
    <t>Petra Borbon Willis</t>
  </si>
  <si>
    <t>Accesorios y Maquinaria GAMO, SA de CV</t>
  </si>
  <si>
    <t>Avitar del Norte, SA de CV</t>
  </si>
  <si>
    <t>Servicios Administrativos OSLO, SA de CV</t>
  </si>
  <si>
    <t>Centro Llantero de Allende, SA de CV</t>
  </si>
  <si>
    <t>Dominguez Htas de México, SA de CV</t>
  </si>
  <si>
    <t>Eplogistica de México, S de RL de CV</t>
  </si>
  <si>
    <t>Farmacias de Similares,SA de CV</t>
  </si>
  <si>
    <t>Fastenal México, SRL de CV</t>
  </si>
  <si>
    <t>Fideicomiso F/2717</t>
  </si>
  <si>
    <t>Gabriela Tanner Armendariz</t>
  </si>
  <si>
    <t>Genesis Servicios y Desarrollos Inmobiliarios, SA de CV</t>
  </si>
  <si>
    <t>Hugo Armando Loya Pliego</t>
  </si>
  <si>
    <t>Meloones Bar &amp; Grill,SA de CV</t>
  </si>
  <si>
    <t>Saúl Arnulfo Ramirez Mendez</t>
  </si>
  <si>
    <t>Samuel López Aguilar</t>
  </si>
  <si>
    <t>Yessica Yasmin Salazar Montes</t>
  </si>
  <si>
    <t>XCF, SA de CV</t>
  </si>
  <si>
    <t>INDICADORES DE BALANCED SCORE CARD</t>
  </si>
  <si>
    <t>Ajustes al presupuesto</t>
  </si>
  <si>
    <t>Presupuesto ajustado</t>
  </si>
  <si>
    <t>Porcentaje de ejecución del presupuesto de infraestructura</t>
  </si>
  <si>
    <t>Presupuesto aprobado</t>
  </si>
  <si>
    <t>Presupuesto ejercido</t>
  </si>
  <si>
    <t>Resultado del ejercicio</t>
  </si>
  <si>
    <t>Activos totales</t>
  </si>
  <si>
    <t>Retorno sobre Activos - ROA</t>
  </si>
  <si>
    <t>Administrativo</t>
  </si>
  <si>
    <t>Operativo</t>
  </si>
  <si>
    <t>1122-11549</t>
  </si>
  <si>
    <t>1122-11675</t>
  </si>
  <si>
    <t>1122-21073</t>
  </si>
  <si>
    <t>GRUPO AMEX SA DE CV</t>
  </si>
  <si>
    <t>GTS SIGNS S DE RL MI</t>
  </si>
  <si>
    <t>2119-10014</t>
  </si>
  <si>
    <t>Instituto Chihuahuense de Salud</t>
  </si>
  <si>
    <t>Cuotas de servicio médico de trabajadores</t>
  </si>
  <si>
    <t>POCHTECA MATERIAS PRIMAS SA DE CV</t>
  </si>
  <si>
    <t>CONTABILIDAD</t>
  </si>
  <si>
    <t>COBRANZA</t>
  </si>
  <si>
    <t>Juárez</t>
  </si>
  <si>
    <t>Cuauhtemoc</t>
  </si>
  <si>
    <t>Paquime</t>
  </si>
  <si>
    <t>Gran Total</t>
  </si>
  <si>
    <t>Aportaciones Fondo Propio Pensiones</t>
  </si>
  <si>
    <t>Total 2018</t>
  </si>
  <si>
    <t>TRANSFERENCIAS, ASIGNACIONES, SUBSIDIOS</t>
  </si>
  <si>
    <t>Diferencial Servicio Médico Pensiones</t>
  </si>
  <si>
    <t>Pensionados</t>
  </si>
  <si>
    <t>Jubilados</t>
  </si>
  <si>
    <t>OTROS GASTOS Y PÉRDIDAS EXTRAORDINARIAS</t>
  </si>
  <si>
    <t>5513-15</t>
  </si>
  <si>
    <t>Pérdida Cambiaria</t>
  </si>
  <si>
    <t>TOTAL OTROS GASTOS Y PÉRDIDAS EXTRAORDINARIAS</t>
  </si>
  <si>
    <t>Parque Agroindustrial Naica</t>
  </si>
  <si>
    <t>ASACH</t>
  </si>
  <si>
    <t>TOTAL VENTA DE TERRENOS</t>
  </si>
  <si>
    <t>TOTAL INTERESES BANCARIOS</t>
  </si>
  <si>
    <t>Ingresos por Arrendamiento</t>
  </si>
  <si>
    <t xml:space="preserve">                              Año</t>
  </si>
  <si>
    <t xml:space="preserve">                            Año</t>
  </si>
  <si>
    <t xml:space="preserve">                                                                 Año</t>
  </si>
  <si>
    <t xml:space="preserve">                                Año</t>
  </si>
  <si>
    <t>Las empresas establecidas en los parques industriales cuentan con espacios adecuados para la industria avanzada.</t>
  </si>
  <si>
    <t>NIVEL</t>
  </si>
  <si>
    <t>RESUMEN NARRATIVO</t>
  </si>
  <si>
    <t>NOMBRE DEL INDICADOR</t>
  </si>
  <si>
    <t>DESCRIPCIÓN DE FÓRMULA</t>
  </si>
  <si>
    <t>VARIABLES</t>
  </si>
  <si>
    <t>Porcentaje del nivel de satisfacción de los usuarios de los parques industriales</t>
  </si>
  <si>
    <t>Encuestas calificadas como bueno / Total de encuestas contestadas</t>
  </si>
  <si>
    <t>Servicios a las empresas de los parques industriales prestados</t>
  </si>
  <si>
    <t>Porcentaje de ejecución del presupuesto asignado para mantenimiento y operación de parques industriales con respecto al presupuesto autorizado</t>
  </si>
  <si>
    <t>Presupuesto para servicios ejercido / Presupuesto para servicios autorizado</t>
  </si>
  <si>
    <t>Encuestas calificadas como bueno</t>
  </si>
  <si>
    <t>Resultado</t>
  </si>
  <si>
    <t>Meta</t>
  </si>
  <si>
    <t>Encuestas contestadas</t>
  </si>
  <si>
    <t>Presupuesto de servicios ejercido</t>
  </si>
  <si>
    <t>Presupuesto de servicios autorizado</t>
  </si>
  <si>
    <t>Proyectos de infraestructura en parques y reservas industriales administrados</t>
  </si>
  <si>
    <t>Porcentaje de la inversión en infraestructura desarrollada con respecto a la infraestructura programada</t>
  </si>
  <si>
    <t>Monto de inversión en infraestructura desarrollada / Monto de inversión en infraestructura programada</t>
  </si>
  <si>
    <t>Infraestructura desarrollada</t>
  </si>
  <si>
    <t>Infraestructura programada</t>
  </si>
  <si>
    <t>Operación del servicio de vigilancia de los parques industriales</t>
  </si>
  <si>
    <t>Costo de los servicios de vigilancia por hectárea de los parques industriales</t>
  </si>
  <si>
    <t>Costo mensual de los servicios de vigilancia / Número de hectáreas ocupadas</t>
  </si>
  <si>
    <t>Hectáreas ocupadas</t>
  </si>
  <si>
    <t>Costo mensual vigilancia</t>
  </si>
  <si>
    <t>ACTIVIDAD 1.2</t>
  </si>
  <si>
    <t>Operación del servicio de mantenimiento de los parques industriales</t>
  </si>
  <si>
    <t>Costo de los servicios de mantenimiento por hectárea de los parques industriales</t>
  </si>
  <si>
    <t>Costo mensual de mantenimiento de parques / Número de hectáreas ocupadas</t>
  </si>
  <si>
    <t>Costo mensual mantenimiento</t>
  </si>
  <si>
    <t>ACTIVIDAD 1.3</t>
  </si>
  <si>
    <t>Operación de pozos y líneas de agua</t>
  </si>
  <si>
    <t>Porcentaje de metros cúbicos de agua facturados contra metros cúbicos extraídos de los pozos</t>
  </si>
  <si>
    <t>Metros cúbicos de agua facturados / Metros cúbicos de agua extraídos</t>
  </si>
  <si>
    <t>Metros cúbicos facturados</t>
  </si>
  <si>
    <t>Metros cúbicos extraídos</t>
  </si>
  <si>
    <t>Ejecución de proyectos y recursos del organismo</t>
  </si>
  <si>
    <t>Porcentaje de gastos ejercidos en administración con respecto al total del presupuesto ejercido en administración y servicios de parques</t>
  </si>
  <si>
    <t xml:space="preserve"> Gastos de administración ejercidos / Gastos totales ejercidos</t>
  </si>
  <si>
    <t>Gastos totales ejercidos</t>
  </si>
  <si>
    <t>Gastos de administración ejercidos</t>
  </si>
  <si>
    <t>ACTIVIDAD 2.2</t>
  </si>
  <si>
    <t>Planeación de proyectos de infraestructura en parques y reservas industriales del organismo</t>
  </si>
  <si>
    <t>Porcentaje de proyectos de infraestructura realizados en parques y reservas industriales del organismo</t>
  </si>
  <si>
    <t>Proyectos infraestructura en parques y reservas industriales del organismo realizados / Proyectos infraestructura en parques y reservas industriales del organismo programados</t>
  </si>
  <si>
    <t>Proyectos de infraestructura programados</t>
  </si>
  <si>
    <t>Proyectos de infraestuctura   realizados</t>
  </si>
  <si>
    <t>Transferencias, Asignaciones, Subsidios</t>
  </si>
  <si>
    <t>Fecha y</t>
  </si>
  <si>
    <t>09/feb./2018</t>
  </si>
  <si>
    <t>Usr: JMARRUFO</t>
  </si>
  <si>
    <t/>
  </si>
  <si>
    <t>1000</t>
  </si>
  <si>
    <t>1100</t>
  </si>
  <si>
    <t>1110</t>
  </si>
  <si>
    <t>CAJA ADMINISTRACION</t>
  </si>
  <si>
    <t>CAJA INGENIERIA</t>
  </si>
  <si>
    <t>BANORTE CTA No. 012894777</t>
  </si>
  <si>
    <t>BANCOMER 0135020670</t>
  </si>
  <si>
    <t>BANAMEX CTA. 7514977214</t>
  </si>
  <si>
    <t>BANAMEX 4481/9000775 DLLS</t>
  </si>
  <si>
    <t>BANAMEX CTA COMPLEM (M.N.)</t>
  </si>
  <si>
    <t>INVERSIONES BANORTE</t>
  </si>
  <si>
    <t>INVERSIONES BANCOMER</t>
  </si>
  <si>
    <t>INVERSIONES BANAMEX</t>
  </si>
  <si>
    <t>1120</t>
  </si>
  <si>
    <t>FORD MOTOR CO.</t>
  </si>
  <si>
    <t>COMERCIALIZADORA Y DESARROLLADORA DEL NTE. SA DE CV</t>
  </si>
  <si>
    <t>SUPERIOR IND. DE MEXICO, S.A.</t>
  </si>
  <si>
    <t>OPERADORA FUTURAMA,S.A.DE C.V</t>
  </si>
  <si>
    <t>FLETES ASTRO, SA. DE CV.</t>
  </si>
  <si>
    <t>AUTOTRANS. TRESGUERRAS</t>
  </si>
  <si>
    <t>INMOBILIARIA MADOR SA DE CV</t>
  </si>
  <si>
    <t>GRUPO COMERCIAL DE MEXICO SA DE CV</t>
  </si>
  <si>
    <t>SERVICIOS INTEGRALES RUTA.</t>
  </si>
  <si>
    <t>PRODUCTOS CHACHITOS, S.A. C.V</t>
  </si>
  <si>
    <t>TRANS-SERVICIOS, S.A. DE C.V.</t>
  </si>
  <si>
    <t>XOMOX, S.A. DE C.V.</t>
  </si>
  <si>
    <t>SERVICIO RG SA DE CV</t>
  </si>
  <si>
    <t>FLETES SOTELO, S.A.</t>
  </si>
  <si>
    <t>EUROMOLDURAS SA DE CV</t>
  </si>
  <si>
    <t>RECUBRIMIENTOS INTERCERAMIC.</t>
  </si>
  <si>
    <t>AUTOTRANSP DEL REAL</t>
  </si>
  <si>
    <t>EXPRESS TRES FRONTERAS/ANDAZO</t>
  </si>
  <si>
    <t>PAVIMENTOS DE LA LAGUNA.</t>
  </si>
  <si>
    <t>FR TECNOLOGIA DE FLUJO SA DE</t>
  </si>
  <si>
    <t>FABRICA JABON LA CORONA, S.A.</t>
  </si>
  <si>
    <t>JOSE ARTURO AMADOR Y COPROPIE</t>
  </si>
  <si>
    <t>MANYSER, S.A. DE C.V.</t>
  </si>
  <si>
    <t>Page 1</t>
  </si>
  <si>
    <t>INGENIERIA Y DISEÑO VAN</t>
  </si>
  <si>
    <t>MANUFACTURAS ESTAMPADAS SA DE CV</t>
  </si>
  <si>
    <t>I.S.S.S.T.E.</t>
  </si>
  <si>
    <t>CONTRUCTORA ADOBE, S.A. C.V.</t>
  </si>
  <si>
    <t>IPC CHIHUAHUA SA DE CV</t>
  </si>
  <si>
    <t>TRANSPORTES THOMAS, S.A.</t>
  </si>
  <si>
    <t>AMERICAN BEEF SA DE CV</t>
  </si>
  <si>
    <t>KEYPLASTICS, S.A. DE C.V.</t>
  </si>
  <si>
    <t>V T C  WEST SA DE CV</t>
  </si>
  <si>
    <t>SERVICIO DE ADMINISTRACION TRIBUTARIA</t>
  </si>
  <si>
    <t>KEY PLASTICS DE MEX. 2 S.A.CV</t>
  </si>
  <si>
    <t>MANUF. ESTAMP/CENTRO DE MOLDES</t>
  </si>
  <si>
    <t>ASOCIACION DE MAQUILADORAS AC</t>
  </si>
  <si>
    <t>DIGITAL APPLIANCE CONTROLS</t>
  </si>
  <si>
    <t>CADISA, S.A. DE C.V.</t>
  </si>
  <si>
    <t>WINT-SON CARBIDE DE MEXICO</t>
  </si>
  <si>
    <t>FASE CHIHUAHUA S.A. DE C.V.</t>
  </si>
  <si>
    <t>CONSTRUCCIONES NIRVANA, S.A.</t>
  </si>
  <si>
    <t>PACE INDUSTRIES DE CHIH., SA.</t>
  </si>
  <si>
    <t>AMERICAN BEEF</t>
  </si>
  <si>
    <t>BACHOCO, S.A.</t>
  </si>
  <si>
    <t>ESTAFETA MEXICANA/INM.BERREND</t>
  </si>
  <si>
    <t>LUIS OROZCO ( AUTRONIC S.A. )</t>
  </si>
  <si>
    <t>VIGA Y LAMINA, SA. DE CV.</t>
  </si>
  <si>
    <t>ADITIVOS Y RECUBRIMIENTOS TECNICOS S.A.  DE C.V.</t>
  </si>
  <si>
    <t>BANCO NACIONAL DE MEXICO, S.A.</t>
  </si>
  <si>
    <t>FLETES MEXICO CHIHUAHUA</t>
  </si>
  <si>
    <t>SERVICIOS GARCIA SA DE CV</t>
  </si>
  <si>
    <t>AMERICAN BEEF S.A. DE C.V.</t>
  </si>
  <si>
    <t>FACTORIA INDUSTRIAL S.A. DE C.V.</t>
  </si>
  <si>
    <t>OPERADORA XVIII DE DIC. SA DE CV</t>
  </si>
  <si>
    <t>TRANSPORTES FORANEOS Y LOCALES</t>
  </si>
  <si>
    <t>INTERMEX MANUFACTURA DE CHIHUAHUA</t>
  </si>
  <si>
    <t>JABIL CIRCUIT DE CHIHUAHUA S DE RL DE CV</t>
  </si>
  <si>
    <t>PLASMATEC METALIZACIONES SA DE CV</t>
  </si>
  <si>
    <t>LORENZO RAFAEL PORRAS MORAN</t>
  </si>
  <si>
    <t>PROMOTORA DE RESTAURANTES DEL NTE. SA DE CV</t>
  </si>
  <si>
    <t>Page 2</t>
  </si>
  <si>
    <t>Rep: rptBalanzaComprobacion</t>
  </si>
  <si>
    <t>Cuentas de Mayor con saldo y/o movimientos. (De la cuenta: 1000 a la 9000)</t>
  </si>
  <si>
    <t>JOEL ARTURO PAYAN</t>
  </si>
  <si>
    <t>GPO. AMERICAN INDUSTRIES SA DE CV</t>
  </si>
  <si>
    <t>CEDENA COMERCIAL OXXO SA DE CV</t>
  </si>
  <si>
    <t>GCC CONCRETO SA DE CV</t>
  </si>
  <si>
    <t>BIO PAPPEL SA DE CV</t>
  </si>
  <si>
    <t>AGRI ESTRELLA S DE RL DE CV</t>
  </si>
  <si>
    <t>FAMSA DE PACIFICO SA DE CV</t>
  </si>
  <si>
    <t>BIENES Y RAICES LON SA DE CV</t>
  </si>
  <si>
    <t>PLAZA SAN IGNACIO S.C.</t>
  </si>
  <si>
    <t>GLOBAL PRODUCTS CO. S.A. DE C.V.</t>
  </si>
  <si>
    <t>TUBAN SA DE CV</t>
  </si>
  <si>
    <t>PACTIV DE MEXICO S DE RL DE CV</t>
  </si>
  <si>
    <t>INMOBILIARIA COMERCIAL INTERMEX SA DE CV</t>
  </si>
  <si>
    <t>ARTURO FEDERICO RICO GRANILLO</t>
  </si>
  <si>
    <t>CANPLAS MEXICO SA DE CV</t>
  </si>
  <si>
    <t>HERMES Y ASOCIADOS SA DE CV</t>
  </si>
  <si>
    <t>INST. DE APOYO AL DES. TEC.</t>
  </si>
  <si>
    <t>DURABOX DE CHIHUAHUA S.A. DE C.V.</t>
  </si>
  <si>
    <t>TRANSPORTES JULIAN DE OBREGON SA DE CV</t>
  </si>
  <si>
    <t>1122-11519</t>
  </si>
  <si>
    <t>PROVEEDORA DE SERVICIOS Y CULTURA FISICA DABS</t>
  </si>
  <si>
    <t>CARSO INFRAESTRUCTURA Y CONSTRUCCION SA DE CV</t>
  </si>
  <si>
    <t>DEMO TECNIC S. DE R.L. DE C.V.</t>
  </si>
  <si>
    <t>MARLO INDUSTRIAS SA DE CV</t>
  </si>
  <si>
    <t>TRACTOCAMIONES KENWORTH DE CHIHUAHUA SA DE CV</t>
  </si>
  <si>
    <t>TRANSPORTES SOTO E HIJOS SA DE CV</t>
  </si>
  <si>
    <t>FRUGASA SA DE CV</t>
  </si>
  <si>
    <t>AGUA Y HIELOS PURIFICADOS S.A. DE C.V.</t>
  </si>
  <si>
    <t>CHIHUAHUA MEAT VISA QUALITY S.A. DE C.V.</t>
  </si>
  <si>
    <t>BOURNS DE MEXICO S. DE R.L. DE C.V.</t>
  </si>
  <si>
    <t>INTERNACIONAL DE CERAMICA SAB DE CV</t>
  </si>
  <si>
    <t>LUTRON CNC S DE RL DE CV</t>
  </si>
  <si>
    <t>HONEYWELL AUTOMOTIVE DE MEXICO SA DE CV</t>
  </si>
  <si>
    <t>BIMBO S.A. DE C.V.</t>
  </si>
  <si>
    <t>GOB. DEL EDO. DE CHIH. (DPTO. DE ING. DE INV. PUBL</t>
  </si>
  <si>
    <t>TP NEARHORE S DE RL DE CV</t>
  </si>
  <si>
    <t>CENTURY MOLD MEXICO S DE RL DE CV</t>
  </si>
  <si>
    <t>LUIS CARLOS CHAVEZ LOYA</t>
  </si>
  <si>
    <t>AUTO FLETERA DE CHIH SA DE CV</t>
  </si>
  <si>
    <t>Page 3</t>
  </si>
  <si>
    <t>MARIA MERCED DE LA TORRE JAUREGUI</t>
  </si>
  <si>
    <t>DON MIGUEL TRANSPORTES S DE RL DE CV</t>
  </si>
  <si>
    <t>DESARROLLO DE INGENIERIA Y CONTRATACION SA DE CV</t>
  </si>
  <si>
    <t>ESTAPAK SA DE CV</t>
  </si>
  <si>
    <t>MUELLES Y SUSPENSIONES EL DRAGON SA DE CV</t>
  </si>
  <si>
    <t>AUTOMATIZACION Y TECNOLOGIA MEXICANA SA DE CV</t>
  </si>
  <si>
    <t>CONSOLIDATEC MEDICAL EQUIPMENT COMPANY S DE RL DE</t>
  </si>
  <si>
    <t>INMOBOLIARIA TOMAS VALLES VIVAR SA DE CV</t>
  </si>
  <si>
    <t>CARLISLIE PRODUCTOS DE MEXICO S DE RL DE CV</t>
  </si>
  <si>
    <t>PARQUE IND. JUAREZ SA DE CV</t>
  </si>
  <si>
    <t>BANCO DEL BAJIO SA</t>
  </si>
  <si>
    <t>JOSE DE JESUS ALONSO RODRIGUEZ</t>
  </si>
  <si>
    <t>SERVICIOS DE MANUFACTURA Y DESARROLLO SA DE CV</t>
  </si>
  <si>
    <t>CESSNA MEXICO S DE RL DE CV</t>
  </si>
  <si>
    <t>TIGHTCO LATINOAMERICA SA DE CV</t>
  </si>
  <si>
    <t>VICTAULIC DE MEXICO</t>
  </si>
  <si>
    <t>FARMACIA GUADALAJARA SA DE CV</t>
  </si>
  <si>
    <t>ANA MARGARITA SPR DE RL DE CV</t>
  </si>
  <si>
    <t>ALEJANDRO LEYVA REYES</t>
  </si>
  <si>
    <t>KARINA DENISSE MARQUEZ</t>
  </si>
  <si>
    <t>TANNER MAQUINAS Y HERRAMIENTAS SA DE CV</t>
  </si>
  <si>
    <t>TALLERES CASA MYERS SA</t>
  </si>
  <si>
    <t>DISTRIBUIDORA DE CERVEZAS MODELO EN CHIHUAHUA S.A. DE C.V.</t>
  </si>
  <si>
    <t>SERVICIO INTERNACIONAL DE LOGISTICA Y TRANSPORTE SA DE CV</t>
  </si>
  <si>
    <t>NALCO DE MEXICO S DE RL DE CV</t>
  </si>
  <si>
    <t>IMPORTACIONES LA LLAMARADA SA DE CV</t>
  </si>
  <si>
    <t>CASA LICORERA FAGON SA DE CV</t>
  </si>
  <si>
    <t>Page 4</t>
  </si>
  <si>
    <t>DISTRIBUIDOR MOBILE HIDRAULICO E INDUSTRIAL SA DE</t>
  </si>
  <si>
    <t>MGS PLASTICS CHIHUAHUA SA DE CV</t>
  </si>
  <si>
    <t>REPRESENTACIONES VERDES DE MEXICO SA DE CV</t>
  </si>
  <si>
    <t>MATERIAL CONSTRUCTOR SA DE CV</t>
  </si>
  <si>
    <t>INMUEBLES URBE SA DE CV</t>
  </si>
  <si>
    <t>PRODUCTOS DE CONSUMO Z SA DE CV</t>
  </si>
  <si>
    <t>MINPRO SA DE CV</t>
  </si>
  <si>
    <t>LORENZO EGUIARTE TALLAVAS</t>
  </si>
  <si>
    <t>SERVICIOS SWECOMEX SA DE CV</t>
  </si>
  <si>
    <t>KALISH FIERRO Y ACERO SA DE CV</t>
  </si>
  <si>
    <t>GRUPO EMPRESARIAL PODELSA SA DE CV</t>
  </si>
  <si>
    <t>1122-11791</t>
  </si>
  <si>
    <t>BEBIDAS PURIFICADAS S DE RL DE CV</t>
  </si>
  <si>
    <t>LUIS ANTONIO MONTOYA JAQUEZ</t>
  </si>
  <si>
    <t>ACCUDYN DE MEXICO S DE RL DE CV</t>
  </si>
  <si>
    <t>GALA DISEÑO EN MUEBLES SA DE CV</t>
  </si>
  <si>
    <t>INTERNATIONAL PAPER MEXICO COMPANY S DE RL DE CV</t>
  </si>
  <si>
    <t>CENTRO DE SERVICIOS METEOLOGICOS S DE RL DE CV</t>
  </si>
  <si>
    <t>CONSTRUCTORA Y PROVEEDORA FERRETODO SA DE CV</t>
  </si>
  <si>
    <t>GEN INDUSTRIAL SA DE CV</t>
  </si>
  <si>
    <t>DAVID VELASCO MARTINEZ</t>
  </si>
  <si>
    <t>IMPULSORA SAHUAYO SA DE CV</t>
  </si>
  <si>
    <t>GRUPO PASAN DE CHIHUAHUA SA DE CV</t>
  </si>
  <si>
    <t>FERBAQ FERRETERIA SA DE CV</t>
  </si>
  <si>
    <t>EMPAQUES EL PARAISO S DE RL DE MI</t>
  </si>
  <si>
    <t>INDUSTRIAS UNIDAS SA DE CV</t>
  </si>
  <si>
    <t>HISCOMEX SA DE CV</t>
  </si>
  <si>
    <t>INDICON SA DE CV</t>
  </si>
  <si>
    <t>PIK-ONE SA DE CV</t>
  </si>
  <si>
    <t>EQUIPOS OSENAL SA DE CV</t>
  </si>
  <si>
    <t>DHL EXPRESS MEXICO SA DE CV</t>
  </si>
  <si>
    <t>GRUPO COANSAMEX SA DE CV</t>
  </si>
  <si>
    <t>ALEJANDRO MEDINA MARTINEZ</t>
  </si>
  <si>
    <t>FRUVER SA DE CV</t>
  </si>
  <si>
    <t>Page 5</t>
  </si>
  <si>
    <t>PROMOTORA INDUSTRIAL GIM SA DE CV</t>
  </si>
  <si>
    <t>SUPERIOR BRIGHT TECHNOLOGIES S RL DE CV</t>
  </si>
  <si>
    <t>AB POLLO SA DE CV</t>
  </si>
  <si>
    <t>IMPRESOS Y ARTICULOS DE PUBLICIDAD SA DE CV</t>
  </si>
  <si>
    <t>TOMAS RAMON MIRANDA GRANILLO</t>
  </si>
  <si>
    <t>MOLINOS AZTECA SA DE CV</t>
  </si>
  <si>
    <t>HAWKER BEECH DE MEXICO S DE RL DE CV</t>
  </si>
  <si>
    <t>ADMINISTRACION Y CONSULTORIAS DE CHIHUAHUA SA DE C</t>
  </si>
  <si>
    <t>FLOR SARAHI CHAVEZ CHAVEZ</t>
  </si>
  <si>
    <t>GRUPO CALIBEB SA DE CV</t>
  </si>
  <si>
    <t>OPERADORA FUTURAMA SA DE CV</t>
  </si>
  <si>
    <t>DEUTSCHE BANK MEXICO SA INST DE BANCA MULTIPLE DIV</t>
  </si>
  <si>
    <t>ACEROS LEVINSON SA DE CV</t>
  </si>
  <si>
    <t>MELOONES BAR AND GRILL SA DE CV</t>
  </si>
  <si>
    <t>IPC INDUSTRIAL SA DE CV</t>
  </si>
  <si>
    <t>1122-11886</t>
  </si>
  <si>
    <t>GENESIS SERVICIOS Y DESARROLLO INMOBILIARIOS SA DE CV</t>
  </si>
  <si>
    <t>CARLOS ENRIQUE ARZATE ONTIVEROS</t>
  </si>
  <si>
    <t>DSV SOLUTIONS SA DE CV</t>
  </si>
  <si>
    <t>SAFRAN ELECTRICAL &amp; POWER CHIHUAHUA SA DE CV</t>
  </si>
  <si>
    <t>FARMACIAS DE SIMILARES SA DE CV</t>
  </si>
  <si>
    <t>TECNOLOGIA EN MAQUINADOS DE CHIH S DE RL DE MI</t>
  </si>
  <si>
    <t>ADMINISTRACION CENTRO COMERCIAL AC</t>
  </si>
  <si>
    <t>MAQUINAS DIESEL SA DE CV</t>
  </si>
  <si>
    <t>Page 6</t>
  </si>
  <si>
    <t>SERVICIOS GASOLINEROS DE MEXICO SA DE CV</t>
  </si>
  <si>
    <t>DSV AIR AND SEA SA DE CV</t>
  </si>
  <si>
    <t>QUMA SERVICES MEXICO SA DE CV</t>
  </si>
  <si>
    <t>YESSICA JAZMIN SALAZAR MONTES</t>
  </si>
  <si>
    <t>XCF SA DE CV</t>
  </si>
  <si>
    <t>FASTENAL MEXICO S DE RL DE CV</t>
  </si>
  <si>
    <t>FIDEICOMISO NUMERO F/128</t>
  </si>
  <si>
    <t>CORPORATIVO ELECTRONICO DE CHIHUAHUA SA DE CV</t>
  </si>
  <si>
    <t>AXTEL SAB DE CV</t>
  </si>
  <si>
    <t>DOMINGUEZ HTAS DE MEXICO SA DE CV</t>
  </si>
  <si>
    <t>ACCESORIOS Y MAQUINARIA GAMO SA DE CV</t>
  </si>
  <si>
    <t>AVITAR DEL NORTE SA DE CV</t>
  </si>
  <si>
    <t>SERVICIOS ADMINISTRATIVOS OSLO SA DE CV</t>
  </si>
  <si>
    <t>PETRA BORBON WILLIS</t>
  </si>
  <si>
    <t>1122-11937</t>
  </si>
  <si>
    <t>CONTINENTAL CONTITECH DE CHIHUAHUA S DE RL DE CV</t>
  </si>
  <si>
    <t>1122-11941</t>
  </si>
  <si>
    <t>AUTOZONE DE MEXICO S DE RL DE CV</t>
  </si>
  <si>
    <t>TAFI</t>
  </si>
  <si>
    <t>CENTRO DE FABRICANTES</t>
  </si>
  <si>
    <t>MAQUILADOS TECNICOS, S.A. C.V</t>
  </si>
  <si>
    <t>DAVOL SURGICAL INNOVATIONS</t>
  </si>
  <si>
    <t>SUPERMERCADOS GONZALEZ DE ALTAVISTA SA DE CV</t>
  </si>
  <si>
    <t>INST. DE APOYO AL DESARROLLO TECNOLOGICO</t>
  </si>
  <si>
    <t>PRAXAIR MEXICO S. DE R.L. DE C.V.</t>
  </si>
  <si>
    <t>ALQUILADORA DE CASAS SA DE CV</t>
  </si>
  <si>
    <t>REPANOR DE MEXICO S DE RL DE CV</t>
  </si>
  <si>
    <t>DESARROLLOS INMOBILIARIOS BERMUDEZ SA DE CV</t>
  </si>
  <si>
    <t>Page 7</t>
  </si>
  <si>
    <t>DISTRIBUIDORA DE MAQUINARIA DEL NORTE SA DE CV</t>
  </si>
  <si>
    <t>REPUESTOS DEL NOROESTE S.A.</t>
  </si>
  <si>
    <t>QUIROPRODUCTOS DE CUAUHT. S.A</t>
  </si>
  <si>
    <t>PARQUE INDUSTRIAL INT.MEX.SA.</t>
  </si>
  <si>
    <t>C.I.A.D.  A.C.</t>
  </si>
  <si>
    <t>LEONI CABLE, SA. DE C.V.</t>
  </si>
  <si>
    <t>INTERMETRO DE MEXICO S. DE R.L.</t>
  </si>
  <si>
    <t>CASTMETAL FWF DE MEXICO S DE RL DE CV</t>
  </si>
  <si>
    <t>1122-31030</t>
  </si>
  <si>
    <t>AGROINDUSTRIAL MIÑACA SPR DE RL DE CV</t>
  </si>
  <si>
    <t>KALISCH CHATARRA, S.A. DE C.V</t>
  </si>
  <si>
    <t>PARQUE INDUSTRIAL INT. MEX.SA</t>
  </si>
  <si>
    <t>KALISCH FIERRO Y ACERO SA DE CV</t>
  </si>
  <si>
    <t>SUN VIEW FOODS SA DE CV</t>
  </si>
  <si>
    <t>GAS NATURAL DE JUAREZ SA DE CV</t>
  </si>
  <si>
    <t>GTOS. MEDICOS AXA</t>
  </si>
  <si>
    <t>SRIA. DE INNOVACION Y DES. ECONOMICO</t>
  </si>
  <si>
    <t>IVA IDENTIFICADO</t>
  </si>
  <si>
    <t>IVA NO IDENTIFICADO</t>
  </si>
  <si>
    <t>IVA PEND DE ACREDITAR</t>
  </si>
  <si>
    <t>IVA NO IDENT PEND ACREDITAR</t>
  </si>
  <si>
    <t>1125</t>
  </si>
  <si>
    <t>DEUDORES POR ANTICIPOS DE LA TESORERÍA A CORTO PLAZO</t>
  </si>
  <si>
    <t>1130</t>
  </si>
  <si>
    <t>ANTICIPO A PROVEEDORES POR ADQUISICIÓN DE BIENES Y PRESTACIÓN DE SERVICIOS A CORTO PLAZO</t>
  </si>
  <si>
    <t>ANTICIPO A PROVEEDORES POR ADQUISICIÓN DE BIENES INTANGIBLES A CORTO PLAZO</t>
  </si>
  <si>
    <t>SEGUROS Y FIANZAS</t>
  </si>
  <si>
    <t>CUOTAS Y SUSCRIPCIONES</t>
  </si>
  <si>
    <t>Page 8</t>
  </si>
  <si>
    <t>1190</t>
  </si>
  <si>
    <t>CFE</t>
  </si>
  <si>
    <t>1200</t>
  </si>
  <si>
    <t>1210</t>
  </si>
  <si>
    <t>CASINO CHIHUAHUA</t>
  </si>
  <si>
    <t>CIMAV S.C.</t>
  </si>
  <si>
    <t>1230</t>
  </si>
  <si>
    <t>TERRENOS CHIHUAHUA</t>
  </si>
  <si>
    <t>TERRENOS JUAREZ</t>
  </si>
  <si>
    <t>TERRENOS CUAUHTEMOC</t>
  </si>
  <si>
    <t>TERRENOS PARRAL</t>
  </si>
  <si>
    <t>TERRENOS CASAS GRANDES</t>
  </si>
  <si>
    <t>TERRENOS ANAHUAC</t>
  </si>
  <si>
    <t>TERRENOS CRUCES FRONTERIZOS</t>
  </si>
  <si>
    <t>TERRENOS DELICIAS</t>
  </si>
  <si>
    <t>TERRENOS ALDAMA</t>
  </si>
  <si>
    <t>TERRENOS CAMARGO</t>
  </si>
  <si>
    <t>TERRENOS ROSALES</t>
  </si>
  <si>
    <t>1233-5831</t>
  </si>
  <si>
    <t>DEP. EDIFICIOS NO HABITACIONALES</t>
  </si>
  <si>
    <t>1240</t>
  </si>
  <si>
    <t>MUEBLES DE OFICINA Y ESRANTERIA</t>
  </si>
  <si>
    <t>EQ. COMPUTO</t>
  </si>
  <si>
    <t>AUTOMOVILES Y CAMIONES</t>
  </si>
  <si>
    <t>Page 9</t>
  </si>
  <si>
    <t>MAQ. Y EQ. INDUSTRIAL</t>
  </si>
  <si>
    <t>1252</t>
  </si>
  <si>
    <t>PATENTES, MARCAS Y DERECHOS</t>
  </si>
  <si>
    <t>1252-59401</t>
  </si>
  <si>
    <t>DERECHOS</t>
  </si>
  <si>
    <t>1254</t>
  </si>
  <si>
    <t>LICENCIAS</t>
  </si>
  <si>
    <t>1254-59701</t>
  </si>
  <si>
    <t>1260</t>
  </si>
  <si>
    <t>DEP. EDIFICIOS NO RESIDENCIALES</t>
  </si>
  <si>
    <t>DEP. MUEBLES DE OF. Y ESTANTERIA</t>
  </si>
  <si>
    <t>DEP. EQ. COMPUTO Y DE TEC. DE LA INFORMACION</t>
  </si>
  <si>
    <t>DEP. AUTOMOVILES Y CAMIONES</t>
  </si>
  <si>
    <t>DEP. MAQ Y EQ INDUSTRIAL</t>
  </si>
  <si>
    <t>2000</t>
  </si>
  <si>
    <t>2100</t>
  </si>
  <si>
    <t>PASIVO CIRCULANTE</t>
  </si>
  <si>
    <t>2110</t>
  </si>
  <si>
    <t>CUENTAS POR PAGAR A CORTO PLAZO</t>
  </si>
  <si>
    <t>Remuneración por pagar al Personal de carácter permanente a CP</t>
  </si>
  <si>
    <t>2111-1-11301</t>
  </si>
  <si>
    <t>SUELDO BASE A PERSONAL PERMANENTE</t>
  </si>
  <si>
    <t>Remuneraciones Adicionales y Especiales por Pagar a CP</t>
  </si>
  <si>
    <t>2111-3-13301</t>
  </si>
  <si>
    <t>2111-4-14301</t>
  </si>
  <si>
    <t>APORTACIONES FONDO PROPIO PENSIONES</t>
  </si>
  <si>
    <t>2111-4-14401</t>
  </si>
  <si>
    <t>CUOTAS PARA SEGURO DE VIDA</t>
  </si>
  <si>
    <t>Otras prestaciones sociales y económicas por pagar a CP</t>
  </si>
  <si>
    <t>2111-5-15101</t>
  </si>
  <si>
    <t>CUOTAS PARA FONDO DE AHORRO</t>
  </si>
  <si>
    <t>2111-5-15407</t>
  </si>
  <si>
    <t>Deudas por Adquisición de Bienes y Contratación de Servicios por Pagar a CP</t>
  </si>
  <si>
    <t>CFE SUMINISTRADOR DE SERVICIOS BASICOS</t>
  </si>
  <si>
    <t>Page 10</t>
  </si>
  <si>
    <t>2112-1-31101</t>
  </si>
  <si>
    <t>ENERGÍA ELÉCTRICA</t>
  </si>
  <si>
    <t>2112-1-33301</t>
  </si>
  <si>
    <t>SERV. CONSULTORIA Y ADMVA, PROCESOS</t>
  </si>
  <si>
    <t>2112-1-33401</t>
  </si>
  <si>
    <t>SERVICIOS DE CAPACITACIÓN</t>
  </si>
  <si>
    <t>2112-1-34101</t>
  </si>
  <si>
    <t>2112-1-34501</t>
  </si>
  <si>
    <t>SEGUROS DE BIENES PATRIMONIALES</t>
  </si>
  <si>
    <t>2112-1-35101</t>
  </si>
  <si>
    <t>CONSERVACIÓN  Y MTTO. MENOR DE INMUEBLES</t>
  </si>
  <si>
    <t>2112-1-37501</t>
  </si>
  <si>
    <t>VIÁTICOS EN EL PAÍS</t>
  </si>
  <si>
    <t>2112-1-39201</t>
  </si>
  <si>
    <t>IMPUESTOS Y DERECHOS</t>
  </si>
  <si>
    <t>2115</t>
  </si>
  <si>
    <t>TRANSFERENCIAS OTORGADAS POR PAGAR A CORTO PLAZO</t>
  </si>
  <si>
    <t>2115-41503</t>
  </si>
  <si>
    <t>DIFERENCIAL SERVICIO MEDICO PENSIONES</t>
  </si>
  <si>
    <t>2115-45101</t>
  </si>
  <si>
    <t>PENSIONADOS</t>
  </si>
  <si>
    <t>RETENCIONES Y CONTRIBUCIONES POR PAGAR A CORTO PLAZO</t>
  </si>
  <si>
    <t>ISPT</t>
  </si>
  <si>
    <t>PENSIONES CIVILES DEL EDO.</t>
  </si>
  <si>
    <t>I.V.A.</t>
  </si>
  <si>
    <t>IVA PEND DE PAGAR</t>
  </si>
  <si>
    <t>2119-10003</t>
  </si>
  <si>
    <t>FONDO DE AHORRO</t>
  </si>
  <si>
    <t>ICHISAL SERVICIO MEDICO</t>
  </si>
  <si>
    <t>RET. SEG. EMPLEADOS</t>
  </si>
  <si>
    <t>TESORERIA DE LA FEDERACION</t>
  </si>
  <si>
    <t>Page 11</t>
  </si>
  <si>
    <t>3000</t>
  </si>
  <si>
    <t>3100</t>
  </si>
  <si>
    <t>HACIENDA PÚBLICA/PATRIMONIO CONTRIBUIDO</t>
  </si>
  <si>
    <t>ACT. HACIENDA PUBLICA</t>
  </si>
  <si>
    <t>3200</t>
  </si>
  <si>
    <t>HACIENDA PÚBLICA /PATRIMONIO GENERADO</t>
  </si>
  <si>
    <t>ACT. REAS 1997</t>
  </si>
  <si>
    <t>REAS 1998</t>
  </si>
  <si>
    <t>REAS 1999</t>
  </si>
  <si>
    <t>REAS 2000</t>
  </si>
  <si>
    <t>REAS 2001</t>
  </si>
  <si>
    <t>REAS 2002</t>
  </si>
  <si>
    <t>REAS 2003</t>
  </si>
  <si>
    <t>REAS 2004</t>
  </si>
  <si>
    <t>REAS 2005</t>
  </si>
  <si>
    <t>REAS 2006</t>
  </si>
  <si>
    <t>REAS 2007</t>
  </si>
  <si>
    <t>REAS 2008</t>
  </si>
  <si>
    <t>REAS 2009</t>
  </si>
  <si>
    <t>REAS 2010</t>
  </si>
  <si>
    <t>REAS 2011</t>
  </si>
  <si>
    <t>RESULTADO EJERCICIO 2012</t>
  </si>
  <si>
    <t>RESULTADO EJERCICIO 2013</t>
  </si>
  <si>
    <t>RESULTADO EJERCICIO 2014</t>
  </si>
  <si>
    <t>RESULTADO EJERCICIO 2015</t>
  </si>
  <si>
    <t>3220-02016</t>
  </si>
  <si>
    <t>RESULTADO EJERCICIO 2016</t>
  </si>
  <si>
    <t>3220-02017</t>
  </si>
  <si>
    <t>RESULTADO EJERCICIO 2017</t>
  </si>
  <si>
    <t>3300</t>
  </si>
  <si>
    <t>EXCESO O INSUFICIENCIA EN LA ACTUALIZACIÓN DE LA HACIENDA PÚBLICA/ PATRIMONIO</t>
  </si>
  <si>
    <t>RESULTADO POR POSICION MONETARIA</t>
  </si>
  <si>
    <t>4000</t>
  </si>
  <si>
    <t>4100</t>
  </si>
  <si>
    <t>INGRESOS DE GESTIÓN</t>
  </si>
  <si>
    <t>4170</t>
  </si>
  <si>
    <t>4173-2</t>
  </si>
  <si>
    <t>4173-2-10001</t>
  </si>
  <si>
    <t>SERVICIO DE VIGILANCIA CHIHUAHUA</t>
  </si>
  <si>
    <t>Page 12</t>
  </si>
  <si>
    <t>POR AGUA CHIHUAHUA</t>
  </si>
  <si>
    <t>MTTO. Y OP. AREAS VERDES CHIHUAHUA</t>
  </si>
  <si>
    <t>VARIOS CHIHUAHUA</t>
  </si>
  <si>
    <t>POR AGUA JUAREZ</t>
  </si>
  <si>
    <t>MTTO. Y OP. AREAS VERDES JUAREZ</t>
  </si>
  <si>
    <t>SERVICIO DE VIGILANCIA CUAUHTEMOC</t>
  </si>
  <si>
    <t>POR AGUA CUAUHTEMOC</t>
  </si>
  <si>
    <t>MTTO. Y OP. AREAS VERDES CUAUHTEMOC</t>
  </si>
  <si>
    <t>POR AGUA PAQUIME</t>
  </si>
  <si>
    <t>MTTO. Y OP. AREAS VERDES PAQUIME</t>
  </si>
  <si>
    <t>MTTO. Y AREAS VERDES PARQUE SUR</t>
  </si>
  <si>
    <t>4300</t>
  </si>
  <si>
    <t>OTROS INGRESOS Y BENEFICIOS</t>
  </si>
  <si>
    <t>4310</t>
  </si>
  <si>
    <t>INGRESOS FINANCIEROS</t>
  </si>
  <si>
    <t>RENDIMIENTOS POR INVERSIONES</t>
  </si>
  <si>
    <t>RENDIMIENTOS BANCARIOS</t>
  </si>
  <si>
    <t>4390</t>
  </si>
  <si>
    <t>OTROS ING VARIOS</t>
  </si>
  <si>
    <t>5000</t>
  </si>
  <si>
    <t>5100</t>
  </si>
  <si>
    <t>5110</t>
  </si>
  <si>
    <t>5111-11301</t>
  </si>
  <si>
    <t>5113-13301</t>
  </si>
  <si>
    <t>5114-14301</t>
  </si>
  <si>
    <t>5114-14401</t>
  </si>
  <si>
    <t>5115-15101</t>
  </si>
  <si>
    <t>5115-15407</t>
  </si>
  <si>
    <t>5120</t>
  </si>
  <si>
    <t>MATERIALES DE ADMINISTRACIÓN, EMISIÓN DE DOCUMENTOS Y ARTÍCULOS OFICIALES</t>
  </si>
  <si>
    <t>5126-26101</t>
  </si>
  <si>
    <t>5130</t>
  </si>
  <si>
    <t>Page 13</t>
  </si>
  <si>
    <t>5131-31101</t>
  </si>
  <si>
    <t>5131-31301</t>
  </si>
  <si>
    <t>SERVICIOS PROFESIONALES, CIENTÍFICOS Y TÉCNICOS Y OTROS SERVICIOS</t>
  </si>
  <si>
    <t>5133-33301</t>
  </si>
  <si>
    <t>5133-33401</t>
  </si>
  <si>
    <t>5133-33901</t>
  </si>
  <si>
    <t>SERVICIOS PROFESIONALES, CIENT. Y TECNICOS</t>
  </si>
  <si>
    <t>5134-34101</t>
  </si>
  <si>
    <t>5134-34501</t>
  </si>
  <si>
    <t>SERVICIOS DE INSTALACIÓN, REPARACIÓN, MANTENIMIENTO Y CONSERVACIÓN</t>
  </si>
  <si>
    <t>5135-35101</t>
  </si>
  <si>
    <t>5135-35801</t>
  </si>
  <si>
    <t>SERVICIOS DE LIMPIEZA Y MANEJO DE DESECHOS</t>
  </si>
  <si>
    <t>5137-37501</t>
  </si>
  <si>
    <t>5139-39201</t>
  </si>
  <si>
    <t>5200</t>
  </si>
  <si>
    <t>TRANSFERENCIAS, ASIGNACIONES, SUBSIDIOS Y OTRAS AYUDAS</t>
  </si>
  <si>
    <t>5210</t>
  </si>
  <si>
    <t>TRANSFERENCIAS INTERNAS Y ASIGNACIONES AL SECTOR PÚBLICO</t>
  </si>
  <si>
    <t>5212</t>
  </si>
  <si>
    <t>TRANSFERENCIAS INTERNAS AL SECTOR PÚBLICO</t>
  </si>
  <si>
    <t>5212-41503</t>
  </si>
  <si>
    <t>5250</t>
  </si>
  <si>
    <t>PENSIONES Y JUBILACIONES</t>
  </si>
  <si>
    <t>5251</t>
  </si>
  <si>
    <t>PENSIONES</t>
  </si>
  <si>
    <t>5251-45101</t>
  </si>
  <si>
    <t>5500</t>
  </si>
  <si>
    <t>5510</t>
  </si>
  <si>
    <t>ESTIMACIONES, DEPRECIACIONES, DETERIOROS, OBSOLESCENCIA Y AMORTIZACIONES</t>
  </si>
  <si>
    <t>DEP. MUEBLES DE OFICINA</t>
  </si>
  <si>
    <t>DEP. MAQ. Y EQ. INDUSTRIAL</t>
  </si>
  <si>
    <t>Page 14</t>
  </si>
  <si>
    <t>OTROS GASTOS NO DEDUCIBLES</t>
  </si>
  <si>
    <t>OTROS GASTOS DIVERSOS</t>
  </si>
  <si>
    <t>8000</t>
  </si>
  <si>
    <t>8100</t>
  </si>
  <si>
    <t>SERVICIO DE VIGILANCIA PARQUE SUR</t>
  </si>
  <si>
    <t>Page 15</t>
  </si>
  <si>
    <t>8200</t>
  </si>
  <si>
    <t>8210-14898-0101-01-11301-1</t>
  </si>
  <si>
    <t>SUELDO BASE A PERSONAL PERMANENTE G. Corriente</t>
  </si>
  <si>
    <t>Page 16</t>
  </si>
  <si>
    <t>8210-14898-0101-01-13201-1</t>
  </si>
  <si>
    <t>GRATIFICACION ANUAL G. Corriente</t>
  </si>
  <si>
    <t>8210-14898-0101-01-13202-1</t>
  </si>
  <si>
    <t>PRIMA VACACIONAL G. Corriente</t>
  </si>
  <si>
    <t>8210-14898-0101-01-14102-1</t>
  </si>
  <si>
    <t>APORTACIONES AL ICHISAL G. Corriente</t>
  </si>
  <si>
    <t>8210-14898-0101-01-14301-1</t>
  </si>
  <si>
    <t>APORTACIONES FONDO PROPIO PENSIONES G. Corriente</t>
  </si>
  <si>
    <t>8210-14898-0101-01-14401-1</t>
  </si>
  <si>
    <t>CUOTAS PARA SEGURO DE VIDA G. Corriente</t>
  </si>
  <si>
    <t>8210-14898-0101-01-15101-1</t>
  </si>
  <si>
    <t>CUOTAS PARA FONDO DE AHORRO G. Corriente</t>
  </si>
  <si>
    <t>8210-14898-0101-01-15407-1</t>
  </si>
  <si>
    <t>DESPENSA G. Corriente</t>
  </si>
  <si>
    <t>8210-14898-0101-02-33801-1</t>
  </si>
  <si>
    <t>SERVICIOS DE VIGILANCIA G. Corriente</t>
  </si>
  <si>
    <t>8210-14898-0101-04-33801-1</t>
  </si>
  <si>
    <t>8210-14898-0101-07-33801-1</t>
  </si>
  <si>
    <t>8210-14898-0102-01-11301-1</t>
  </si>
  <si>
    <t>8210-14898-0102-01-13201-1</t>
  </si>
  <si>
    <t>8210-14898-0102-01-13202-1</t>
  </si>
  <si>
    <t>8210-14898-0102-01-14102-1</t>
  </si>
  <si>
    <t>8210-14898-0102-01-14301-1</t>
  </si>
  <si>
    <t>8210-14898-0102-01-14401-1</t>
  </si>
  <si>
    <t>8210-14898-0102-01-15101-1</t>
  </si>
  <si>
    <t>8210-14898-0102-01-15407-1</t>
  </si>
  <si>
    <t>8210-14898-0102-02-26101-1</t>
  </si>
  <si>
    <t>COMBUSTIBLES G. Corriente</t>
  </si>
  <si>
    <t>8210-14898-0102-02-31101-1</t>
  </si>
  <si>
    <t>ENERGÍA ELÉCTRICA G. Corriente</t>
  </si>
  <si>
    <t>SERVICIOS PROFESIONALES, CIENT. Y TECNICOS G. Corriente</t>
  </si>
  <si>
    <t>8210-14898-0102-02-34501-1</t>
  </si>
  <si>
    <t>SEGUROS DE BIENES PATRIMONIALES G. Corriente</t>
  </si>
  <si>
    <t>8210-14898-0102-02-35101-1</t>
  </si>
  <si>
    <t>CONSERVACIÓN  Y MTTO. MENOR DE INMUEBLES G. Corriente</t>
  </si>
  <si>
    <t>8210-14898-0102-03-31101-1</t>
  </si>
  <si>
    <t>8210-14898-0102-03-35101-1</t>
  </si>
  <si>
    <t>8210-14898-0102-04-31101-1</t>
  </si>
  <si>
    <t>8210-14898-0102-04-35101-1</t>
  </si>
  <si>
    <t>8210-14898-0102-05-35101-1</t>
  </si>
  <si>
    <t>8210-14898-0102-06-31101-1</t>
  </si>
  <si>
    <t>8210-14898-0102-06-35101-1</t>
  </si>
  <si>
    <t>8210-14898-0102-07-31101-1</t>
  </si>
  <si>
    <t>8210-14898-0102-07-35101-1</t>
  </si>
  <si>
    <t>8210-14898-0103-01-11301-1</t>
  </si>
  <si>
    <t>8210-14898-0103-01-13201-1</t>
  </si>
  <si>
    <t>8210-14898-0103-01-13202-1</t>
  </si>
  <si>
    <t>8210-14898-0103-01-14102-1</t>
  </si>
  <si>
    <t>8210-14898-0103-01-14301-1</t>
  </si>
  <si>
    <t>8210-14898-0103-01-14401-1</t>
  </si>
  <si>
    <t>Page 17</t>
  </si>
  <si>
    <t>8210-14898-0103-01-15101-1</t>
  </si>
  <si>
    <t>8210-14898-0103-01-15407-1</t>
  </si>
  <si>
    <t>8210-14898-0103-02-31301-1</t>
  </si>
  <si>
    <t>AGUA G. Corriente</t>
  </si>
  <si>
    <t>8210-14898-0103-02-35701-1</t>
  </si>
  <si>
    <t>INST. REP. Y MTTO. DE MAQUINARIA G. Corriente</t>
  </si>
  <si>
    <t>8210-14898-0103-03-31301-1</t>
  </si>
  <si>
    <t>8210-14898-0103-03-35701-1</t>
  </si>
  <si>
    <t>8210-14898-0103-04-31301-1</t>
  </si>
  <si>
    <t>8210-14898-0103-04-35701-1</t>
  </si>
  <si>
    <t>8210-14898-0103-06-31301-1</t>
  </si>
  <si>
    <t>8210-14898-0103-06-35701-1</t>
  </si>
  <si>
    <t>8210-14898-0201-01-11301-1</t>
  </si>
  <si>
    <t>8210-14898-0201-01-13201-1</t>
  </si>
  <si>
    <t>8210-14898-0201-01-13202-1</t>
  </si>
  <si>
    <t>HORAS EXTRAS G. Corriente</t>
  </si>
  <si>
    <t>8210-14898-0201-01-14102-1</t>
  </si>
  <si>
    <t>8210-14898-0201-01-14301-1</t>
  </si>
  <si>
    <t>8210-14898-0201-01-14401-1</t>
  </si>
  <si>
    <t>8210-14898-0201-01-15101-1</t>
  </si>
  <si>
    <t>8210-14898-0201-01-15407-1</t>
  </si>
  <si>
    <t>8210-14898-0201-01-21101-1</t>
  </si>
  <si>
    <t>MATERIALES, UTILES Y EQ. MENORES OFICINA G. Corriente</t>
  </si>
  <si>
    <t>8210-14898-0201-01-21201-1</t>
  </si>
  <si>
    <t>MATERIALES Y UTILES DE  IMPRESIÓN G. Corriente</t>
  </si>
  <si>
    <t>8210-14898-0201-01-21601-1</t>
  </si>
  <si>
    <t>MATERIAL DE LIMPIEZA G. Corriente</t>
  </si>
  <si>
    <t>8210-14898-0201-01-22101-1</t>
  </si>
  <si>
    <t>PRODUCTOS ALIMENTICIOS PARA PERSONAS G. Corriente</t>
  </si>
  <si>
    <t>8210-14898-0201-01-25301-1</t>
  </si>
  <si>
    <t>MEDICINAS Y PRODUCTOS FARMACÉUTICOS G. Corriente</t>
  </si>
  <si>
    <t>8210-14898-0201-01-26101-1</t>
  </si>
  <si>
    <t>8210-14898-0201-01-31101-1</t>
  </si>
  <si>
    <t>8210-14898-0201-01-31201-1</t>
  </si>
  <si>
    <t>GAS G. Corriente</t>
  </si>
  <si>
    <t>8210-14898-0201-01-31401-1</t>
  </si>
  <si>
    <t>TELEFONÍA TRADICIONAL G. Corriente</t>
  </si>
  <si>
    <t>8210-14898-0201-01-31801-1</t>
  </si>
  <si>
    <t>SERVICIOS POSTALES Y TELEGRAFICOS G. Corriente</t>
  </si>
  <si>
    <t>8210-14898-0201-01-31901-1</t>
  </si>
  <si>
    <t>SERVICIOS INTEGRALES Y OTROS SERVICIOS G. Corriente</t>
  </si>
  <si>
    <t>8210-14898-0201-01-32901-1</t>
  </si>
  <si>
    <t>OTROS ARRENDAMIENTOS G. Corriente</t>
  </si>
  <si>
    <t>8210-14898-0201-01-33101-1</t>
  </si>
  <si>
    <t>SERVICIOS LEGALES CONTAB. Y AUDITORIA G. Corriente</t>
  </si>
  <si>
    <t>8210-14898-0201-01-33301-1</t>
  </si>
  <si>
    <t>SERV. CONSULTORIA Y ADMVA, PROCESOS G. Corriente</t>
  </si>
  <si>
    <t>8210-14898-0201-01-33401-1</t>
  </si>
  <si>
    <t>SERVICIOS DE CAPACITACIÓN G. Corriente</t>
  </si>
  <si>
    <t>8210-14898-0201-01-34101-1</t>
  </si>
  <si>
    <t>SERVICIOS FINANCIEROS Y BANCARIOS G. Corriente</t>
  </si>
  <si>
    <t>8210-14898-0201-01-34501-1</t>
  </si>
  <si>
    <t>8210-14898-0201-01-34901-1</t>
  </si>
  <si>
    <t>SERVICIOS FIN. BANC Y COMERCIALES G. Corriente</t>
  </si>
  <si>
    <t>8210-14898-0201-01-35101-1</t>
  </si>
  <si>
    <t>8210-14898-0201-01-35201-1</t>
  </si>
  <si>
    <t>INST. REP. Y MTTO. DE MOBILIARIO G. Corriente</t>
  </si>
  <si>
    <t>8210-14898-0201-01-35501-1</t>
  </si>
  <si>
    <t>REPARACIÓN Y MTTO EQUIPO DE TRANSPORTE G. Corriente</t>
  </si>
  <si>
    <t>8210-14898-0201-01-35801-1</t>
  </si>
  <si>
    <t>SERVICIOS DE LIMPIEZA Y MANEJO DE DESECHOS G. Corriente</t>
  </si>
  <si>
    <t>8210-14898-0201-01-39201-1</t>
  </si>
  <si>
    <t>IMPUESTOS Y DERECHOS G. Corriente</t>
  </si>
  <si>
    <t>8210-14898-0201-01-39801-1</t>
  </si>
  <si>
    <t>IMPUESTO SOBRE NÓMINAS G. Corriente</t>
  </si>
  <si>
    <t>Page 18</t>
  </si>
  <si>
    <t>8210-14898-0201-01-39901-1</t>
  </si>
  <si>
    <t>OTROS SERVICIOS GENERALES G. Corriente</t>
  </si>
  <si>
    <t>8210-14898-0201-01-41503-1</t>
  </si>
  <si>
    <t>DIFERENCIAL SERVICIO MEDICO PENSIONES G. Corriente</t>
  </si>
  <si>
    <t>8210-14898-0201-01-45101-4</t>
  </si>
  <si>
    <t>PENSIONADOS Pensiones y Jubilaciones</t>
  </si>
  <si>
    <t>8210-14898-0201-01-45201-4</t>
  </si>
  <si>
    <t>JUBILADOS Pensiones y Jubilaciones</t>
  </si>
  <si>
    <t>8210-14898-0202-01-11301-1</t>
  </si>
  <si>
    <t>8210-14898-0202-01-13201-1</t>
  </si>
  <si>
    <t>8210-14898-0202-01-13202-1</t>
  </si>
  <si>
    <t>8210-14898-0202-01-14102-1</t>
  </si>
  <si>
    <t>8210-14898-0202-01-14301-1</t>
  </si>
  <si>
    <t>8210-14898-0202-01-14401-1</t>
  </si>
  <si>
    <t>8210-14898-0202-01-15101-1</t>
  </si>
  <si>
    <t>8210-14898-0202-01-15407-1</t>
  </si>
  <si>
    <t>8210-14898-0202-01-33901-1</t>
  </si>
  <si>
    <t>8210-14898-0202-01-37501-1</t>
  </si>
  <si>
    <t>VIÁTICOS EN EL PAÍS G. Corriente</t>
  </si>
  <si>
    <t>8210-14898-0202-01-37601-1</t>
  </si>
  <si>
    <t>VIÁTICOS EN EL EXTRANJERO G. Corriente</t>
  </si>
  <si>
    <t>8210-14898-0202-01-38301-1</t>
  </si>
  <si>
    <t>CONGRESOS Y CONVENCIONES G. Corriente</t>
  </si>
  <si>
    <t>8210-14898-0202-01-38501-1</t>
  </si>
  <si>
    <t>REUNIONES OFICIALES G. Corriente</t>
  </si>
  <si>
    <t>8220-14898-0101-01-11301-1</t>
  </si>
  <si>
    <t>8220-14898-0101-01-13201-1</t>
  </si>
  <si>
    <t>8220-14898-0101-01-13202-1</t>
  </si>
  <si>
    <t>8220-14898-0101-01-14102-1</t>
  </si>
  <si>
    <t>8220-14898-0101-01-14301-1</t>
  </si>
  <si>
    <t>8220-14898-0101-01-14401-1</t>
  </si>
  <si>
    <t>8220-14898-0101-01-15101-1</t>
  </si>
  <si>
    <t>8220-14898-0101-01-15407-1</t>
  </si>
  <si>
    <t>8220-14898-0101-02-33801-1</t>
  </si>
  <si>
    <t>8220-14898-0101-04-33801-1</t>
  </si>
  <si>
    <t>8220-14898-0101-07-33801-1</t>
  </si>
  <si>
    <t>8220-14898-0102-01-11301-1</t>
  </si>
  <si>
    <t>8220-14898-0102-01-13201-1</t>
  </si>
  <si>
    <t>8220-14898-0102-01-13202-1</t>
  </si>
  <si>
    <t>8220-14898-0102-01-14102-1</t>
  </si>
  <si>
    <t>8220-14898-0102-01-14301-1</t>
  </si>
  <si>
    <t>8220-14898-0102-01-14401-1</t>
  </si>
  <si>
    <t>8220-14898-0102-01-15101-1</t>
  </si>
  <si>
    <t>8220-14898-0102-01-15407-1</t>
  </si>
  <si>
    <t>8220-14898-0102-02-26101-1</t>
  </si>
  <si>
    <t>8220-14898-0102-02-31101-1</t>
  </si>
  <si>
    <t>8220-14898-0102-02-34501-1</t>
  </si>
  <si>
    <t>8220-14898-0102-02-35101-1</t>
  </si>
  <si>
    <t>8220-14898-0102-03-31101-1</t>
  </si>
  <si>
    <t>Page 19</t>
  </si>
  <si>
    <t>8220-14898-0102-03-35101-1</t>
  </si>
  <si>
    <t>8220-14898-0102-04-31101-1</t>
  </si>
  <si>
    <t>8220-14898-0102-04-35101-1</t>
  </si>
  <si>
    <t>8220-14898-0102-05-35101-1</t>
  </si>
  <si>
    <t>8220-14898-0102-06-31101-1</t>
  </si>
  <si>
    <t>8220-14898-0102-06-35101-1</t>
  </si>
  <si>
    <t>8220-14898-0102-07-31101-1</t>
  </si>
  <si>
    <t>8220-14898-0102-07-35101-1</t>
  </si>
  <si>
    <t>8220-14898-0103-01-11301-1</t>
  </si>
  <si>
    <t>8220-14898-0103-01-13201-1</t>
  </si>
  <si>
    <t>8220-14898-0103-01-13202-1</t>
  </si>
  <si>
    <t>8220-14898-0103-01-14102-1</t>
  </si>
  <si>
    <t>8220-14898-0103-01-14301-1</t>
  </si>
  <si>
    <t>8220-14898-0103-01-14401-1</t>
  </si>
  <si>
    <t>8220-14898-0103-01-15101-1</t>
  </si>
  <si>
    <t>8220-14898-0103-01-15407-1</t>
  </si>
  <si>
    <t>8220-14898-0103-02-31301-1</t>
  </si>
  <si>
    <t>8220-14898-0103-02-35701-1</t>
  </si>
  <si>
    <t>8220-14898-0103-03-31301-1</t>
  </si>
  <si>
    <t>8220-14898-0103-03-35701-1</t>
  </si>
  <si>
    <t>8220-14898-0103-04-31301-1</t>
  </si>
  <si>
    <t>8220-14898-0103-04-35701-1</t>
  </si>
  <si>
    <t>8220-14898-0103-06-31301-1</t>
  </si>
  <si>
    <t>8220-14898-0103-06-35701-1</t>
  </si>
  <si>
    <t>8220-14898-0201-01-11301-1</t>
  </si>
  <si>
    <t>8220-14898-0201-01-13201-1</t>
  </si>
  <si>
    <t>8220-14898-0201-01-13202-1</t>
  </si>
  <si>
    <t>8220-14898-0201-01-14102-1</t>
  </si>
  <si>
    <t>8220-14898-0201-01-14301-1</t>
  </si>
  <si>
    <t>8220-14898-0201-01-14401-1</t>
  </si>
  <si>
    <t>8220-14898-0201-01-15101-1</t>
  </si>
  <si>
    <t>8220-14898-0201-01-15407-1</t>
  </si>
  <si>
    <t>8220-14898-0201-01-21101-1</t>
  </si>
  <si>
    <t>8220-14898-0201-01-21201-1</t>
  </si>
  <si>
    <t>8220-14898-0201-01-21601-1</t>
  </si>
  <si>
    <t>8220-14898-0201-01-22101-1</t>
  </si>
  <si>
    <t>8220-14898-0201-01-25301-1</t>
  </si>
  <si>
    <t>8220-14898-0201-01-26101-1</t>
  </si>
  <si>
    <t>Page 20</t>
  </si>
  <si>
    <t>8220-14898-0201-01-31101-1</t>
  </si>
  <si>
    <t>8220-14898-0201-01-31201-1</t>
  </si>
  <si>
    <t>8220-14898-0201-01-31401-1</t>
  </si>
  <si>
    <t>8220-14898-0201-01-31801-1</t>
  </si>
  <si>
    <t>8220-14898-0201-01-31901-1</t>
  </si>
  <si>
    <t>8220-14898-0201-01-32901-1</t>
  </si>
  <si>
    <t>8220-14898-0201-01-33101-1</t>
  </si>
  <si>
    <t>8220-14898-0201-01-33301-1</t>
  </si>
  <si>
    <t>8220-14898-0201-01-33401-1</t>
  </si>
  <si>
    <t>8220-14898-0201-01-34101-1</t>
  </si>
  <si>
    <t>8220-14898-0201-01-34501-1</t>
  </si>
  <si>
    <t>8220-14898-0201-01-34901-1</t>
  </si>
  <si>
    <t>8220-14898-0201-01-35101-1</t>
  </si>
  <si>
    <t>8220-14898-0201-01-35201-1</t>
  </si>
  <si>
    <t>8220-14898-0201-01-35501-1</t>
  </si>
  <si>
    <t>8220-14898-0201-01-35801-1</t>
  </si>
  <si>
    <t>8220-14898-0201-01-39201-1</t>
  </si>
  <si>
    <t>8220-14898-0201-01-39801-1</t>
  </si>
  <si>
    <t>8220-14898-0201-01-39901-1</t>
  </si>
  <si>
    <t>8220-14898-0201-01-41503-1</t>
  </si>
  <si>
    <t>8220-14898-0201-01-45101-4</t>
  </si>
  <si>
    <t>8220-14898-0201-01-45201-4</t>
  </si>
  <si>
    <t>8220-14898-0202-01-11301-1</t>
  </si>
  <si>
    <t>8220-14898-0202-01-13201-1</t>
  </si>
  <si>
    <t>8220-14898-0202-01-13202-1</t>
  </si>
  <si>
    <t>8220-14898-0202-01-14102-1</t>
  </si>
  <si>
    <t>8220-14898-0202-01-14301-1</t>
  </si>
  <si>
    <t>8220-14898-0202-01-14401-1</t>
  </si>
  <si>
    <t>8220-14898-0202-01-15101-1</t>
  </si>
  <si>
    <t>8220-14898-0202-01-15407-1</t>
  </si>
  <si>
    <t>8220-14898-0202-01-33901-1</t>
  </si>
  <si>
    <t>8220-14898-0202-01-37501-1</t>
  </si>
  <si>
    <t>8220-14898-0202-01-37601-1</t>
  </si>
  <si>
    <t>8220-14898-0202-01-38301-1</t>
  </si>
  <si>
    <t>8220-14898-0202-01-38501-1</t>
  </si>
  <si>
    <t>8240-14898-0101-01-11301-1</t>
  </si>
  <si>
    <t>8240-14898-0101-01-14301-1</t>
  </si>
  <si>
    <t>8240-14898-0101-01-14401-1</t>
  </si>
  <si>
    <t>8240-14898-0101-01-15101-1</t>
  </si>
  <si>
    <t>8240-14898-0101-01-15407-1</t>
  </si>
  <si>
    <t>8240-14898-0102-01-11301-1</t>
  </si>
  <si>
    <t>8240-14898-0102-01-14301-1</t>
  </si>
  <si>
    <t>8240-14898-0102-01-14401-1</t>
  </si>
  <si>
    <t>Page 21</t>
  </si>
  <si>
    <t>8240-14898-0102-01-15101-1</t>
  </si>
  <si>
    <t>8240-14898-0102-01-15407-1</t>
  </si>
  <si>
    <t>8240-14898-0102-02-31101-1</t>
  </si>
  <si>
    <t>8240-14898-0102-02-34501-1</t>
  </si>
  <si>
    <t>8240-14898-0102-02-35101-1</t>
  </si>
  <si>
    <t>8240-14898-0102-03-31101-1</t>
  </si>
  <si>
    <t>8240-14898-0102-04-31101-1</t>
  </si>
  <si>
    <t>8240-14898-0102-04-35101-1</t>
  </si>
  <si>
    <t>8240-14898-0102-06-31101-1</t>
  </si>
  <si>
    <t>8240-14898-0102-07-31101-1</t>
  </si>
  <si>
    <t>8240-14898-0102-07-35101-1</t>
  </si>
  <si>
    <t>8240-14898-0103-01-11301-1</t>
  </si>
  <si>
    <t>8240-14898-0103-01-14301-1</t>
  </si>
  <si>
    <t>8240-14898-0103-01-14401-1</t>
  </si>
  <si>
    <t>8240-14898-0103-01-15101-1</t>
  </si>
  <si>
    <t>8240-14898-0103-01-15407-1</t>
  </si>
  <si>
    <t>8240-14898-0103-02-31301-1</t>
  </si>
  <si>
    <t>8240-14898-0201-01-11301-1</t>
  </si>
  <si>
    <t>8240-14898-0201-01-14301-1</t>
  </si>
  <si>
    <t>8240-14898-0201-01-14401-1</t>
  </si>
  <si>
    <t>8240-14898-0201-01-15101-1</t>
  </si>
  <si>
    <t>8240-14898-0201-01-15407-1</t>
  </si>
  <si>
    <t>8240-14898-0201-01-26101-1</t>
  </si>
  <si>
    <t>8240-14898-0201-01-31101-1</t>
  </si>
  <si>
    <t>8240-14898-0201-01-33301-1</t>
  </si>
  <si>
    <t>8240-14898-0201-01-33401-1</t>
  </si>
  <si>
    <t>8240-14898-0201-01-34101-1</t>
  </si>
  <si>
    <t>8240-14898-0201-01-34501-1</t>
  </si>
  <si>
    <t>Page 22</t>
  </si>
  <si>
    <t>8240-14898-0201-01-35801-1</t>
  </si>
  <si>
    <t>8240-14898-0201-01-39201-1</t>
  </si>
  <si>
    <t>8240-14898-0201-01-41503-1</t>
  </si>
  <si>
    <t>8240-14898-0201-01-45101-4</t>
  </si>
  <si>
    <t>8240-14898-0202-01-11301-1</t>
  </si>
  <si>
    <t>8240-14898-0202-01-14301-1</t>
  </si>
  <si>
    <t>8240-14898-0202-01-14401-1</t>
  </si>
  <si>
    <t>8240-14898-0202-01-15101-1</t>
  </si>
  <si>
    <t>8240-14898-0202-01-15407-1</t>
  </si>
  <si>
    <t>8240-14898-0202-01-33901-1</t>
  </si>
  <si>
    <t>8240-14898-0202-01-37501-1</t>
  </si>
  <si>
    <t>8250-14898-0101-01-11301-1</t>
  </si>
  <si>
    <t>8250-14898-0101-01-14301-1</t>
  </si>
  <si>
    <t>8250-14898-0101-01-14401-1</t>
  </si>
  <si>
    <t>8250-14898-0101-01-15101-1</t>
  </si>
  <si>
    <t>8250-14898-0101-01-15407-1</t>
  </si>
  <si>
    <t>8250-14898-0102-01-11301-1</t>
  </si>
  <si>
    <t>8250-14898-0102-01-14301-1</t>
  </si>
  <si>
    <t>8250-14898-0102-01-14401-1</t>
  </si>
  <si>
    <t>8250-14898-0102-01-15101-1</t>
  </si>
  <si>
    <t>8250-14898-0102-01-15407-1</t>
  </si>
  <si>
    <t>8250-14898-0102-02-31101-1</t>
  </si>
  <si>
    <t>8250-14898-0102-02-34501-1</t>
  </si>
  <si>
    <t>8250-14898-0102-02-35101-1</t>
  </si>
  <si>
    <t>8250-14898-0102-03-31101-1</t>
  </si>
  <si>
    <t>8250-14898-0102-04-31101-1</t>
  </si>
  <si>
    <t>8250-14898-0102-04-35101-1</t>
  </si>
  <si>
    <t>8250-14898-0102-06-31101-1</t>
  </si>
  <si>
    <t>8250-14898-0102-07-31101-1</t>
  </si>
  <si>
    <t>8250-14898-0102-07-35101-1</t>
  </si>
  <si>
    <t>8250-14898-0103-01-11301-1</t>
  </si>
  <si>
    <t>8250-14898-0103-01-14301-1</t>
  </si>
  <si>
    <t>8250-14898-0103-01-14401-1</t>
  </si>
  <si>
    <t>8250-14898-0103-01-15101-1</t>
  </si>
  <si>
    <t>8250-14898-0103-01-15407-1</t>
  </si>
  <si>
    <t>8250-14898-0103-02-31301-1</t>
  </si>
  <si>
    <t>8250-14898-0201-01-11301-1</t>
  </si>
  <si>
    <t>Page 23</t>
  </si>
  <si>
    <t>8250-14898-0201-01-14301-1</t>
  </si>
  <si>
    <t>8250-14898-0201-01-14401-1</t>
  </si>
  <si>
    <t>8250-14898-0201-01-15101-1</t>
  </si>
  <si>
    <t>8250-14898-0201-01-15407-1</t>
  </si>
  <si>
    <t>8250-14898-0201-01-26101-1</t>
  </si>
  <si>
    <t>8250-14898-0201-01-31101-1</t>
  </si>
  <si>
    <t>8250-14898-0201-01-33301-1</t>
  </si>
  <si>
    <t>8250-14898-0201-01-33401-1</t>
  </si>
  <si>
    <t>8250-14898-0201-01-34101-1</t>
  </si>
  <si>
    <t>8250-14898-0201-01-34501-1</t>
  </si>
  <si>
    <t>8250-14898-0201-01-35801-1</t>
  </si>
  <si>
    <t>8250-14898-0201-01-39201-1</t>
  </si>
  <si>
    <t>8250-14898-0201-01-41503-1</t>
  </si>
  <si>
    <t>8250-14898-0201-01-45101-4</t>
  </si>
  <si>
    <t>8250-14898-0202-01-11301-1</t>
  </si>
  <si>
    <t>8250-14898-0202-01-14301-1</t>
  </si>
  <si>
    <t>8250-14898-0202-01-14401-1</t>
  </si>
  <si>
    <t>8250-14898-0202-01-15101-1</t>
  </si>
  <si>
    <t>8250-14898-0202-01-15407-1</t>
  </si>
  <si>
    <t>8250-14898-0202-01-33901-1</t>
  </si>
  <si>
    <t>8250-14898-0202-01-37501-1</t>
  </si>
  <si>
    <t>8260-14898-0101-01-11301-1</t>
  </si>
  <si>
    <t>8260-14898-0101-01-14301-1</t>
  </si>
  <si>
    <t>8260-14898-0101-01-14401-1</t>
  </si>
  <si>
    <t>8260-14898-0101-01-15101-1</t>
  </si>
  <si>
    <t>8260-14898-0101-01-15407-1</t>
  </si>
  <si>
    <t>8260-14898-0102-01-11301-1</t>
  </si>
  <si>
    <t>8260-14898-0102-01-14301-1</t>
  </si>
  <si>
    <t>8260-14898-0102-01-14401-1</t>
  </si>
  <si>
    <t>8260-14898-0102-01-15101-1</t>
  </si>
  <si>
    <t>8260-14898-0102-01-15407-1</t>
  </si>
  <si>
    <t>Page 24</t>
  </si>
  <si>
    <t>8260-14898-0102-02-31101-1</t>
  </si>
  <si>
    <t>8260-14898-0102-02-34501-1</t>
  </si>
  <si>
    <t>8260-14898-0102-02-35101-1</t>
  </si>
  <si>
    <t>8260-14898-0102-03-31101-1</t>
  </si>
  <si>
    <t>8260-14898-0102-04-31101-1</t>
  </si>
  <si>
    <t>8260-14898-0102-04-35101-1</t>
  </si>
  <si>
    <t>8260-14898-0102-06-31101-1</t>
  </si>
  <si>
    <t>8260-14898-0102-07-31101-1</t>
  </si>
  <si>
    <t>8260-14898-0102-07-35101-1</t>
  </si>
  <si>
    <t>8260-14898-0103-01-11301-1</t>
  </si>
  <si>
    <t>8260-14898-0103-01-14301-1</t>
  </si>
  <si>
    <t>8260-14898-0103-01-14401-1</t>
  </si>
  <si>
    <t>8260-14898-0103-01-15101-1</t>
  </si>
  <si>
    <t>8260-14898-0103-01-15407-1</t>
  </si>
  <si>
    <t>8260-14898-0103-02-31301-1</t>
  </si>
  <si>
    <t>8260-14898-0201-01-11301-1</t>
  </si>
  <si>
    <t>8260-14898-0201-01-14301-1</t>
  </si>
  <si>
    <t>8260-14898-0201-01-14401-1</t>
  </si>
  <si>
    <t>8260-14898-0201-01-15101-1</t>
  </si>
  <si>
    <t>8260-14898-0201-01-15407-1</t>
  </si>
  <si>
    <t>8260-14898-0201-01-26101-1</t>
  </si>
  <si>
    <t>8260-14898-0201-01-31101-1</t>
  </si>
  <si>
    <t>8260-14898-0201-01-33301-1</t>
  </si>
  <si>
    <t>8260-14898-0201-01-33401-1</t>
  </si>
  <si>
    <t>8260-14898-0201-01-34101-1</t>
  </si>
  <si>
    <t>8260-14898-0201-01-34501-1</t>
  </si>
  <si>
    <t>Page 25</t>
  </si>
  <si>
    <t>8260-14898-0201-01-35801-1</t>
  </si>
  <si>
    <t>8260-14898-0201-01-39201-1</t>
  </si>
  <si>
    <t>8260-14898-0201-01-41503-1</t>
  </si>
  <si>
    <t>8260-14898-0201-01-45101-4</t>
  </si>
  <si>
    <t>8260-14898-0202-01-11301-1</t>
  </si>
  <si>
    <t>8260-14898-0202-01-14301-1</t>
  </si>
  <si>
    <t>8260-14898-0202-01-14401-1</t>
  </si>
  <si>
    <t>8260-14898-0202-01-15101-1</t>
  </si>
  <si>
    <t>8260-14898-0202-01-15407-1</t>
  </si>
  <si>
    <t>8260-14898-0202-01-33901-1</t>
  </si>
  <si>
    <t>8260-14898-0202-01-37501-1</t>
  </si>
  <si>
    <t>8270-14898-0101-01-11301-1</t>
  </si>
  <si>
    <t>8270-14898-0101-01-14301-1</t>
  </si>
  <si>
    <t>8270-14898-0101-01-14401-1</t>
  </si>
  <si>
    <t>8270-14898-0101-01-15101-1</t>
  </si>
  <si>
    <t>8270-14898-0101-01-15407-1</t>
  </si>
  <si>
    <t>8270-14898-0102-01-11301-1</t>
  </si>
  <si>
    <t>8270-14898-0102-01-14301-1</t>
  </si>
  <si>
    <t>8270-14898-0102-01-14401-1</t>
  </si>
  <si>
    <t>8270-14898-0102-01-15101-1</t>
  </si>
  <si>
    <t>8270-14898-0102-01-15407-1</t>
  </si>
  <si>
    <t>8270-14898-0102-02-31101-1</t>
  </si>
  <si>
    <t>8270-14898-0102-02-34501-1</t>
  </si>
  <si>
    <t>8270-14898-0102-02-35101-1</t>
  </si>
  <si>
    <t>8270-14898-0102-03-31101-1</t>
  </si>
  <si>
    <t>8270-14898-0102-04-31101-1</t>
  </si>
  <si>
    <t>8270-14898-0102-04-35101-1</t>
  </si>
  <si>
    <t>8270-14898-0102-06-31101-1</t>
  </si>
  <si>
    <t>8270-14898-0102-07-31101-1</t>
  </si>
  <si>
    <t>8270-14898-0102-07-35101-1</t>
  </si>
  <si>
    <t>8270-14898-0103-01-11301-1</t>
  </si>
  <si>
    <t>8270-14898-0103-01-14301-1</t>
  </si>
  <si>
    <t>8270-14898-0103-01-14401-1</t>
  </si>
  <si>
    <t>8270-14898-0103-01-15101-1</t>
  </si>
  <si>
    <t>8270-14898-0103-01-15407-1</t>
  </si>
  <si>
    <t>8270-14898-0103-02-31301-1</t>
  </si>
  <si>
    <t>8270-14898-0201-01-11301-1</t>
  </si>
  <si>
    <t>Page 26</t>
  </si>
  <si>
    <t>8270-14898-0201-01-14301-1</t>
  </si>
  <si>
    <t>8270-14898-0201-01-14401-1</t>
  </si>
  <si>
    <t>8270-14898-0201-01-15101-1</t>
  </si>
  <si>
    <t>8270-14898-0201-01-15407-1</t>
  </si>
  <si>
    <t>8270-14898-0201-01-26101-1</t>
  </si>
  <si>
    <t>8270-14898-0201-01-31101-1</t>
  </si>
  <si>
    <t>8270-14898-0201-01-33301-1</t>
  </si>
  <si>
    <t>8270-14898-0201-01-33401-1</t>
  </si>
  <si>
    <t>8270-14898-0201-01-34101-1</t>
  </si>
  <si>
    <t>8270-14898-0201-01-34501-1</t>
  </si>
  <si>
    <t>8270-14898-0201-01-35801-1</t>
  </si>
  <si>
    <t>8270-14898-0201-01-39201-1</t>
  </si>
  <si>
    <t>8270-14898-0201-01-41503-1</t>
  </si>
  <si>
    <t>8270-14898-0201-01-45101-4</t>
  </si>
  <si>
    <t>8270-14898-0202-01-11301-1</t>
  </si>
  <si>
    <t>8270-14898-0202-01-14301-1</t>
  </si>
  <si>
    <t>8270-14898-0202-01-14401-1</t>
  </si>
  <si>
    <t>8270-14898-0202-01-15101-1</t>
  </si>
  <si>
    <t>8270-14898-0202-01-15407-1</t>
  </si>
  <si>
    <t>8270-14898-0202-01-33901-1</t>
  </si>
  <si>
    <t>8270-14898-0202-01-37501-1</t>
  </si>
  <si>
    <t>Page 27</t>
  </si>
  <si>
    <t>02:05 PM</t>
  </si>
  <si>
    <t>Saldo Inicial
1</t>
  </si>
  <si>
    <t>Cargos 
del
periodo 2</t>
  </si>
  <si>
    <t>Abonos
del
periodo 3</t>
  </si>
  <si>
    <t>Saldo Final
4(1+2-3)</t>
  </si>
  <si>
    <t>Variación del Periodo
(4-1)</t>
  </si>
  <si>
    <t>Ubicación</t>
  </si>
  <si>
    <t>Total hectáreas ocupadas</t>
  </si>
  <si>
    <t>Costo de Servicios prom. Mensual (Excepto Vig., Agua y Mto Pozos)</t>
  </si>
  <si>
    <t>METROS CÚBICOS DE AGUA</t>
  </si>
  <si>
    <t>1122-11035</t>
  </si>
  <si>
    <t>OPERAC. HOTELERAS DE CHIH,S.A</t>
  </si>
  <si>
    <t>1122-11077</t>
  </si>
  <si>
    <t>CIA. TELEFONOS Y B. RAICES.</t>
  </si>
  <si>
    <t>1122-11089</t>
  </si>
  <si>
    <t>ARRENDAMIENTOS ARMA SA DE CV</t>
  </si>
  <si>
    <t>1122-11702</t>
  </si>
  <si>
    <t>HELM DE MEXICO SA DE CV</t>
  </si>
  <si>
    <t>1122-11723</t>
  </si>
  <si>
    <t>PRECISION OMEGA SA DE CV</t>
  </si>
  <si>
    <t>1122-11907</t>
  </si>
  <si>
    <t>ADMINISTRADORA DE SERV. AEROPORTUARIOS DE CHIH SA DE CV</t>
  </si>
  <si>
    <t>1122-11940</t>
  </si>
  <si>
    <t>DISTRIBUIDORA KROMA SA DE CV</t>
  </si>
  <si>
    <t>1122-11943</t>
  </si>
  <si>
    <t>ALTO TERRA SA DE CV</t>
  </si>
  <si>
    <t>1122-11944</t>
  </si>
  <si>
    <t>PROMOTORA DE MICROINDUSTRIA DE CHIHUAHUA AC</t>
  </si>
  <si>
    <t>1122-31009</t>
  </si>
  <si>
    <t>2112-1-26101</t>
  </si>
  <si>
    <t>2112-1-31301</t>
  </si>
  <si>
    <t>2112-1-33901</t>
  </si>
  <si>
    <t>2112-1-35801</t>
  </si>
  <si>
    <t>2150</t>
  </si>
  <si>
    <t>PASIVOS DIFERIDOS A CORTO PLAZO</t>
  </si>
  <si>
    <t>2151</t>
  </si>
  <si>
    <t>INGRESOS COBRADOS POR ADELANTADO A CORTO PLAZO</t>
  </si>
  <si>
    <t>8240-14898-0102-02-26101-1</t>
  </si>
  <si>
    <t>8250-14898-0102-02-26101-1</t>
  </si>
  <si>
    <t>8260-14898-0102-02-26101-1</t>
  </si>
  <si>
    <t>8270-14898-0102-02-26101-1</t>
  </si>
  <si>
    <t>Page 28</t>
  </si>
  <si>
    <t>ING. FABIÁN ALEJANDRO SANTANA MÁRQUEZ</t>
  </si>
  <si>
    <t>1122-11894</t>
  </si>
  <si>
    <t>HERMILO VILLALOBOS CAÑAS</t>
  </si>
  <si>
    <t>1122-11942</t>
  </si>
  <si>
    <t>SOLUCHEFS S DE RL DE CV</t>
  </si>
  <si>
    <t>1122-11945</t>
  </si>
  <si>
    <t>FIDEICOMISO F/3236</t>
  </si>
  <si>
    <t>Grupo Yazaki, SA de CV</t>
  </si>
  <si>
    <t>Factura cancelada en cobranza y no en contabilidad</t>
  </si>
  <si>
    <t>CONSTRUCCIONES EN PROCESO</t>
  </si>
  <si>
    <t>1122-11836</t>
  </si>
  <si>
    <t>VIAKABLE SA DE CV</t>
  </si>
  <si>
    <t>1236</t>
  </si>
  <si>
    <t>CONSTRUCCIONES EN PROCESO EN BIENES PROPIOS</t>
  </si>
  <si>
    <t>1236-1</t>
  </si>
  <si>
    <t>Edificación Habitacional en Proceso</t>
  </si>
  <si>
    <t>Bourns de México S de RL de CV</t>
  </si>
  <si>
    <t>Cadena Comercial OXXO, SA de CV</t>
  </si>
  <si>
    <t>Casa Licorera FAGOM, SA de CV</t>
  </si>
  <si>
    <t>Casa Myers, SA</t>
  </si>
  <si>
    <t>Centro de Investigación en Materiales Avanzados</t>
  </si>
  <si>
    <t>Autozone de México, SA de CV</t>
  </si>
  <si>
    <t>Distribuodora Kroma, SA de CV</t>
  </si>
  <si>
    <t>Continental Contitech Chihuahua</t>
  </si>
  <si>
    <t>Alto Terra, SA de CV</t>
  </si>
  <si>
    <t>Soluchef S de RL de CV</t>
  </si>
  <si>
    <t>Instituto Trech S de RLMI</t>
  </si>
  <si>
    <t>Transportes Castores de Baja California, SA de CV</t>
  </si>
  <si>
    <t>Eticolor SA de CV</t>
  </si>
  <si>
    <t>Metecno SA de CV</t>
  </si>
  <si>
    <t>Surtidora Mexicana de Monterrey, SA</t>
  </si>
  <si>
    <t>1122-11952</t>
  </si>
  <si>
    <t>CONTRUCENTRO DE CHIHUAHUA SA DE CV</t>
  </si>
  <si>
    <t>1122-51026</t>
  </si>
  <si>
    <t>SOCORRO VEGA DOMINGUEZ</t>
  </si>
  <si>
    <t>SECRETARIA DE HACIENDA</t>
  </si>
  <si>
    <t>DIRECCION GENERAL DE EGRESOS</t>
  </si>
  <si>
    <t xml:space="preserve">ESTADO DE ORIGEN Y APLICACIÓN DE RECURSOS </t>
  </si>
  <si>
    <t>SALDO INICIAL</t>
  </si>
  <si>
    <t>SALDO FINAL</t>
  </si>
  <si>
    <t>ORIGEN</t>
  </si>
  <si>
    <t>APLICACIÓN</t>
  </si>
  <si>
    <t>FONDOS FIJOS</t>
  </si>
  <si>
    <t>INVERSIONES TEMPORALES</t>
  </si>
  <si>
    <t xml:space="preserve">ANTICIPO PROVEEDORES </t>
  </si>
  <si>
    <t xml:space="preserve">DEUDORES DIVERSOS </t>
  </si>
  <si>
    <t>CUENTAS POR COBRAR</t>
  </si>
  <si>
    <t>PAGOS ANTICIPADOS</t>
  </si>
  <si>
    <t>CREDITOS FISCALES POR ACREDITAR</t>
  </si>
  <si>
    <t>ESTIMACIÓN CUENTAS INCOBRABLES</t>
  </si>
  <si>
    <t>FIJO</t>
  </si>
  <si>
    <t>INVERSIONES A LARGO PLAZO</t>
  </si>
  <si>
    <t>DERECHOS A RECIBIR EFECTIVO A L.P.</t>
  </si>
  <si>
    <t>BIENES INMUEBLES</t>
  </si>
  <si>
    <t>DEPRECIACIÓN ACUMULADA DE BIENES</t>
  </si>
  <si>
    <t>ACTIVOS DIFERIDOS</t>
  </si>
  <si>
    <t>CONSTRUCCIONES PROC.</t>
  </si>
  <si>
    <t>TOTAL FIJO</t>
  </si>
  <si>
    <t>OTROS ACTIVOS</t>
  </si>
  <si>
    <t>DEPOSITOS EN GARANTIA</t>
  </si>
  <si>
    <t>LICENCIAS Y DERECHOS</t>
  </si>
  <si>
    <t>TOTAL DIFERIDO</t>
  </si>
  <si>
    <t>TOTAL ACTIVO</t>
  </si>
  <si>
    <t>ISSSTE POR PAGAR</t>
  </si>
  <si>
    <t>ACREEDORES DIVERSOS</t>
  </si>
  <si>
    <t>SUELDOS Y PREST POR PAGAR</t>
  </si>
  <si>
    <t>IMPUESTOS POR PAGAR</t>
  </si>
  <si>
    <t>PROVEEDORES</t>
  </si>
  <si>
    <t>OTROS DOC POR PAGAR A CORTO PLAZO</t>
  </si>
  <si>
    <t>PROVISIONES GASTOS POR PAGAR</t>
  </si>
  <si>
    <t>TOTAL PASIVO CIRCULANTE</t>
  </si>
  <si>
    <t>PASIVO DIFERIDO</t>
  </si>
  <si>
    <t>TOTAL PASIVO DIFERIDO</t>
  </si>
  <si>
    <t>TOTAL PASIVO</t>
  </si>
  <si>
    <t>P A T R I M O N I O</t>
  </si>
  <si>
    <t>EXCESO O INSUFICIENCIA ACTUALIZACION</t>
  </si>
  <si>
    <t>RESULTADO DE EJERC ANTERIORES</t>
  </si>
  <si>
    <t xml:space="preserve">RESULTADO DEL EJERCICIO </t>
  </si>
  <si>
    <t>TOTAL PATRIMONIO</t>
  </si>
  <si>
    <t>TOTAL PASIVO + PATRIMONIO</t>
  </si>
  <si>
    <t>RECURSOS GENERADOS</t>
  </si>
  <si>
    <t>RECURSOS APLICADOS A OPERACIÓN</t>
  </si>
  <si>
    <t>INCREMENTO O DISMINICION DE EFECTIVO</t>
  </si>
  <si>
    <t>PROMOTORA (parque Insurgentes)</t>
  </si>
  <si>
    <t>1122-11935</t>
  </si>
  <si>
    <t>1122-11948</t>
  </si>
  <si>
    <t>SURTIDORA MEXICANA DE MONTERREY SA</t>
  </si>
  <si>
    <t>1122-11950</t>
  </si>
  <si>
    <t>TRASNPORTES CASTORES DE BAJA CALIFORNIA SA DE CV</t>
  </si>
  <si>
    <t>1122-11953</t>
  </si>
  <si>
    <t>ADEMCO COMERCIAL Y CENTRO DE INV. Y DES. S DE RL DE CV</t>
  </si>
  <si>
    <t>1122-11958</t>
  </si>
  <si>
    <t>AFFA TRADE SAPI DE CV</t>
  </si>
  <si>
    <t>1122-31031</t>
  </si>
  <si>
    <t>PROMOTORES MEXICANOS DE LA EDUCACION AC</t>
  </si>
  <si>
    <t>2115-45201</t>
  </si>
  <si>
    <t>JUBILADOS</t>
  </si>
  <si>
    <t>5252</t>
  </si>
  <si>
    <t>JUBILACIONES</t>
  </si>
  <si>
    <t>5252-45201</t>
  </si>
  <si>
    <t>8240-14898-0201-01-45201-4</t>
  </si>
  <si>
    <t>8250-14898-0201-01-45201-4</t>
  </si>
  <si>
    <t>8260-14898-0201-01-45201-4</t>
  </si>
  <si>
    <t>8270-14898-0201-01-45201-4</t>
  </si>
  <si>
    <t>IVA DIFERIDO</t>
  </si>
  <si>
    <t>1122-11959</t>
  </si>
  <si>
    <t>SINDICATO NACIONAL DE TRABAJADORES DE LA EDUCACION SECCION VIII</t>
  </si>
  <si>
    <t>IGS INDUSTRIAL FUND III SAPI DE CV</t>
  </si>
  <si>
    <t>1122-11962</t>
  </si>
  <si>
    <t>PALOMINO RECTIFICACIONES SA DE CV</t>
  </si>
  <si>
    <t>1122-11963</t>
  </si>
  <si>
    <t>ORORA DE MEXICO SA DE CV</t>
  </si>
  <si>
    <t>1122-11964</t>
  </si>
  <si>
    <t>CONDUCTOS Y METALMECANICA SA DE CV</t>
  </si>
  <si>
    <t>Pago anticipado de clientes</t>
  </si>
  <si>
    <t>1122-11968</t>
  </si>
  <si>
    <t>HELENA TEICHROEB WOLF</t>
  </si>
  <si>
    <t>Citibanamex</t>
  </si>
  <si>
    <t>Resultado por Tenencias de Activos No Monetarios</t>
  </si>
  <si>
    <t>Mobiliario y equipo de cómputo</t>
  </si>
  <si>
    <t>PROMOTORA PARA EL DESARROLLO ECONÓMICO DE CHIHUAHUA</t>
  </si>
  <si>
    <t>1122-11946</t>
  </si>
  <si>
    <t>OSCAR MORIEL VILLALOBOS</t>
  </si>
  <si>
    <t>1122-73</t>
  </si>
  <si>
    <t>Ingresos por Venta de Bienes y Prestación de Servicios de Entidades Paraestatales y Fideicomisos No Empresariales y No Financieros</t>
  </si>
  <si>
    <t>1122-79-01</t>
  </si>
  <si>
    <t>Otros Ingresos, Intereses Ganados de Títulos, Valores y demás Instrumentos Financieros</t>
  </si>
  <si>
    <t>1122-79-02</t>
  </si>
  <si>
    <t>Otros Ingresos, Otros Ingresos y Beneficios Varios</t>
  </si>
  <si>
    <t>VEHÍCULOS Y EQUIPO DE TRANSPORTE</t>
  </si>
  <si>
    <t>3210</t>
  </si>
  <si>
    <t>RESULTADOS DEL EJERCICIO (AHORRO/ DESAHORRO)</t>
  </si>
  <si>
    <t>INGRESOS POR VENTA DE BIENES Y PRESTACIÓN DE SERVICIOS</t>
  </si>
  <si>
    <t>INGRESOS POR VENTA DE BIENES Y PRESTACIÓN DE SERVICIOS DE ENTIDADES PARAESTATALES Y FIDEICOMISOS NO EMPRESARIALES Y NO FINANCIEROS</t>
  </si>
  <si>
    <t>4173-1</t>
  </si>
  <si>
    <t>Ingresos por venta de bienes y servicios de entidades paraestatales no empresariales y no financieros</t>
  </si>
  <si>
    <t>4173-1-10001</t>
  </si>
  <si>
    <t>4173-1-10002</t>
  </si>
  <si>
    <t>4173-1-10003</t>
  </si>
  <si>
    <t>4173-1-10004</t>
  </si>
  <si>
    <t>4173-1-20002</t>
  </si>
  <si>
    <t>4173-1-20003</t>
  </si>
  <si>
    <t>4173-1-30001</t>
  </si>
  <si>
    <t>4173-1-30002</t>
  </si>
  <si>
    <t>4173-1-30003</t>
  </si>
  <si>
    <t>4173-1-50002</t>
  </si>
  <si>
    <t>4173-1-50003</t>
  </si>
  <si>
    <t>4173-1-60003</t>
  </si>
  <si>
    <t>INTERESES GANADOS DE TÍTULOS, VALORES Y DEMÁS INSTRUMENTOS FINANCIEROS</t>
  </si>
  <si>
    <t>8110-73</t>
  </si>
  <si>
    <t>8110-73-1</t>
  </si>
  <si>
    <t>8110-73-1-10001</t>
  </si>
  <si>
    <t>8110-73-1-10002</t>
  </si>
  <si>
    <t>8110-73-1-10003</t>
  </si>
  <si>
    <t>8110-73-1-20002</t>
  </si>
  <si>
    <t>8110-73-1-20003</t>
  </si>
  <si>
    <t>8110-73-1-30001</t>
  </si>
  <si>
    <t>8110-73-1-30002</t>
  </si>
  <si>
    <t>8110-73-1-30003</t>
  </si>
  <si>
    <t>8110-73-1-50002</t>
  </si>
  <si>
    <t>8110-73-1-50003</t>
  </si>
  <si>
    <t>8110-73-1-60001</t>
  </si>
  <si>
    <t>8110-73-1-60003</t>
  </si>
  <si>
    <t>8110-73-2</t>
  </si>
  <si>
    <t>8110-73-2-10001</t>
  </si>
  <si>
    <t>8120-73</t>
  </si>
  <si>
    <t>8120-73-1</t>
  </si>
  <si>
    <t>8120-73-1-10001</t>
  </si>
  <si>
    <t>8120-73-1-10002</t>
  </si>
  <si>
    <t>8120-73-1-10003</t>
  </si>
  <si>
    <t>8120-73-1-10004</t>
  </si>
  <si>
    <t>8120-73-1-20002</t>
  </si>
  <si>
    <t>8120-73-1-20003</t>
  </si>
  <si>
    <t>8120-73-1-30001</t>
  </si>
  <si>
    <t>8120-73-1-30002</t>
  </si>
  <si>
    <t>8120-73-1-30003</t>
  </si>
  <si>
    <t>8120-73-1-50002</t>
  </si>
  <si>
    <t>8120-73-1-50003</t>
  </si>
  <si>
    <t>8120-73-1-60001</t>
  </si>
  <si>
    <t>8120-73-1-60003</t>
  </si>
  <si>
    <t>8120-73-2</t>
  </si>
  <si>
    <t>8120-73-2-10001</t>
  </si>
  <si>
    <t>8120-79-01</t>
  </si>
  <si>
    <t>8120-79-01-10001</t>
  </si>
  <si>
    <t>8120-79-01-10002</t>
  </si>
  <si>
    <t>8120-79-02</t>
  </si>
  <si>
    <t>8120-79-02-10003</t>
  </si>
  <si>
    <t>8140-73</t>
  </si>
  <si>
    <t>8140-73-1</t>
  </si>
  <si>
    <t>8140-73-1-10001</t>
  </si>
  <si>
    <t>8140-73-1-10002</t>
  </si>
  <si>
    <t>8140-73-1-10003</t>
  </si>
  <si>
    <t>8140-73-1-10004</t>
  </si>
  <si>
    <t>8140-73-1-20002</t>
  </si>
  <si>
    <t>8140-73-1-20003</t>
  </si>
  <si>
    <t>8140-73-1-30001</t>
  </si>
  <si>
    <t>8140-73-1-30002</t>
  </si>
  <si>
    <t>8140-73-1-30003</t>
  </si>
  <si>
    <t>8140-73-1-50002</t>
  </si>
  <si>
    <t>8140-73-1-50003</t>
  </si>
  <si>
    <t>8140-73-1-60003</t>
  </si>
  <si>
    <t>8140-73-2</t>
  </si>
  <si>
    <t>8140-73-2-10001</t>
  </si>
  <si>
    <t>8140-79-01</t>
  </si>
  <si>
    <t>8140-79-01-10001</t>
  </si>
  <si>
    <t>8140-79-01-10002</t>
  </si>
  <si>
    <t>8140-79-02</t>
  </si>
  <si>
    <t>8140-79-02-10003</t>
  </si>
  <si>
    <t>8150-73</t>
  </si>
  <si>
    <t>8150-73-1</t>
  </si>
  <si>
    <t>8150-73-1-10001</t>
  </si>
  <si>
    <t>8150-73-1-10002</t>
  </si>
  <si>
    <t>8150-73-1-10003</t>
  </si>
  <si>
    <t>8150-73-1-10004</t>
  </si>
  <si>
    <t>8150-73-1-20002</t>
  </si>
  <si>
    <t>8150-73-1-20003</t>
  </si>
  <si>
    <t>8150-73-1-30001</t>
  </si>
  <si>
    <t>8150-73-1-30002</t>
  </si>
  <si>
    <t>8150-73-1-30003</t>
  </si>
  <si>
    <t>8150-73-1-50002</t>
  </si>
  <si>
    <t>8150-73-1-50003</t>
  </si>
  <si>
    <t>8150-73-1-60003</t>
  </si>
  <si>
    <t>8150-73-2</t>
  </si>
  <si>
    <t>8150-73-2-10001</t>
  </si>
  <si>
    <t>8150-79-01</t>
  </si>
  <si>
    <t>8150-79-01-10001</t>
  </si>
  <si>
    <t>8150-79-01-10002</t>
  </si>
  <si>
    <t>8150-79-02</t>
  </si>
  <si>
    <t>8150-79-02-10003</t>
  </si>
  <si>
    <t>1122-11845</t>
  </si>
  <si>
    <t>COME CAMILA D1 SA DE CV</t>
  </si>
  <si>
    <t>1122-11904</t>
  </si>
  <si>
    <t>GRUPO YAZAKI SA DE CV</t>
  </si>
  <si>
    <t>1122-11972</t>
  </si>
  <si>
    <t>FLETES BURA DE CHIHUAHUA SA DE CV</t>
  </si>
  <si>
    <t>1122-11974</t>
  </si>
  <si>
    <t>TECNOCEREALES COMERCIALES S DE RL MI</t>
  </si>
  <si>
    <t>1122-11976</t>
  </si>
  <si>
    <t>TRAILERS Y SERVICIOS DE JUAREZ SA DE CV</t>
  </si>
  <si>
    <t>1122-21095</t>
  </si>
  <si>
    <t>VEBCO INTERNACIONAL S DE RL DE CV</t>
  </si>
  <si>
    <t>1122-21096</t>
  </si>
  <si>
    <t>2112-1-38301</t>
  </si>
  <si>
    <t>CONGRESOS Y CONVENCIONES</t>
  </si>
  <si>
    <t>3220-02018</t>
  </si>
  <si>
    <t>RESULTADO EJERCICIO 2018</t>
  </si>
  <si>
    <t>5138</t>
  </si>
  <si>
    <t>SERVICIOS OFICIALES</t>
  </si>
  <si>
    <t>5138-38301</t>
  </si>
  <si>
    <t>8240-14898-0202-01-38301-1</t>
  </si>
  <si>
    <t>8250-14898-0202-01-38301-1</t>
  </si>
  <si>
    <t>8260-14898-0202-01-38301-1</t>
  </si>
  <si>
    <t>8270-14898-0202-01-38301-1</t>
  </si>
  <si>
    <t>Promotora para el Desarrollo Económico de Chihuahua</t>
  </si>
  <si>
    <t>1122-11916</t>
  </si>
  <si>
    <t>SAMUEL LOPEZ AGUILAR</t>
  </si>
  <si>
    <t>1122-11957</t>
  </si>
  <si>
    <t>LILIA ISELA LOYA OLIVAS</t>
  </si>
  <si>
    <t>1122-11979</t>
  </si>
  <si>
    <t>MULTIPROYECTOS TERRAZAS SC</t>
  </si>
  <si>
    <t>1122-11785</t>
  </si>
  <si>
    <t>JAIME ANTONIO TERAN TREJO</t>
  </si>
  <si>
    <t>1122-11949</t>
  </si>
  <si>
    <t>ETICOLOR SA DE CV</t>
  </si>
  <si>
    <t>1122-11970</t>
  </si>
  <si>
    <t>QUIMICA ESPECIALIZADA DARR SA DE CV</t>
  </si>
  <si>
    <t>1122-11975</t>
  </si>
  <si>
    <t>LA COSMOPOLITANA SA DE CV</t>
  </si>
  <si>
    <t>1122-11981</t>
  </si>
  <si>
    <t>GRUPO LARA VILLALOBOS</t>
  </si>
  <si>
    <t>1112-10010</t>
  </si>
  <si>
    <t>1125-10011</t>
  </si>
  <si>
    <t>1122-11977</t>
  </si>
  <si>
    <t>ALONSO GARCIA FERNANDEZ</t>
  </si>
  <si>
    <t>1122-11987</t>
  </si>
  <si>
    <t>ANA CYNTHIA CARMONA MOLINA</t>
  </si>
  <si>
    <t>1122-11988</t>
  </si>
  <si>
    <t>CESAR RAMON POSADA ROMERO</t>
  </si>
  <si>
    <t>1122-11989</t>
  </si>
  <si>
    <t>AUTOTRANSORTE DUR S DE RL DE CV</t>
  </si>
  <si>
    <t>JUAN FRANCISCO MURGUIA ESTRADA</t>
  </si>
  <si>
    <t>Programa Fomento Industrial - Gasto Corriente Tarjeta</t>
  </si>
  <si>
    <t>5231-5599</t>
  </si>
  <si>
    <t>Subsidios y costo venta en terrenos</t>
  </si>
  <si>
    <t>Cuenta no. 9000775 (Representa $57,532.75 dlls)</t>
  </si>
  <si>
    <t>RESIDEO MANUFACTURAS DE CHIHUAHUA S. DE R.L. DE C.V.</t>
  </si>
  <si>
    <t>1122-11991</t>
  </si>
  <si>
    <t>VIVE CORAZON AC</t>
  </si>
  <si>
    <t>1122-11992</t>
  </si>
  <si>
    <t>FIDEICOMISO CIB/3276</t>
  </si>
  <si>
    <t>1122-11993</t>
  </si>
  <si>
    <t>HOMERO SALAZAR SALAS</t>
  </si>
  <si>
    <t>1231-10001</t>
  </si>
  <si>
    <t>1231-10002</t>
  </si>
  <si>
    <t>1231-10003</t>
  </si>
  <si>
    <t>1231-10004</t>
  </si>
  <si>
    <t>1231-10005</t>
  </si>
  <si>
    <t>1231-10006</t>
  </si>
  <si>
    <t>TERRENOA NAICA</t>
  </si>
  <si>
    <t>1231-10007</t>
  </si>
  <si>
    <t>1231-10008</t>
  </si>
  <si>
    <t>1231-10009</t>
  </si>
  <si>
    <t>1231-10010</t>
  </si>
  <si>
    <t>1231-10011</t>
  </si>
  <si>
    <t>1231-10015</t>
  </si>
  <si>
    <t>4173-2-30001</t>
  </si>
  <si>
    <t>ING POR ARRENDAMIENTO CUAUHTEMOC</t>
  </si>
  <si>
    <t>8120-73-2-30001</t>
  </si>
  <si>
    <t>8140-73-2-30001</t>
  </si>
  <si>
    <t>8150-73-2-30001</t>
  </si>
  <si>
    <t>1122-11960</t>
  </si>
  <si>
    <t>EMPAQUES Y EMBALAJES PREMIER SA DE CV</t>
  </si>
  <si>
    <t>Alonso García Fernández</t>
  </si>
  <si>
    <t>Ana Cynthi Carmona Molina</t>
  </si>
  <si>
    <t>Armando Maldonado Ramos</t>
  </si>
  <si>
    <t>Arrendondo Logistics SA de CV</t>
  </si>
  <si>
    <t>Autotransportes DUR S de RL de CV</t>
  </si>
  <si>
    <t>Cesar Ramón Posada Romero</t>
  </si>
  <si>
    <t>Desarrollos KARE, SA de CV</t>
  </si>
  <si>
    <t>Diego Fernando Zepeda Escalera</t>
  </si>
  <si>
    <t>Proesmma, SA de CV</t>
  </si>
  <si>
    <t>Denise Michelle Aubry Chacón</t>
  </si>
  <si>
    <t>Conductores y Metalmecanica SA  de CV</t>
  </si>
  <si>
    <t>Orora de México, SA de CV</t>
  </si>
  <si>
    <t>Palomino Rectificaciones, SA de CV</t>
  </si>
  <si>
    <t>IGS Industrial Fund III, SA de CV</t>
  </si>
  <si>
    <t>Empaques y Embalajes Premier, SA de CV</t>
  </si>
  <si>
    <t>Sindicato Nacional de Trabajadores de la Educación Sección 8</t>
  </si>
  <si>
    <t>AFFA TRADE SAPI de CV</t>
  </si>
  <si>
    <t>Ademco Comercial y Centro de Investigación y Desarrollo S de RL de CV</t>
  </si>
  <si>
    <t>Concretos de Chihuahua, SA de CV</t>
  </si>
  <si>
    <t>Fideicomiso CIB/3276</t>
  </si>
  <si>
    <t>GMQ Construcciones SA de CV</t>
  </si>
  <si>
    <t>Helene Teichroeb Wolf</t>
  </si>
  <si>
    <t>Grupo Lara Villalobos, SA de CV</t>
  </si>
  <si>
    <t>Homero Salas Salas</t>
  </si>
  <si>
    <t>Jesús Eduardo Rodríguez Aiza</t>
  </si>
  <si>
    <t>La Cosmopolitana SA de CV</t>
  </si>
  <si>
    <t>Luis Eduardo Arredondo Ruíz</t>
  </si>
  <si>
    <t>Maco Pecan SA de CV</t>
  </si>
  <si>
    <t>Multiservicios Terrazas, SC</t>
  </si>
  <si>
    <t>Quimica Especializada Darr, SA de CV</t>
  </si>
  <si>
    <t>Raúl Villanueva Romero</t>
  </si>
  <si>
    <t>Sinergia y Masivos, SA de CV</t>
  </si>
  <si>
    <t>STO en Servicios S de RL de CV</t>
  </si>
  <si>
    <t>Suministros Eseeni SA de CV</t>
  </si>
  <si>
    <t>Tecnocereales Comerciales S de RLMI</t>
  </si>
  <si>
    <t>Trailers y Servicios de Juarez, SA de CV</t>
  </si>
  <si>
    <t>Transporte Bura de Chihuahua, SA de CV</t>
  </si>
  <si>
    <t>Vive Corazón SA de CV</t>
  </si>
  <si>
    <t xml:space="preserve">TOTAL  EMPRESAS CON SERVICIOS </t>
  </si>
  <si>
    <t>TOTAL EMPRESAS</t>
  </si>
  <si>
    <t>Promotores Mexicano de la Educación AC</t>
  </si>
  <si>
    <t xml:space="preserve">TOTAL EMPRESAS </t>
  </si>
  <si>
    <t>1122-12000</t>
  </si>
  <si>
    <t>OMAR LIBRADO GARZA LOPEZ</t>
  </si>
  <si>
    <t>1122-12008</t>
  </si>
  <si>
    <t>RYDER CAPITAL S DE RL DE CV</t>
  </si>
  <si>
    <t>1122-12010</t>
  </si>
  <si>
    <t>MATERIALES RECICLABLES DEL CARMEN SA DE CV</t>
  </si>
  <si>
    <t>2151-11606</t>
  </si>
  <si>
    <t>TP Nearhore S. R.L. de C.V.</t>
  </si>
  <si>
    <t>1131-10043</t>
  </si>
  <si>
    <t>1122-11502</t>
  </si>
  <si>
    <t>VICTORY PACKAGING DE MEXICO S. DE R.L. DE C.V.</t>
  </si>
  <si>
    <t>1122-11996</t>
  </si>
  <si>
    <t>SUMINISTROS ESEENI SA DE CV</t>
  </si>
  <si>
    <t>1122-12012</t>
  </si>
  <si>
    <t>BRIDGE CHEMICAL COMPANY SA DE CV</t>
  </si>
  <si>
    <t>1122-12014</t>
  </si>
  <si>
    <t>BOMBARDIER AEROSPACE MEXICO SA DE CV</t>
  </si>
  <si>
    <t>1122-12016</t>
  </si>
  <si>
    <t>REALTY PROYECTS S DE RL DE CV</t>
  </si>
  <si>
    <t>1122-12017</t>
  </si>
  <si>
    <t>CARI VISION SA DE CV</t>
  </si>
  <si>
    <t>UNIVERSIDAD AUTONOMA DE CHIHUAHUA</t>
  </si>
  <si>
    <t>1123-10014</t>
  </si>
  <si>
    <t>1122-12004</t>
  </si>
  <si>
    <t>ACELEC CHIHUAHUA SA DE CV</t>
  </si>
  <si>
    <t>1122-12013</t>
  </si>
  <si>
    <t>IMPULSORA DE MERCADOS DE MEXICO SA DE CV</t>
  </si>
  <si>
    <t>GOBIERNO DEL EDO. DE CHIHUAHUA</t>
  </si>
  <si>
    <t>1124-10006</t>
  </si>
  <si>
    <t>SALDO A FAV IVA DIC 2019</t>
  </si>
  <si>
    <t>1236-1-58313</t>
  </si>
  <si>
    <t>EDIFICIO PIDET/SPArk</t>
  </si>
  <si>
    <t>Gastos no deducibles</t>
  </si>
  <si>
    <t>Otros gastos menores</t>
  </si>
  <si>
    <t>Total 2020</t>
  </si>
  <si>
    <t>ACTIVOS FIJOS</t>
  </si>
  <si>
    <t>Maquinaria y Equipo</t>
  </si>
  <si>
    <t>Derechos de agua</t>
  </si>
  <si>
    <t>Recarpeteo vialidades</t>
  </si>
  <si>
    <t xml:space="preserve">Reposición tanque elevado y subestación pozo 6 </t>
  </si>
  <si>
    <t xml:space="preserve">Bodega para Archivo </t>
  </si>
  <si>
    <t>Edificio PIDET/SPARK</t>
  </si>
  <si>
    <t>PARQUE INDUSTRIAL AEROPUERTO</t>
  </si>
  <si>
    <t>Reposición  tanque elevado y subestación pozo 1</t>
  </si>
  <si>
    <t xml:space="preserve">Reposición tanque elevado y subestación pozo 1 y 2 </t>
  </si>
  <si>
    <t>TOTAL INFRAESTRUCTURA Y ACTIVOS FIJOS</t>
  </si>
  <si>
    <t>Operadora Futurama</t>
  </si>
  <si>
    <t>Quiroproductos de Cuauhtémoc</t>
  </si>
  <si>
    <t>Ingresos Arrendamiento (Coanzamex, Alsuper, ASACH, Quiroproductos)</t>
  </si>
  <si>
    <t>1122-11984</t>
  </si>
  <si>
    <t>DIEGO FERNANDO ZEPEDA ESCALERA</t>
  </si>
  <si>
    <t>1124-10007</t>
  </si>
  <si>
    <t>SALDO A FAVOR IVA ENE 2020</t>
  </si>
  <si>
    <t>3220-02019</t>
  </si>
  <si>
    <t>REAS 2019</t>
  </si>
  <si>
    <t>8110-73-2-30001</t>
  </si>
  <si>
    <t>8110-79-01</t>
  </si>
  <si>
    <t>8110-79-01-10001</t>
  </si>
  <si>
    <t>8210-14898-0102-03-26101-1</t>
  </si>
  <si>
    <t>8210-14898-0102-04-26101-1</t>
  </si>
  <si>
    <t>8210-14898-0102-06-26101-1</t>
  </si>
  <si>
    <t>8210-14898-0102-07-26101-1</t>
  </si>
  <si>
    <t>8210-14898-0103-01-13301-1</t>
  </si>
  <si>
    <t>8220-14898-0102-03-26101-1</t>
  </si>
  <si>
    <t>8220-14898-0102-04-26101-1</t>
  </si>
  <si>
    <t>8220-14898-0102-06-26101-1</t>
  </si>
  <si>
    <t>8220-14898-0102-07-26101-1</t>
  </si>
  <si>
    <t>8220-14898-0103-01-13301-1</t>
  </si>
  <si>
    <t>8240-14898-0103-01-13301-1</t>
  </si>
  <si>
    <t>8250-14898-0103-01-13301-1</t>
  </si>
  <si>
    <t>8260-14898-0103-01-13301-1</t>
  </si>
  <si>
    <t>8270-14898-0103-01-13301-1</t>
  </si>
  <si>
    <t>VARIACIÓN DE EJERCIDO CONTRA PRESUPUESTO</t>
  </si>
  <si>
    <t>Saldo en ceros al cierre del mes</t>
  </si>
  <si>
    <t>1122-12011</t>
  </si>
  <si>
    <t>PXT MANUFACTURING S DE RL MI</t>
  </si>
  <si>
    <t>1122-12018</t>
  </si>
  <si>
    <t>INMOBILIARIA TOGARSA S DE RL DE CV</t>
  </si>
  <si>
    <t>1122-12019</t>
  </si>
  <si>
    <t>IRVIN LUNA FRANCO</t>
  </si>
  <si>
    <t>1122-12020</t>
  </si>
  <si>
    <t>MERCAINSTALACION Y DISTRIBUCION SA DE CV</t>
  </si>
  <si>
    <t>2112-1-21101</t>
  </si>
  <si>
    <t>MATERIALES, UTILES Y EQ. MENORES OFICINA</t>
  </si>
  <si>
    <t>2112-1-22101</t>
  </si>
  <si>
    <t>PRODUCTOS ALIMENTICIOS PARA PERSONAS</t>
  </si>
  <si>
    <t>2112-1-31401</t>
  </si>
  <si>
    <t>TELEFONÍA TRADICIONAL</t>
  </si>
  <si>
    <t>2112-1-33801</t>
  </si>
  <si>
    <t>SERVICIOS DE VIGILANCIA</t>
  </si>
  <si>
    <t>2119-10002</t>
  </si>
  <si>
    <t>SRIA. DE HACIENDA</t>
  </si>
  <si>
    <t>4311-10004</t>
  </si>
  <si>
    <t>UTILIDAD CAMBIARIA</t>
  </si>
  <si>
    <t>5121-21101</t>
  </si>
  <si>
    <t>5122</t>
  </si>
  <si>
    <t>ALIMENTOS Y UTENSILIOS</t>
  </si>
  <si>
    <t>5122-22101</t>
  </si>
  <si>
    <t>5131-31401</t>
  </si>
  <si>
    <t>5133-33801</t>
  </si>
  <si>
    <t>8120-79-01-10004</t>
  </si>
  <si>
    <t>8140-79-01-10004</t>
  </si>
  <si>
    <t>8150-79-01-10004</t>
  </si>
  <si>
    <t>8240-14898-0101-02-33801-1</t>
  </si>
  <si>
    <t>8240-14898-0101-04-33801-1</t>
  </si>
  <si>
    <t>8240-14898-0101-07-33801-1</t>
  </si>
  <si>
    <t>8240-14898-0201-01-21101-1</t>
  </si>
  <si>
    <t>8240-14898-0201-01-22101-1</t>
  </si>
  <si>
    <t>8240-14898-0201-01-31401-1</t>
  </si>
  <si>
    <t>8240-14898-0201-01-35101-1</t>
  </si>
  <si>
    <t>8250-14898-0101-02-33801-1</t>
  </si>
  <si>
    <t>8250-14898-0101-04-33801-1</t>
  </si>
  <si>
    <t>8250-14898-0101-07-33801-1</t>
  </si>
  <si>
    <t>8250-14898-0201-01-21101-1</t>
  </si>
  <si>
    <t>8250-14898-0201-01-22101-1</t>
  </si>
  <si>
    <t>8250-14898-0201-01-31401-1</t>
  </si>
  <si>
    <t>8250-14898-0201-01-35101-1</t>
  </si>
  <si>
    <t>8260-14898-0101-02-33801-1</t>
  </si>
  <si>
    <t>8260-14898-0101-04-33801-1</t>
  </si>
  <si>
    <t>8260-14898-0101-07-33801-1</t>
  </si>
  <si>
    <t>8260-14898-0201-01-21101-1</t>
  </si>
  <si>
    <t>8260-14898-0201-01-22101-1</t>
  </si>
  <si>
    <t>8260-14898-0201-01-31401-1</t>
  </si>
  <si>
    <t>8260-14898-0201-01-35101-1</t>
  </si>
  <si>
    <t>8270-14898-0101-02-33801-1</t>
  </si>
  <si>
    <t>8270-14898-0101-04-33801-1</t>
  </si>
  <si>
    <t>8270-14898-0101-07-33801-1</t>
  </si>
  <si>
    <t>8270-14898-0201-01-21101-1</t>
  </si>
  <si>
    <t>8270-14898-0201-01-22101-1</t>
  </si>
  <si>
    <t>8270-14898-0201-01-31401-1</t>
  </si>
  <si>
    <t>8270-14898-0201-01-35101-1</t>
  </si>
  <si>
    <t>1122-11947</t>
  </si>
  <si>
    <t>METECNO SA DE CV</t>
  </si>
  <si>
    <t>1122-11998</t>
  </si>
  <si>
    <t>ARMANDO MALDONADO RAMOS</t>
  </si>
  <si>
    <t>1122-12002</t>
  </si>
  <si>
    <t>ITM INTERNACIONAL DE TECNOLOGIAS MEDICAS SA DE CV</t>
  </si>
  <si>
    <t>1122-12009</t>
  </si>
  <si>
    <t>DISEÑO Y CARPINTERIA JJ S DE RL DE CV</t>
  </si>
  <si>
    <t>1122-12022</t>
  </si>
  <si>
    <t>EL CAPITAN SA DE CV</t>
  </si>
  <si>
    <t>1122-12025</t>
  </si>
  <si>
    <t>SERPRO NURSING S DE RL DE CV</t>
  </si>
  <si>
    <t>1122-12027</t>
  </si>
  <si>
    <t>CASTLE METALS DE MEXICO SA DE CV</t>
  </si>
  <si>
    <t>1124-10008</t>
  </si>
  <si>
    <t>SALDO A FAV IVA MAR 2020</t>
  </si>
  <si>
    <t>2117-10004</t>
  </si>
  <si>
    <t>ISR RET AL 10% HONORARIOS</t>
  </si>
  <si>
    <t>4173-1-60001</t>
  </si>
  <si>
    <t>8140-73-1-60001</t>
  </si>
  <si>
    <t>8150-73-1-60001</t>
  </si>
  <si>
    <t>PROMOTORA PARA EL DESARROLLO ECONOMICO  DE CHIHUAHUA</t>
  </si>
  <si>
    <t>Operadora Futurama SA de CV</t>
  </si>
  <si>
    <t>Productos Chachitos S.A. de C.V.</t>
  </si>
  <si>
    <t>Servicio RG  SA de CV</t>
  </si>
  <si>
    <t>Cia de Telefonos y Bienes Raices S.A. de C.V.</t>
  </si>
  <si>
    <t>Arrendamientos Arma S.A. de C.V.</t>
  </si>
  <si>
    <t>Pavimentos de La Laguna  S.A. de C.V.</t>
  </si>
  <si>
    <t>Manyser Manufacturas y Servicios S.A. de C.V.</t>
  </si>
  <si>
    <t>Ingeneria y Diseno Van S.A. de C.V.</t>
  </si>
  <si>
    <t>IPC Chihuahua S.A. de C.V.</t>
  </si>
  <si>
    <t>American Beef S.A. de C.V.</t>
  </si>
  <si>
    <t>Cadisa S.A. de C.V.</t>
  </si>
  <si>
    <t>Pace Industries de Chihuahua II S.A. de CV</t>
  </si>
  <si>
    <t>Bachoco S.A. de C.V.</t>
  </si>
  <si>
    <t>Inmobiliaria Los Berrendos SA de CV</t>
  </si>
  <si>
    <t>AUTOFLETES CHIHUAHUA SA DE CV</t>
  </si>
  <si>
    <t>Banco Nacional de Mexico S.A.</t>
  </si>
  <si>
    <t>American Beef SA de CV</t>
  </si>
  <si>
    <t>Factoria Industrial SA de CV.</t>
  </si>
  <si>
    <t>Intermex Manufactura de Chihuahua SA CV</t>
  </si>
  <si>
    <t>Promotora de Restaurantes del Norte SA de CV</t>
  </si>
  <si>
    <t>GCC Conctero S.A. de C.V.</t>
  </si>
  <si>
    <t>BIO PAPPEL S.A.B. DE C.V.</t>
  </si>
  <si>
    <t>Tuban SA De CV</t>
  </si>
  <si>
    <t>Inmobiliaria Comercial Intermex S.A De C.V.</t>
  </si>
  <si>
    <t>Hermes´s y Asociados SA de CV</t>
  </si>
  <si>
    <t>Transportes Soto e Hijos S.A. De C.V.</t>
  </si>
  <si>
    <t>TP Nearshore S de R.L. de C.V.</t>
  </si>
  <si>
    <t>IMAPCOLOR S.A. DE C.V.</t>
  </si>
  <si>
    <t>Parque Industrial Juarez SA de CV</t>
  </si>
  <si>
    <t>Banco del Bajío S.A.</t>
  </si>
  <si>
    <t>HELM DE MEXICO S.A.</t>
  </si>
  <si>
    <t>Servicios de Manufactura y Desarrollo SA de CV</t>
  </si>
  <si>
    <t>DISTRIBUIDORA DE CERVEZAS MODELO EN CHIHUAHUA SA DE CV</t>
  </si>
  <si>
    <t>Gala Diseño en Muebles SA de CV</t>
  </si>
  <si>
    <t>Centro de Servicios Metrologicos S de RL de CV</t>
  </si>
  <si>
    <t>Constructora y Proveedora Ferretodo SA de CV</t>
  </si>
  <si>
    <t>GEN INDUSTRIAL  S.A. DE C.V.</t>
  </si>
  <si>
    <t>David Velasco Martinez</t>
  </si>
  <si>
    <t>Impulsora Sahuayo S.A. de C.V.</t>
  </si>
  <si>
    <t>Grupo Pasan de Chihuahua S.A. de C.V.</t>
  </si>
  <si>
    <t>Pick-One S.A de C.V</t>
  </si>
  <si>
    <t>Maquinas Diesel S.A. de C.V.</t>
  </si>
  <si>
    <t>Servicios Gasolineros de México S.A. de C.V.</t>
  </si>
  <si>
    <t>AXTEL S.A.B. DE C.V.</t>
  </si>
  <si>
    <t>CONTINENTAL CONTITECH DE CHIHUAHUA</t>
  </si>
  <si>
    <t>Promotora de Microindustria de Chihuahua A.C.</t>
  </si>
  <si>
    <t>Oscar Moriel Villalobos</t>
  </si>
  <si>
    <t>Construcentro de Chihuahua, SA de CV</t>
  </si>
  <si>
    <t>Orora de Mexico, SA de CV.</t>
  </si>
  <si>
    <t>Ana Cynthia Carmona Molina</t>
  </si>
  <si>
    <t>VIVE CORAZON A.C.</t>
  </si>
  <si>
    <t>Ryder Capital, S de RL de CV</t>
  </si>
  <si>
    <t>Grupo Coanzamex SA de CV</t>
  </si>
  <si>
    <t>HONEYWELL  AEROSPACE DE MEXICO S DE RL DE CV</t>
  </si>
  <si>
    <t>VICTAULIC DE MEXICO S DE RL DE CV</t>
  </si>
  <si>
    <t>Maquilados Tecnicos S.A. de C.V.</t>
  </si>
  <si>
    <t>Davol Surgical Innovations S.A. de C.V.</t>
  </si>
  <si>
    <t>Supermercado Gonzalez de Altavista SA de CV</t>
  </si>
  <si>
    <t>Desarrollos Inmobiliarios Bermudez SA de CV</t>
  </si>
  <si>
    <t>LEONI CABLE S.A. DE C.V.</t>
  </si>
  <si>
    <t>Agroindustrial Miñaca SPR de RL de CV</t>
  </si>
  <si>
    <t>PROMOTORES MEXICANOS DE LA EDUCACION A.C.</t>
  </si>
  <si>
    <t>Kalisch Fierro y Acero S.A De C.V.</t>
  </si>
  <si>
    <t>ANTIGÚEDAD EN DÍAS</t>
  </si>
  <si>
    <t>CLIENTE</t>
  </si>
  <si>
    <t>RFC</t>
  </si>
  <si>
    <t>FACTURA</t>
  </si>
  <si>
    <t>ANTIGÜEDAD</t>
  </si>
  <si>
    <t>Grupo American Industries S.A De C.V.</t>
  </si>
  <si>
    <t>GAI020902FG4</t>
  </si>
  <si>
    <t>CVC980707HU0</t>
  </si>
  <si>
    <t>LCA981211QN0</t>
  </si>
  <si>
    <t>Praxair Mexico S. de R.L. de C.V.</t>
  </si>
  <si>
    <t>PME960701GG0</t>
  </si>
  <si>
    <t>GCO1104048N6</t>
  </si>
  <si>
    <t>PMC001121IQ8</t>
  </si>
  <si>
    <t xml:space="preserve">B91020     </t>
  </si>
  <si>
    <t>PRE1101229K4</t>
  </si>
  <si>
    <t>VCO151218LY0</t>
  </si>
  <si>
    <t>PMA140123BP9</t>
  </si>
  <si>
    <t>TBR240927363</t>
  </si>
  <si>
    <t>GCO820210EJ3</t>
  </si>
  <si>
    <t>CCI850121EY7</t>
  </si>
  <si>
    <t>PIJ8612038Y4</t>
  </si>
  <si>
    <t xml:space="preserve">B90991     </t>
  </si>
  <si>
    <t xml:space="preserve">B90990     </t>
  </si>
  <si>
    <t xml:space="preserve">B90989     </t>
  </si>
  <si>
    <t>BAC800208B25</t>
  </si>
  <si>
    <t>NME900531HM0</t>
  </si>
  <si>
    <t>AAR940920UP7</t>
  </si>
  <si>
    <t xml:space="preserve">Desarrollo de Ingenieria y Contratacion SA de </t>
  </si>
  <si>
    <t>DIC050715F55</t>
  </si>
  <si>
    <t>AUTOTRANSPORTE DUR S DE RL DE CV</t>
  </si>
  <si>
    <t>ADU060615291</t>
  </si>
  <si>
    <t>SASH700610RH2</t>
  </si>
  <si>
    <t xml:space="preserve">B90970     </t>
  </si>
  <si>
    <t>MAZ8111185X2</t>
  </si>
  <si>
    <t>HAM791206MF9</t>
  </si>
  <si>
    <t>VME0608303J3</t>
  </si>
  <si>
    <t>POM860804GB9</t>
  </si>
  <si>
    <t>ITM INTERNACIONAL DE TECNOLOGIAS MEDICAS SA DE</t>
  </si>
  <si>
    <t>IIT0408125Y2</t>
  </si>
  <si>
    <t xml:space="preserve">B90954     </t>
  </si>
  <si>
    <t>Superior Industries de Mexico S.de R.L. de C.V</t>
  </si>
  <si>
    <t>SIM9305047S8</t>
  </si>
  <si>
    <t>OFU910626UQ0</t>
  </si>
  <si>
    <t>PCA8402024P8</t>
  </si>
  <si>
    <t>SRG070707BI4</t>
  </si>
  <si>
    <t>ICI941007US1</t>
  </si>
  <si>
    <t xml:space="preserve">B90782     </t>
  </si>
  <si>
    <t>IBE971013ES2</t>
  </si>
  <si>
    <t>FIN000317UN8</t>
  </si>
  <si>
    <t>PRN000324UY2</t>
  </si>
  <si>
    <t>PAMJ7112159M2</t>
  </si>
  <si>
    <t xml:space="preserve">B90801     </t>
  </si>
  <si>
    <t>HSA980211GY9</t>
  </si>
  <si>
    <t>Durabox de Chihuahua S.A. De C.V</t>
  </si>
  <si>
    <t>DCI041005TW2</t>
  </si>
  <si>
    <t>Bimbo S.A de C.V.</t>
  </si>
  <si>
    <t>BIM011108DJ5</t>
  </si>
  <si>
    <t xml:space="preserve">B90819     </t>
  </si>
  <si>
    <t>TNE060404IG0</t>
  </si>
  <si>
    <t xml:space="preserve">B90822     </t>
  </si>
  <si>
    <t>BBA940707IE1</t>
  </si>
  <si>
    <t>LERA810305LL6</t>
  </si>
  <si>
    <t>DISTRIBUIDOR MOBILE HIDRAULICO E INDUSTRIAL SA</t>
  </si>
  <si>
    <t>DMH061205ID5</t>
  </si>
  <si>
    <t>AME070212I8A</t>
  </si>
  <si>
    <t>CSM101110IX7</t>
  </si>
  <si>
    <t xml:space="preserve">B90760     </t>
  </si>
  <si>
    <t>HIS980213BS3</t>
  </si>
  <si>
    <t>PIC1405138B9</t>
  </si>
  <si>
    <t xml:space="preserve">B90876     </t>
  </si>
  <si>
    <t>VIA950904ED8</t>
  </si>
  <si>
    <t>APO960307KYA</t>
  </si>
  <si>
    <t>QSM130403MS3</t>
  </si>
  <si>
    <t>MOVO730331PV9</t>
  </si>
  <si>
    <t>AME931213PS5</t>
  </si>
  <si>
    <t>COS850425822</t>
  </si>
  <si>
    <t>Diseño y Carpinteria J&amp;J, S de R.L. de C.V.</t>
  </si>
  <si>
    <t>DCJ180131KH4</t>
  </si>
  <si>
    <t xml:space="preserve">B90844     </t>
  </si>
  <si>
    <t>SGA921026CI5</t>
  </si>
  <si>
    <t>VIN160913AQ2</t>
  </si>
  <si>
    <t xml:space="preserve">B90743     </t>
  </si>
  <si>
    <t xml:space="preserve">B90744     </t>
  </si>
  <si>
    <t>AMI091014MMA</t>
  </si>
  <si>
    <t>PME8811055G6</t>
  </si>
  <si>
    <t xml:space="preserve">B90753     </t>
  </si>
  <si>
    <t>FMO8304236C5</t>
  </si>
  <si>
    <t xml:space="preserve">B90633     </t>
  </si>
  <si>
    <t xml:space="preserve">B90634     </t>
  </si>
  <si>
    <t xml:space="preserve">B90635     </t>
  </si>
  <si>
    <t>MMS960704D98</t>
  </si>
  <si>
    <t>ABE9209026D2</t>
  </si>
  <si>
    <t>CAD980115AN5</t>
  </si>
  <si>
    <t>PIC080414U82</t>
  </si>
  <si>
    <t>SGA051014K34</t>
  </si>
  <si>
    <t>IMC9809178I2</t>
  </si>
  <si>
    <t>CDU820122JFA</t>
  </si>
  <si>
    <t>Pactiv Mexico S. De R.L. DE C.V.</t>
  </si>
  <si>
    <t>PME971105VC9</t>
  </si>
  <si>
    <t>TSH9906021H9</t>
  </si>
  <si>
    <t>GEC981004RE5</t>
  </si>
  <si>
    <t>IMA161006QV4</t>
  </si>
  <si>
    <t>TME050503BM4</t>
  </si>
  <si>
    <t>GDM9610245G9</t>
  </si>
  <si>
    <t>GPC140812UQ3</t>
  </si>
  <si>
    <t>MDI931014D37</t>
  </si>
  <si>
    <t>TECNOCEREALES COMERCIALES S DE RLMI</t>
  </si>
  <si>
    <t>TCO991217RI3</t>
  </si>
  <si>
    <t xml:space="preserve">B90575     </t>
  </si>
  <si>
    <t xml:space="preserve">B90576     </t>
  </si>
  <si>
    <t xml:space="preserve">B90577     </t>
  </si>
  <si>
    <t>ZEED870312HI0</t>
  </si>
  <si>
    <t xml:space="preserve">B90573     </t>
  </si>
  <si>
    <t xml:space="preserve">B90572     </t>
  </si>
  <si>
    <t xml:space="preserve">B90568     </t>
  </si>
  <si>
    <t>DSI9707028J1</t>
  </si>
  <si>
    <t xml:space="preserve">B90549     </t>
  </si>
  <si>
    <t xml:space="preserve">B90550     </t>
  </si>
  <si>
    <t xml:space="preserve">B90551     </t>
  </si>
  <si>
    <t xml:space="preserve">B90552     </t>
  </si>
  <si>
    <t xml:space="preserve">B90553     </t>
  </si>
  <si>
    <t>IND040130V62</t>
  </si>
  <si>
    <t xml:space="preserve">B90458     </t>
  </si>
  <si>
    <t>PORC78062672A</t>
  </si>
  <si>
    <t xml:space="preserve">B90495     </t>
  </si>
  <si>
    <t>RCA940729470</t>
  </si>
  <si>
    <t xml:space="preserve">B90473     </t>
  </si>
  <si>
    <t xml:space="preserve">B90385     </t>
  </si>
  <si>
    <t xml:space="preserve">B90386     </t>
  </si>
  <si>
    <t xml:space="preserve">B90364     </t>
  </si>
  <si>
    <t xml:space="preserve">B90216     </t>
  </si>
  <si>
    <t xml:space="preserve">B90299     </t>
  </si>
  <si>
    <t xml:space="preserve">B90313     </t>
  </si>
  <si>
    <t xml:space="preserve">B90195     </t>
  </si>
  <si>
    <t>SGM950714DC2</t>
  </si>
  <si>
    <t xml:space="preserve">B90128     </t>
  </si>
  <si>
    <t>LOOL691019LW3</t>
  </si>
  <si>
    <t xml:space="preserve">B90124     </t>
  </si>
  <si>
    <t xml:space="preserve">B90111     </t>
  </si>
  <si>
    <t xml:space="preserve">B90107     </t>
  </si>
  <si>
    <t xml:space="preserve">B90119     </t>
  </si>
  <si>
    <t>ICI031210FY5</t>
  </si>
  <si>
    <t xml:space="preserve">B90092     </t>
  </si>
  <si>
    <t xml:space="preserve">B90087     </t>
  </si>
  <si>
    <t xml:space="preserve">B90067     </t>
  </si>
  <si>
    <t xml:space="preserve">Deutsche Bank Mexico Sociedad Anonima </t>
  </si>
  <si>
    <t>DBM121023M10</t>
  </si>
  <si>
    <t xml:space="preserve">B90017     </t>
  </si>
  <si>
    <t>FCD1409249V9</t>
  </si>
  <si>
    <t xml:space="preserve">B89971     </t>
  </si>
  <si>
    <t xml:space="preserve">B89959     </t>
  </si>
  <si>
    <t xml:space="preserve">B89789     </t>
  </si>
  <si>
    <t xml:space="preserve">B89837     </t>
  </si>
  <si>
    <t xml:space="preserve">B89842     </t>
  </si>
  <si>
    <t>RESIDEO MANUFACTURAS DE CHIHUAHUA S de R.L. de</t>
  </si>
  <si>
    <t>HMC921013H10</t>
  </si>
  <si>
    <t xml:space="preserve">B89784     </t>
  </si>
  <si>
    <t xml:space="preserve">B89858     </t>
  </si>
  <si>
    <t xml:space="preserve">B89766     </t>
  </si>
  <si>
    <t xml:space="preserve">B89767     </t>
  </si>
  <si>
    <t xml:space="preserve">B89873     </t>
  </si>
  <si>
    <t xml:space="preserve">B89920     </t>
  </si>
  <si>
    <t xml:space="preserve">B89911     </t>
  </si>
  <si>
    <t xml:space="preserve">B89727     </t>
  </si>
  <si>
    <t xml:space="preserve">B89670     </t>
  </si>
  <si>
    <t xml:space="preserve">B89671     </t>
  </si>
  <si>
    <t xml:space="preserve">B89672     </t>
  </si>
  <si>
    <t xml:space="preserve">B89372     </t>
  </si>
  <si>
    <t xml:space="preserve">B89469     </t>
  </si>
  <si>
    <t xml:space="preserve">B89488     </t>
  </si>
  <si>
    <t xml:space="preserve">B89340     </t>
  </si>
  <si>
    <t xml:space="preserve">DISTRIBUIDORA DE CERVEZAS MODELO EN CHIHUAHUA </t>
  </si>
  <si>
    <t>DCM800122B71</t>
  </si>
  <si>
    <t xml:space="preserve">B89512     </t>
  </si>
  <si>
    <t>VEMD630823HJ6</t>
  </si>
  <si>
    <t xml:space="preserve">B89537     </t>
  </si>
  <si>
    <t xml:space="preserve">B89389     </t>
  </si>
  <si>
    <t xml:space="preserve">B89334     </t>
  </si>
  <si>
    <t xml:space="preserve">B89415     </t>
  </si>
  <si>
    <t>TEWH880527D67</t>
  </si>
  <si>
    <t xml:space="preserve">B89555     </t>
  </si>
  <si>
    <t xml:space="preserve">B89437     </t>
  </si>
  <si>
    <t xml:space="preserve">B89445     </t>
  </si>
  <si>
    <t xml:space="preserve">B89625     </t>
  </si>
  <si>
    <t xml:space="preserve">B89245     </t>
  </si>
  <si>
    <t xml:space="preserve">B89200     </t>
  </si>
  <si>
    <t xml:space="preserve">B89133     </t>
  </si>
  <si>
    <t xml:space="preserve">B89146     </t>
  </si>
  <si>
    <t>TSJ130214J79</t>
  </si>
  <si>
    <t xml:space="preserve">B89157     </t>
  </si>
  <si>
    <t xml:space="preserve">B89103     </t>
  </si>
  <si>
    <t xml:space="preserve">B88854     </t>
  </si>
  <si>
    <t>BNM840515VB1</t>
  </si>
  <si>
    <t xml:space="preserve">B88927     </t>
  </si>
  <si>
    <t xml:space="preserve">B88935     </t>
  </si>
  <si>
    <t>Instituto de apoyo al desarrollo Tecnologico</t>
  </si>
  <si>
    <t>IAD990630MK7</t>
  </si>
  <si>
    <t xml:space="preserve">B88943     </t>
  </si>
  <si>
    <t xml:space="preserve">B88885     </t>
  </si>
  <si>
    <t xml:space="preserve">B88873     </t>
  </si>
  <si>
    <t xml:space="preserve">B89017     </t>
  </si>
  <si>
    <t xml:space="preserve">B88824     </t>
  </si>
  <si>
    <t>ADEMCO COMERCIAL Y CENTRO DE INVESTIGACION Y D</t>
  </si>
  <si>
    <t>ACC180413V63</t>
  </si>
  <si>
    <t xml:space="preserve">B88779     </t>
  </si>
  <si>
    <t xml:space="preserve">B88750     </t>
  </si>
  <si>
    <t xml:space="preserve">B88702     </t>
  </si>
  <si>
    <t xml:space="preserve">B88683     </t>
  </si>
  <si>
    <t xml:space="preserve">B88738     </t>
  </si>
  <si>
    <t xml:space="preserve">B88725     </t>
  </si>
  <si>
    <t xml:space="preserve">B88615     </t>
  </si>
  <si>
    <t xml:space="preserve">B88623     </t>
  </si>
  <si>
    <t xml:space="preserve">B88624     </t>
  </si>
  <si>
    <t xml:space="preserve">B88503     </t>
  </si>
  <si>
    <t xml:space="preserve">B88411     </t>
  </si>
  <si>
    <t xml:space="preserve">B88350     </t>
  </si>
  <si>
    <t xml:space="preserve">B88358     </t>
  </si>
  <si>
    <t xml:space="preserve">B88330     </t>
  </si>
  <si>
    <t>MTE850809NF8</t>
  </si>
  <si>
    <t xml:space="preserve">B88321     </t>
  </si>
  <si>
    <t xml:space="preserve">B88299     </t>
  </si>
  <si>
    <t xml:space="preserve">B88210     </t>
  </si>
  <si>
    <t xml:space="preserve">B88138     </t>
  </si>
  <si>
    <t xml:space="preserve">B88007     </t>
  </si>
  <si>
    <t xml:space="preserve">B87931     </t>
  </si>
  <si>
    <t xml:space="preserve">B87916     </t>
  </si>
  <si>
    <t xml:space="preserve">B87927     </t>
  </si>
  <si>
    <t>CAMA7405292D4</t>
  </si>
  <si>
    <t xml:space="preserve">B87906     </t>
  </si>
  <si>
    <t xml:space="preserve">B87822     </t>
  </si>
  <si>
    <t xml:space="preserve">B87869     </t>
  </si>
  <si>
    <t xml:space="preserve">B87723     </t>
  </si>
  <si>
    <t>GAM870821NP6</t>
  </si>
  <si>
    <t xml:space="preserve">B87786     </t>
  </si>
  <si>
    <t xml:space="preserve">B87668     </t>
  </si>
  <si>
    <t xml:space="preserve">B87631     </t>
  </si>
  <si>
    <t xml:space="preserve">B87562     </t>
  </si>
  <si>
    <t xml:space="preserve">B87533     </t>
  </si>
  <si>
    <t xml:space="preserve">B87516     </t>
  </si>
  <si>
    <t xml:space="preserve">B87485     </t>
  </si>
  <si>
    <t xml:space="preserve">B87486     </t>
  </si>
  <si>
    <t xml:space="preserve">B87341     </t>
  </si>
  <si>
    <t xml:space="preserve">B87336     </t>
  </si>
  <si>
    <t xml:space="preserve">B87319     </t>
  </si>
  <si>
    <t xml:space="preserve">B87128     </t>
  </si>
  <si>
    <t xml:space="preserve">B87171     </t>
  </si>
  <si>
    <t xml:space="preserve">B87111     </t>
  </si>
  <si>
    <t xml:space="preserve">B87083     </t>
  </si>
  <si>
    <t xml:space="preserve">B86867     </t>
  </si>
  <si>
    <t xml:space="preserve">B86822     </t>
  </si>
  <si>
    <t xml:space="preserve">B86422     </t>
  </si>
  <si>
    <t xml:space="preserve">B86377     </t>
  </si>
  <si>
    <t xml:space="preserve">B86185     </t>
  </si>
  <si>
    <t xml:space="preserve">B86186     </t>
  </si>
  <si>
    <t xml:space="preserve">B86102     </t>
  </si>
  <si>
    <t xml:space="preserve">B86058     </t>
  </si>
  <si>
    <t xml:space="preserve">B86059     </t>
  </si>
  <si>
    <t xml:space="preserve">B86042     </t>
  </si>
  <si>
    <t xml:space="preserve">B85976     </t>
  </si>
  <si>
    <t xml:space="preserve">B85884     </t>
  </si>
  <si>
    <t xml:space="preserve">B85766     </t>
  </si>
  <si>
    <t>Marlo Industrias S.A. de C.V.</t>
  </si>
  <si>
    <t>MIN030715FY7</t>
  </si>
  <si>
    <t xml:space="preserve">B85636     </t>
  </si>
  <si>
    <t xml:space="preserve">B79719     </t>
  </si>
  <si>
    <t xml:space="preserve">B85660     </t>
  </si>
  <si>
    <t xml:space="preserve">B81093     </t>
  </si>
  <si>
    <t>ISA950810229</t>
  </si>
  <si>
    <t xml:space="preserve">B85557     </t>
  </si>
  <si>
    <t xml:space="preserve">B85546     </t>
  </si>
  <si>
    <t>KFA8112226Z6</t>
  </si>
  <si>
    <t xml:space="preserve">B85421     </t>
  </si>
  <si>
    <t xml:space="preserve">B85422     </t>
  </si>
  <si>
    <t xml:space="preserve">B85303     </t>
  </si>
  <si>
    <t xml:space="preserve">B85273     </t>
  </si>
  <si>
    <t xml:space="preserve">B85243     </t>
  </si>
  <si>
    <t xml:space="preserve">B85160     </t>
  </si>
  <si>
    <t xml:space="preserve">B85179     </t>
  </si>
  <si>
    <t xml:space="preserve">B85221     </t>
  </si>
  <si>
    <t xml:space="preserve">B85225     </t>
  </si>
  <si>
    <t xml:space="preserve">B85132     </t>
  </si>
  <si>
    <t xml:space="preserve">B85101     </t>
  </si>
  <si>
    <t xml:space="preserve">B85096     </t>
  </si>
  <si>
    <t xml:space="preserve">B84941     </t>
  </si>
  <si>
    <t xml:space="preserve">B84808     </t>
  </si>
  <si>
    <t xml:space="preserve">B84837     </t>
  </si>
  <si>
    <t xml:space="preserve">B84729     </t>
  </si>
  <si>
    <t xml:space="preserve">B84724     </t>
  </si>
  <si>
    <t xml:space="preserve">B84665     </t>
  </si>
  <si>
    <t xml:space="preserve">B84649     </t>
  </si>
  <si>
    <t xml:space="preserve">B84632     </t>
  </si>
  <si>
    <t xml:space="preserve">B84631     </t>
  </si>
  <si>
    <t xml:space="preserve">B84590     </t>
  </si>
  <si>
    <t xml:space="preserve">B84589     </t>
  </si>
  <si>
    <t xml:space="preserve">B84334     </t>
  </si>
  <si>
    <t>EUTL680220CW6</t>
  </si>
  <si>
    <t xml:space="preserve">B84367     </t>
  </si>
  <si>
    <t xml:space="preserve">B84418     </t>
  </si>
  <si>
    <t xml:space="preserve">B84270     </t>
  </si>
  <si>
    <t xml:space="preserve">B84254     </t>
  </si>
  <si>
    <t xml:space="preserve">B84255     </t>
  </si>
  <si>
    <t xml:space="preserve">B84256     </t>
  </si>
  <si>
    <t xml:space="preserve">B84216     </t>
  </si>
  <si>
    <t xml:space="preserve">B84273     </t>
  </si>
  <si>
    <t xml:space="preserve">B84274     </t>
  </si>
  <si>
    <t xml:space="preserve">B84275     </t>
  </si>
  <si>
    <t xml:space="preserve">B84229     </t>
  </si>
  <si>
    <t xml:space="preserve">B84175     </t>
  </si>
  <si>
    <t xml:space="preserve">B84176     </t>
  </si>
  <si>
    <t xml:space="preserve">B83970     </t>
  </si>
  <si>
    <t xml:space="preserve">B83867     </t>
  </si>
  <si>
    <t xml:space="preserve">B83876     </t>
  </si>
  <si>
    <t xml:space="preserve">B83820     </t>
  </si>
  <si>
    <t xml:space="preserve">B83821     </t>
  </si>
  <si>
    <t xml:space="preserve">B83822     </t>
  </si>
  <si>
    <t xml:space="preserve">B83803     </t>
  </si>
  <si>
    <t xml:space="preserve">B83754     </t>
  </si>
  <si>
    <t xml:space="preserve">B83692     </t>
  </si>
  <si>
    <t xml:space="preserve">B83550     </t>
  </si>
  <si>
    <t xml:space="preserve">B83551     </t>
  </si>
  <si>
    <t xml:space="preserve">B83549     </t>
  </si>
  <si>
    <t xml:space="preserve">B83530     </t>
  </si>
  <si>
    <t xml:space="preserve">B83472     </t>
  </si>
  <si>
    <t>Instituto de Apoyo al Desarrollo Tecnologico</t>
  </si>
  <si>
    <t xml:space="preserve">B83461     </t>
  </si>
  <si>
    <t xml:space="preserve">B83462     </t>
  </si>
  <si>
    <t xml:space="preserve">B83463     </t>
  </si>
  <si>
    <t>Distribuidora de Maquinaria del Norte S. A. de</t>
  </si>
  <si>
    <t>DMN0110295P6</t>
  </si>
  <si>
    <t xml:space="preserve">B83466     </t>
  </si>
  <si>
    <t xml:space="preserve">B83430     </t>
  </si>
  <si>
    <t xml:space="preserve">B83400     </t>
  </si>
  <si>
    <t>HME660303531</t>
  </si>
  <si>
    <t xml:space="preserve">B83429     </t>
  </si>
  <si>
    <t xml:space="preserve">B83441     </t>
  </si>
  <si>
    <t xml:space="preserve">B83432     </t>
  </si>
  <si>
    <t xml:space="preserve">Administración y Consultorías de Chihuahua SA </t>
  </si>
  <si>
    <t>ACC061005TY1</t>
  </si>
  <si>
    <t xml:space="preserve">B80767     </t>
  </si>
  <si>
    <t>AXT940727FP8</t>
  </si>
  <si>
    <t xml:space="preserve">B83374     </t>
  </si>
  <si>
    <t xml:space="preserve">B82613     </t>
  </si>
  <si>
    <t xml:space="preserve">B82573     </t>
  </si>
  <si>
    <t xml:space="preserve">B82736     </t>
  </si>
  <si>
    <t>FME970228A44</t>
  </si>
  <si>
    <t xml:space="preserve">B83248     </t>
  </si>
  <si>
    <t>TUB8610276C8</t>
  </si>
  <si>
    <t xml:space="preserve">B83012     </t>
  </si>
  <si>
    <t xml:space="preserve">B82928     </t>
  </si>
  <si>
    <t xml:space="preserve">B83053     </t>
  </si>
  <si>
    <t xml:space="preserve">B83064     </t>
  </si>
  <si>
    <t>CPF860424UB7</t>
  </si>
  <si>
    <t xml:space="preserve">B83021     </t>
  </si>
  <si>
    <t xml:space="preserve">B82948     </t>
  </si>
  <si>
    <t xml:space="preserve">B82869     </t>
  </si>
  <si>
    <t xml:space="preserve">B82734     </t>
  </si>
  <si>
    <t xml:space="preserve">B82533     </t>
  </si>
  <si>
    <t xml:space="preserve">B82670     </t>
  </si>
  <si>
    <t xml:space="preserve">B82586     </t>
  </si>
  <si>
    <t xml:space="preserve">B82484     </t>
  </si>
  <si>
    <t xml:space="preserve">B82568     </t>
  </si>
  <si>
    <t xml:space="preserve">B82567     </t>
  </si>
  <si>
    <t xml:space="preserve">B82566     </t>
  </si>
  <si>
    <t xml:space="preserve">B82448     </t>
  </si>
  <si>
    <t xml:space="preserve">B82449     </t>
  </si>
  <si>
    <t xml:space="preserve">B82310     </t>
  </si>
  <si>
    <t xml:space="preserve">B82150     </t>
  </si>
  <si>
    <t xml:space="preserve">B82228     </t>
  </si>
  <si>
    <t xml:space="preserve">B82061     </t>
  </si>
  <si>
    <t xml:space="preserve">B82051     </t>
  </si>
  <si>
    <t xml:space="preserve">B82118     </t>
  </si>
  <si>
    <t xml:space="preserve">B82030     </t>
  </si>
  <si>
    <t xml:space="preserve">B81656     </t>
  </si>
  <si>
    <t xml:space="preserve">B81779     </t>
  </si>
  <si>
    <t xml:space="preserve">B81729     </t>
  </si>
  <si>
    <t xml:space="preserve">B81659     </t>
  </si>
  <si>
    <t xml:space="preserve">B81660     </t>
  </si>
  <si>
    <t xml:space="preserve">B81768     </t>
  </si>
  <si>
    <t xml:space="preserve">B81633     </t>
  </si>
  <si>
    <t>SMD030131V74</t>
  </si>
  <si>
    <t xml:space="preserve">B81467     </t>
  </si>
  <si>
    <t xml:space="preserve">B81468     </t>
  </si>
  <si>
    <t xml:space="preserve">B79489     </t>
  </si>
  <si>
    <t xml:space="preserve">B80108     </t>
  </si>
  <si>
    <t xml:space="preserve">B76359     </t>
  </si>
  <si>
    <t xml:space="preserve">B80143     </t>
  </si>
  <si>
    <t>PLA520109Q36</t>
  </si>
  <si>
    <t xml:space="preserve">B61900     </t>
  </si>
  <si>
    <t xml:space="preserve">B69200     </t>
  </si>
  <si>
    <t xml:space="preserve">B72500     </t>
  </si>
  <si>
    <t xml:space="preserve">B59556     </t>
  </si>
  <si>
    <t xml:space="preserve">B60222     </t>
  </si>
  <si>
    <t xml:space="preserve">B60223     </t>
  </si>
  <si>
    <t xml:space="preserve">B60527     </t>
  </si>
  <si>
    <t xml:space="preserve">B60528     </t>
  </si>
  <si>
    <t xml:space="preserve">B60529     </t>
  </si>
  <si>
    <t xml:space="preserve">B60923     </t>
  </si>
  <si>
    <t xml:space="preserve">B60924     </t>
  </si>
  <si>
    <t xml:space="preserve">B60925     </t>
  </si>
  <si>
    <t xml:space="preserve">B61224     </t>
  </si>
  <si>
    <t xml:space="preserve">B61225     </t>
  </si>
  <si>
    <t xml:space="preserve">B61226     </t>
  </si>
  <si>
    <t xml:space="preserve">B61527     </t>
  </si>
  <si>
    <t xml:space="preserve">B61528     </t>
  </si>
  <si>
    <t xml:space="preserve">B61529     </t>
  </si>
  <si>
    <t xml:space="preserve">B61898     </t>
  </si>
  <si>
    <t xml:space="preserve">B61899     </t>
  </si>
  <si>
    <t xml:space="preserve">B62332     </t>
  </si>
  <si>
    <t xml:space="preserve">B62333     </t>
  </si>
  <si>
    <t xml:space="preserve">B62334     </t>
  </si>
  <si>
    <t xml:space="preserve">B62659     </t>
  </si>
  <si>
    <t xml:space="preserve">B62660     </t>
  </si>
  <si>
    <t xml:space="preserve">B62661     </t>
  </si>
  <si>
    <t xml:space="preserve">B62991     </t>
  </si>
  <si>
    <t xml:space="preserve">B62992     </t>
  </si>
  <si>
    <t xml:space="preserve">B62993     </t>
  </si>
  <si>
    <t xml:space="preserve">B63304     </t>
  </si>
  <si>
    <t xml:space="preserve">B63305     </t>
  </si>
  <si>
    <t xml:space="preserve">B63306     </t>
  </si>
  <si>
    <t xml:space="preserve">B63659     </t>
  </si>
  <si>
    <t xml:space="preserve">B63660     </t>
  </si>
  <si>
    <t xml:space="preserve">B63661     </t>
  </si>
  <si>
    <t xml:space="preserve">B63990     </t>
  </si>
  <si>
    <t xml:space="preserve">B63991     </t>
  </si>
  <si>
    <t xml:space="preserve">B63992     </t>
  </si>
  <si>
    <t xml:space="preserve">B64350     </t>
  </si>
  <si>
    <t xml:space="preserve">B64351     </t>
  </si>
  <si>
    <t xml:space="preserve">B64352     </t>
  </si>
  <si>
    <t xml:space="preserve">B64715     </t>
  </si>
  <si>
    <t xml:space="preserve">B64716     </t>
  </si>
  <si>
    <t xml:space="preserve">B64717     </t>
  </si>
  <si>
    <t xml:space="preserve">B65137     </t>
  </si>
  <si>
    <t xml:space="preserve">B65138     </t>
  </si>
  <si>
    <t xml:space="preserve">B65139     </t>
  </si>
  <si>
    <t xml:space="preserve">B65422     </t>
  </si>
  <si>
    <t xml:space="preserve">B65423     </t>
  </si>
  <si>
    <t xml:space="preserve">B65424     </t>
  </si>
  <si>
    <t xml:space="preserve">B65776     </t>
  </si>
  <si>
    <t xml:space="preserve">B65777     </t>
  </si>
  <si>
    <t xml:space="preserve">B65778     </t>
  </si>
  <si>
    <t xml:space="preserve">B66151     </t>
  </si>
  <si>
    <t xml:space="preserve">B66152     </t>
  </si>
  <si>
    <t xml:space="preserve">B66153     </t>
  </si>
  <si>
    <t xml:space="preserve">B66612     </t>
  </si>
  <si>
    <t xml:space="preserve">B66613     </t>
  </si>
  <si>
    <t xml:space="preserve">B66614     </t>
  </si>
  <si>
    <t xml:space="preserve">B66972     </t>
  </si>
  <si>
    <t xml:space="preserve">B66973     </t>
  </si>
  <si>
    <t xml:space="preserve">B66974     </t>
  </si>
  <si>
    <t xml:space="preserve">B67322     </t>
  </si>
  <si>
    <t xml:space="preserve">B67323     </t>
  </si>
  <si>
    <t xml:space="preserve">B67324     </t>
  </si>
  <si>
    <t xml:space="preserve">B67720     </t>
  </si>
  <si>
    <t xml:space="preserve">B67721     </t>
  </si>
  <si>
    <t xml:space="preserve">B67722     </t>
  </si>
  <si>
    <t xml:space="preserve">B68121     </t>
  </si>
  <si>
    <t xml:space="preserve">B68122     </t>
  </si>
  <si>
    <t xml:space="preserve">B68123     </t>
  </si>
  <si>
    <t xml:space="preserve">B68474     </t>
  </si>
  <si>
    <t xml:space="preserve">B68475     </t>
  </si>
  <si>
    <t xml:space="preserve">B68476     </t>
  </si>
  <si>
    <t xml:space="preserve">B68853     </t>
  </si>
  <si>
    <t xml:space="preserve">B68854     </t>
  </si>
  <si>
    <t xml:space="preserve">B68855     </t>
  </si>
  <si>
    <t xml:space="preserve">B69201     </t>
  </si>
  <si>
    <t xml:space="preserve">B69202     </t>
  </si>
  <si>
    <t xml:space="preserve">B69609     </t>
  </si>
  <si>
    <t xml:space="preserve">B69610     </t>
  </si>
  <si>
    <t xml:space="preserve">B69611     </t>
  </si>
  <si>
    <t xml:space="preserve">B70029     </t>
  </si>
  <si>
    <t xml:space="preserve">B70030     </t>
  </si>
  <si>
    <t xml:space="preserve">B70031     </t>
  </si>
  <si>
    <t xml:space="preserve">B70408     </t>
  </si>
  <si>
    <t xml:space="preserve">B70409     </t>
  </si>
  <si>
    <t xml:space="preserve">B70410     </t>
  </si>
  <si>
    <t xml:space="preserve">B70797     </t>
  </si>
  <si>
    <t xml:space="preserve">B70799     </t>
  </si>
  <si>
    <t xml:space="preserve">B71066     </t>
  </si>
  <si>
    <t xml:space="preserve">B71189     </t>
  </si>
  <si>
    <t xml:space="preserve">B71190     </t>
  </si>
  <si>
    <t xml:space="preserve">B71191     </t>
  </si>
  <si>
    <t xml:space="preserve">B71666     </t>
  </si>
  <si>
    <t xml:space="preserve">B71667     </t>
  </si>
  <si>
    <t xml:space="preserve">B71668     </t>
  </si>
  <si>
    <t xml:space="preserve">B72089     </t>
  </si>
  <si>
    <t xml:space="preserve">B72090     </t>
  </si>
  <si>
    <t xml:space="preserve">B72091     </t>
  </si>
  <si>
    <t xml:space="preserve">B72498     </t>
  </si>
  <si>
    <t xml:space="preserve">B72499     </t>
  </si>
  <si>
    <t xml:space="preserve">B79315     </t>
  </si>
  <si>
    <t xml:space="preserve">B79316     </t>
  </si>
  <si>
    <t xml:space="preserve">B79317     </t>
  </si>
  <si>
    <t xml:space="preserve">B79318     </t>
  </si>
  <si>
    <t>IDV861118BNA</t>
  </si>
  <si>
    <t xml:space="preserve">B80558     </t>
  </si>
  <si>
    <t xml:space="preserve">B79801     </t>
  </si>
  <si>
    <t xml:space="preserve">B79802     </t>
  </si>
  <si>
    <t xml:space="preserve">B80360     </t>
  </si>
  <si>
    <t xml:space="preserve">B69647     </t>
  </si>
  <si>
    <t>ACI990518124</t>
  </si>
  <si>
    <t xml:space="preserve">B61586     </t>
  </si>
  <si>
    <t xml:space="preserve">B81440     </t>
  </si>
  <si>
    <t xml:space="preserve">B75756     </t>
  </si>
  <si>
    <t xml:space="preserve">B75769     </t>
  </si>
  <si>
    <t xml:space="preserve">B77373     </t>
  </si>
  <si>
    <t xml:space="preserve">B73546     </t>
  </si>
  <si>
    <t xml:space="preserve">B73910     </t>
  </si>
  <si>
    <t xml:space="preserve">B78539     </t>
  </si>
  <si>
    <t xml:space="preserve">B78932     </t>
  </si>
  <si>
    <t xml:space="preserve">B79280     </t>
  </si>
  <si>
    <t xml:space="preserve">B79283     </t>
  </si>
  <si>
    <t xml:space="preserve">B79384     </t>
  </si>
  <si>
    <t xml:space="preserve">B76025     </t>
  </si>
  <si>
    <t xml:space="preserve">B76486     </t>
  </si>
  <si>
    <t xml:space="preserve">B76901     </t>
  </si>
  <si>
    <t xml:space="preserve">B77797     </t>
  </si>
  <si>
    <t xml:space="preserve">B77798     </t>
  </si>
  <si>
    <t xml:space="preserve">B78440     </t>
  </si>
  <si>
    <t xml:space="preserve">B78441     </t>
  </si>
  <si>
    <t xml:space="preserve">B79114     </t>
  </si>
  <si>
    <t xml:space="preserve">B79418     </t>
  </si>
  <si>
    <t xml:space="preserve">B79838     </t>
  </si>
  <si>
    <t xml:space="preserve">B80250     </t>
  </si>
  <si>
    <t xml:space="preserve">B80895     </t>
  </si>
  <si>
    <t xml:space="preserve">B81320     </t>
  </si>
  <si>
    <t xml:space="preserve">B76565     </t>
  </si>
  <si>
    <t xml:space="preserve">B80603     </t>
  </si>
  <si>
    <t xml:space="preserve">B78888     </t>
  </si>
  <si>
    <t xml:space="preserve">B79625     </t>
  </si>
  <si>
    <t xml:space="preserve">B74516     </t>
  </si>
  <si>
    <t xml:space="preserve">B76419     </t>
  </si>
  <si>
    <t xml:space="preserve">B76810     </t>
  </si>
  <si>
    <t xml:space="preserve">B77201     </t>
  </si>
  <si>
    <t xml:space="preserve">B77606     </t>
  </si>
  <si>
    <t xml:space="preserve">B77774     </t>
  </si>
  <si>
    <t xml:space="preserve">B77971     </t>
  </si>
  <si>
    <t xml:space="preserve">B78363     </t>
  </si>
  <si>
    <t xml:space="preserve">B78763     </t>
  </si>
  <si>
    <t xml:space="preserve">B78950     </t>
  </si>
  <si>
    <t xml:space="preserve">B78774     </t>
  </si>
  <si>
    <t xml:space="preserve">B79937     </t>
  </si>
  <si>
    <t>FFX130619CVA</t>
  </si>
  <si>
    <t>STU750101H22</t>
  </si>
  <si>
    <t xml:space="preserve">B80098     </t>
  </si>
  <si>
    <t xml:space="preserve">B80842     </t>
  </si>
  <si>
    <t>GIN811027SS4</t>
  </si>
  <si>
    <t xml:space="preserve">B80022     </t>
  </si>
  <si>
    <t xml:space="preserve">B80023     </t>
  </si>
  <si>
    <t>EOS120326Q54</t>
  </si>
  <si>
    <t xml:space="preserve">B78036     </t>
  </si>
  <si>
    <t xml:space="preserve">B78426     </t>
  </si>
  <si>
    <t xml:space="preserve">B74218     </t>
  </si>
  <si>
    <t xml:space="preserve">B74219     </t>
  </si>
  <si>
    <t xml:space="preserve">B75411     </t>
  </si>
  <si>
    <t xml:space="preserve">B75716     </t>
  </si>
  <si>
    <t xml:space="preserve">B76898     </t>
  </si>
  <si>
    <t xml:space="preserve">B76899     </t>
  </si>
  <si>
    <t xml:space="preserve">B77270     </t>
  </si>
  <si>
    <t xml:space="preserve">B79860     </t>
  </si>
  <si>
    <t xml:space="preserve">B80893     </t>
  </si>
  <si>
    <t xml:space="preserve">B81305     </t>
  </si>
  <si>
    <t xml:space="preserve">B80401     </t>
  </si>
  <si>
    <t xml:space="preserve">B80402     </t>
  </si>
  <si>
    <t xml:space="preserve">B73454     </t>
  </si>
  <si>
    <t xml:space="preserve">B80453     </t>
  </si>
  <si>
    <t xml:space="preserve">B78919     </t>
  </si>
  <si>
    <t xml:space="preserve">B78920     </t>
  </si>
  <si>
    <t xml:space="preserve">B78921     </t>
  </si>
  <si>
    <t xml:space="preserve">B79192     </t>
  </si>
  <si>
    <t xml:space="preserve">B79193     </t>
  </si>
  <si>
    <t xml:space="preserve">B80320     </t>
  </si>
  <si>
    <t xml:space="preserve">B80882     </t>
  </si>
  <si>
    <t xml:space="preserve">B80883     </t>
  </si>
  <si>
    <t>DIB110411TU8</t>
  </si>
  <si>
    <t xml:space="preserve">B79678     </t>
  </si>
  <si>
    <t xml:space="preserve">B69872     </t>
  </si>
  <si>
    <t xml:space="preserve">B79196     </t>
  </si>
  <si>
    <t xml:space="preserve">B79198     </t>
  </si>
  <si>
    <t xml:space="preserve">B77795     </t>
  </si>
  <si>
    <t xml:space="preserve">B78127     </t>
  </si>
  <si>
    <t xml:space="preserve">B78529     </t>
  </si>
  <si>
    <t xml:space="preserve">B79685     </t>
  </si>
  <si>
    <t xml:space="preserve">B79994     </t>
  </si>
  <si>
    <t xml:space="preserve">B80881     </t>
  </si>
  <si>
    <t xml:space="preserve">B70367     </t>
  </si>
  <si>
    <t xml:space="preserve">B72847     </t>
  </si>
  <si>
    <t xml:space="preserve">B74332     </t>
  </si>
  <si>
    <t xml:space="preserve">B74334     </t>
  </si>
  <si>
    <t xml:space="preserve">B74335     </t>
  </si>
  <si>
    <t xml:space="preserve">B74337     </t>
  </si>
  <si>
    <t xml:space="preserve">B74629     </t>
  </si>
  <si>
    <t xml:space="preserve">B74630     </t>
  </si>
  <si>
    <t xml:space="preserve">B74631     </t>
  </si>
  <si>
    <t xml:space="preserve">B76983     </t>
  </si>
  <si>
    <t xml:space="preserve">B76985     </t>
  </si>
  <si>
    <t xml:space="preserve">B76987     </t>
  </si>
  <si>
    <t xml:space="preserve">B76988     </t>
  </si>
  <si>
    <t xml:space="preserve">B78102     </t>
  </si>
  <si>
    <t xml:space="preserve">B78103     </t>
  </si>
  <si>
    <t xml:space="preserve">B78505     </t>
  </si>
  <si>
    <t xml:space="preserve">B79274     </t>
  </si>
  <si>
    <t xml:space="preserve">B79275     </t>
  </si>
  <si>
    <t xml:space="preserve">B79276     </t>
  </si>
  <si>
    <t xml:space="preserve">B79669     </t>
  </si>
  <si>
    <t xml:space="preserve">B79982     </t>
  </si>
  <si>
    <t xml:space="preserve">B79769     </t>
  </si>
  <si>
    <t xml:space="preserve">B79665     </t>
  </si>
  <si>
    <t xml:space="preserve">B80876     </t>
  </si>
  <si>
    <t>Cisterna de almacenamiento de agua</t>
  </si>
  <si>
    <t>Instalación de cámaras de circuito cerrado</t>
  </si>
  <si>
    <t>Estacionamientos en camellones</t>
  </si>
  <si>
    <t>Construcción de estacionamientos públicos.</t>
  </si>
  <si>
    <t>Instalación de cámaras de circuito cerrado.</t>
  </si>
  <si>
    <t>Construcción de carril lateral Tabalaopa</t>
  </si>
  <si>
    <t>Construcción de área de estacionamiento en el dren pluvial.</t>
  </si>
  <si>
    <t>Construcción de incubadoras para PYMES</t>
  </si>
  <si>
    <t>Construcción de reductores de velocidad con concreto hidráulico.</t>
  </si>
  <si>
    <t>Drenaje pluvial</t>
  </si>
  <si>
    <t>Vialidad Rio Batopilas y drenaje pluvial</t>
  </si>
  <si>
    <t>Rehabilitación de vialidades.</t>
  </si>
  <si>
    <t>Construcción de incubadoras para PYMES (Centauro del norte)</t>
  </si>
  <si>
    <t>PARQUE AGROINDUSTRIAL DELICIAS</t>
  </si>
  <si>
    <t>PARQUE INDUSTRIAL INSURGENTES</t>
  </si>
  <si>
    <t>PARQUE INDUSTRIAL EL SOLDADO</t>
  </si>
  <si>
    <t>1122-11971</t>
  </si>
  <si>
    <t>SINERGIA Y MASIVOS SA DE CV</t>
  </si>
  <si>
    <t>1122-12023</t>
  </si>
  <si>
    <t>PRODUCTOS LACTEOS SAN BUENA SA DE CV</t>
  </si>
  <si>
    <t>1122-12024</t>
  </si>
  <si>
    <t>MONTACARGAS YALE DE MEXICO SA DE CV</t>
  </si>
  <si>
    <t>1122-12026</t>
  </si>
  <si>
    <t>DINAMAK MACHINING SOLUTIONS DE MEXICO SA DE CV</t>
  </si>
  <si>
    <t>1122-12031</t>
  </si>
  <si>
    <t>DSI UNDER GROUND MEXICO SA DE CV</t>
  </si>
  <si>
    <t>1122-12032</t>
  </si>
  <si>
    <t>ABARROTERA DEL DUERO SA DE CV</t>
  </si>
  <si>
    <t>1122-12035</t>
  </si>
  <si>
    <t>DISTRIBUCIONES INTERNACIONALES AMERICA SA DE CV</t>
  </si>
  <si>
    <t>2112-1-31801</t>
  </si>
  <si>
    <t>SERVICIOS POSTALES Y TELEGRAFICOS</t>
  </si>
  <si>
    <t>5131-31801</t>
  </si>
  <si>
    <t>8240-14898-0201-01-31801-1</t>
  </si>
  <si>
    <t>8250-14898-0201-01-31801-1</t>
  </si>
  <si>
    <t>8260-14898-0201-01-31801-1</t>
  </si>
  <si>
    <t>8270-14898-0201-01-31801-1</t>
  </si>
  <si>
    <t>SINERGIA Y MASIVOS, S.A. DE C.V.</t>
  </si>
  <si>
    <t>DINAMAQ MACHINING SOLUTIONS DE MEXICO SA DE CV</t>
  </si>
  <si>
    <t xml:space="preserve">B91426     </t>
  </si>
  <si>
    <t>DMS190528289</t>
  </si>
  <si>
    <t xml:space="preserve">B91427     </t>
  </si>
  <si>
    <t xml:space="preserve">B91440     </t>
  </si>
  <si>
    <t xml:space="preserve">B91418     </t>
  </si>
  <si>
    <t>SMA070806B77</t>
  </si>
  <si>
    <t xml:space="preserve">B91423     </t>
  </si>
  <si>
    <t xml:space="preserve">B91392     </t>
  </si>
  <si>
    <t xml:space="preserve">B91391     </t>
  </si>
  <si>
    <t xml:space="preserve">B91400     </t>
  </si>
  <si>
    <t xml:space="preserve">B91338     </t>
  </si>
  <si>
    <t xml:space="preserve">B91277     </t>
  </si>
  <si>
    <t xml:space="preserve">B91210     </t>
  </si>
  <si>
    <t xml:space="preserve">B91175     </t>
  </si>
  <si>
    <t xml:space="preserve">B91167     </t>
  </si>
  <si>
    <t xml:space="preserve">B91168     </t>
  </si>
  <si>
    <t xml:space="preserve">B91163     </t>
  </si>
  <si>
    <t xml:space="preserve">B91153     </t>
  </si>
  <si>
    <t xml:space="preserve">B91076     </t>
  </si>
  <si>
    <t xml:space="preserve">B91077     </t>
  </si>
  <si>
    <t xml:space="preserve">B91115     </t>
  </si>
  <si>
    <t>Presupuesto original</t>
  </si>
  <si>
    <t>1122-12028</t>
  </si>
  <si>
    <t>CIKLO RECICLADOS Y PROCESADOS S DE RL DE CV</t>
  </si>
  <si>
    <t>1122-12029</t>
  </si>
  <si>
    <t>ANALIA PADILLA SOTO</t>
  </si>
  <si>
    <t>1122-21097</t>
  </si>
  <si>
    <t>MANTENIMIENTO  INTEGRAL FINSA SA DE CV</t>
  </si>
  <si>
    <t>1124-10009</t>
  </si>
  <si>
    <t>SALDO A FAV IVA MAY 2020</t>
  </si>
  <si>
    <t xml:space="preserve">B91906     </t>
  </si>
  <si>
    <t xml:space="preserve">B91896     </t>
  </si>
  <si>
    <t xml:space="preserve">B91875     </t>
  </si>
  <si>
    <t xml:space="preserve">B91850     </t>
  </si>
  <si>
    <t xml:space="preserve">B91854     </t>
  </si>
  <si>
    <t xml:space="preserve">B91856     </t>
  </si>
  <si>
    <t xml:space="preserve">B91830     </t>
  </si>
  <si>
    <t xml:space="preserve">B91831     </t>
  </si>
  <si>
    <t xml:space="preserve">B91801     </t>
  </si>
  <si>
    <t xml:space="preserve">B91798     </t>
  </si>
  <si>
    <t xml:space="preserve">B91650     </t>
  </si>
  <si>
    <t xml:space="preserve">B91663     </t>
  </si>
  <si>
    <t xml:space="preserve">B91685     </t>
  </si>
  <si>
    <t xml:space="preserve">B91636     </t>
  </si>
  <si>
    <t xml:space="preserve">B91625     </t>
  </si>
  <si>
    <t xml:space="preserve">B91626     </t>
  </si>
  <si>
    <t xml:space="preserve">B91608     </t>
  </si>
  <si>
    <t>1124-10010</t>
  </si>
  <si>
    <t>SALDO A FAV IVA JUN 2020</t>
  </si>
  <si>
    <t>2020 (REA cancelación facturas)</t>
  </si>
  <si>
    <t xml:space="preserve">B92341     </t>
  </si>
  <si>
    <t xml:space="preserve">B92321     </t>
  </si>
  <si>
    <t xml:space="preserve">B92322     </t>
  </si>
  <si>
    <t xml:space="preserve">B92313     </t>
  </si>
  <si>
    <t xml:space="preserve">B92314     </t>
  </si>
  <si>
    <t xml:space="preserve">B92276     </t>
  </si>
  <si>
    <t xml:space="preserve">B92278     </t>
  </si>
  <si>
    <t xml:space="preserve">B92296     </t>
  </si>
  <si>
    <t xml:space="preserve">B92274     </t>
  </si>
  <si>
    <t xml:space="preserve">B92214     </t>
  </si>
  <si>
    <t xml:space="preserve">B92211     </t>
  </si>
  <si>
    <t xml:space="preserve">B92160     </t>
  </si>
  <si>
    <t xml:space="preserve">B91985     </t>
  </si>
  <si>
    <t xml:space="preserve">B92007     </t>
  </si>
  <si>
    <t xml:space="preserve">B92003     </t>
  </si>
  <si>
    <t xml:space="preserve">B92024     </t>
  </si>
  <si>
    <t xml:space="preserve">B92036     </t>
  </si>
  <si>
    <t xml:space="preserve">B92045     </t>
  </si>
  <si>
    <t xml:space="preserve">B92084     </t>
  </si>
  <si>
    <t>1123-10001</t>
  </si>
  <si>
    <t>1122-79</t>
  </si>
  <si>
    <t>SRIA. DE ECONOMIA</t>
  </si>
  <si>
    <t>1124-10011</t>
  </si>
  <si>
    <t>SALDO A FAV IVA JUL 2020</t>
  </si>
  <si>
    <t xml:space="preserve">B92796     </t>
  </si>
  <si>
    <t xml:space="preserve">B92797     </t>
  </si>
  <si>
    <t xml:space="preserve">B92767     </t>
  </si>
  <si>
    <t xml:space="preserve">B92768     </t>
  </si>
  <si>
    <t xml:space="preserve">B92741     </t>
  </si>
  <si>
    <t xml:space="preserve">B92742     </t>
  </si>
  <si>
    <t xml:space="preserve">B92750     </t>
  </si>
  <si>
    <t xml:space="preserve">B92751     </t>
  </si>
  <si>
    <t xml:space="preserve">B92752     </t>
  </si>
  <si>
    <t>PALOMINO MAKINOVO SA DE CV</t>
  </si>
  <si>
    <t xml:space="preserve">B92759     </t>
  </si>
  <si>
    <t xml:space="preserve">B92745     </t>
  </si>
  <si>
    <t xml:space="preserve">B92746     </t>
  </si>
  <si>
    <t xml:space="preserve">B92747     </t>
  </si>
  <si>
    <t xml:space="preserve">B92743     </t>
  </si>
  <si>
    <t xml:space="preserve">B92744     </t>
  </si>
  <si>
    <t xml:space="preserve">B92707     </t>
  </si>
  <si>
    <t xml:space="preserve">B92706     </t>
  </si>
  <si>
    <t>BOWP490629I93</t>
  </si>
  <si>
    <t xml:space="preserve">B92708     </t>
  </si>
  <si>
    <t xml:space="preserve">B92724     </t>
  </si>
  <si>
    <t xml:space="preserve">B92682     </t>
  </si>
  <si>
    <t>Aditivos y Recubrimientos Tecnicos S.A.</t>
  </si>
  <si>
    <t>ART9108212Z3</t>
  </si>
  <si>
    <t xml:space="preserve">B92649     </t>
  </si>
  <si>
    <t xml:space="preserve">B92650     </t>
  </si>
  <si>
    <t xml:space="preserve">B92596     </t>
  </si>
  <si>
    <t xml:space="preserve">B92608     </t>
  </si>
  <si>
    <t xml:space="preserve">B92595     </t>
  </si>
  <si>
    <t xml:space="preserve">B92590     </t>
  </si>
  <si>
    <t xml:space="preserve">B92580     </t>
  </si>
  <si>
    <t xml:space="preserve">B92451     </t>
  </si>
  <si>
    <t xml:space="preserve">B92520     </t>
  </si>
  <si>
    <t>1122-12040</t>
  </si>
  <si>
    <t>ABASTOS Y DISTRIBUCIONES INTERNACIONALES SA DE CV</t>
  </si>
  <si>
    <t>1122-12041</t>
  </si>
  <si>
    <t>GAMMA INGREDIENTES S DE RL DE MI</t>
  </si>
  <si>
    <t>1124-10012</t>
  </si>
  <si>
    <t>SALDO A FAV IVA AGO 2020</t>
  </si>
  <si>
    <t>SEGREGACION A</t>
  </si>
  <si>
    <t>PARCELA 62</t>
  </si>
  <si>
    <t>ADQ. MARTHA SOFIA CHAVEZ TREJO</t>
  </si>
  <si>
    <t>ANTIGÜEDAD DE SALDOS</t>
  </si>
  <si>
    <t>ACUMULADO</t>
  </si>
  <si>
    <t>POR VENCER</t>
  </si>
  <si>
    <t>30 DÍAS</t>
  </si>
  <si>
    <t>60 DÍAS</t>
  </si>
  <si>
    <t>MÁS DE 60 DÍAS</t>
  </si>
  <si>
    <t>79489 B</t>
  </si>
  <si>
    <t>80108 B</t>
  </si>
  <si>
    <t>84175 B</t>
  </si>
  <si>
    <t>84176 B</t>
  </si>
  <si>
    <t>85884 B</t>
  </si>
  <si>
    <t>TOTALES</t>
  </si>
  <si>
    <t>Superior Industries de Mexico S.de R.L. de C.V.</t>
  </si>
  <si>
    <t>87128 B</t>
  </si>
  <si>
    <t>88007 B</t>
  </si>
  <si>
    <t>88411 B</t>
  </si>
  <si>
    <t>88854 B</t>
  </si>
  <si>
    <t>89971 B</t>
  </si>
  <si>
    <t>15/05/2020</t>
  </si>
  <si>
    <t>91850 B</t>
  </si>
  <si>
    <t>91854 B</t>
  </si>
  <si>
    <t>91856 B</t>
  </si>
  <si>
    <t>91985 B</t>
  </si>
  <si>
    <t>90633 B</t>
  </si>
  <si>
    <t>90634 B</t>
  </si>
  <si>
    <t>90635 B</t>
  </si>
  <si>
    <t>91076 B</t>
  </si>
  <si>
    <t>91077 B</t>
  </si>
  <si>
    <t>19/05/2020</t>
  </si>
  <si>
    <t>91875 B</t>
  </si>
  <si>
    <t>92007 B</t>
  </si>
  <si>
    <t>92707 B</t>
  </si>
  <si>
    <t>93129 B</t>
  </si>
  <si>
    <t>76359 B</t>
  </si>
  <si>
    <t>Xomox Chihuahua S.A. de C.V.</t>
  </si>
  <si>
    <t>80143 B</t>
  </si>
  <si>
    <t>27/04/2020</t>
  </si>
  <si>
    <t>87341 B</t>
  </si>
  <si>
    <t>87723 B</t>
  </si>
  <si>
    <t>59556 B</t>
  </si>
  <si>
    <t>60222 B</t>
  </si>
  <si>
    <t>60223 B</t>
  </si>
  <si>
    <t>60527 B</t>
  </si>
  <si>
    <t>60528 B</t>
  </si>
  <si>
    <t>60529 B</t>
  </si>
  <si>
    <t>60923 B</t>
  </si>
  <si>
    <t>60924 B</t>
  </si>
  <si>
    <t>60925 B</t>
  </si>
  <si>
    <t>61224 B</t>
  </si>
  <si>
    <t>61225 B</t>
  </si>
  <si>
    <t>61226 B</t>
  </si>
  <si>
    <t>61527 B</t>
  </si>
  <si>
    <t>61528 B</t>
  </si>
  <si>
    <t>61529 B</t>
  </si>
  <si>
    <t>61898 B</t>
  </si>
  <si>
    <t>61899 B</t>
  </si>
  <si>
    <t>61900 B</t>
  </si>
  <si>
    <t>62332 B</t>
  </si>
  <si>
    <t>62333 B</t>
  </si>
  <si>
    <t>62334 B</t>
  </si>
  <si>
    <t>62659 B</t>
  </si>
  <si>
    <t>62660 B</t>
  </si>
  <si>
    <t>62661 B</t>
  </si>
  <si>
    <t>62991 B</t>
  </si>
  <si>
    <t>62992 B</t>
  </si>
  <si>
    <t>62993 B</t>
  </si>
  <si>
    <t>63304 B</t>
  </si>
  <si>
    <t>63305 B</t>
  </si>
  <si>
    <t>63306 B</t>
  </si>
  <si>
    <t>63659 B</t>
  </si>
  <si>
    <t>63660 B</t>
  </si>
  <si>
    <t>63661 B</t>
  </si>
  <si>
    <t>63990 B</t>
  </si>
  <si>
    <t>63991 B</t>
  </si>
  <si>
    <t>63992 B</t>
  </si>
  <si>
    <t>64350 B</t>
  </si>
  <si>
    <t>64351 B</t>
  </si>
  <si>
    <t>64352 B</t>
  </si>
  <si>
    <t>64715 B</t>
  </si>
  <si>
    <t>64716 B</t>
  </si>
  <si>
    <t>64717 B</t>
  </si>
  <si>
    <t>65137 B</t>
  </si>
  <si>
    <t>65138 B</t>
  </si>
  <si>
    <t>65139 B</t>
  </si>
  <si>
    <t>65422 B</t>
  </si>
  <si>
    <t>65423 B</t>
  </si>
  <si>
    <t>65424 B</t>
  </si>
  <si>
    <t>65776 B</t>
  </si>
  <si>
    <t>65777 B</t>
  </si>
  <si>
    <t>65778 B</t>
  </si>
  <si>
    <t>66151 B</t>
  </si>
  <si>
    <t>66152 B</t>
  </si>
  <si>
    <t>66153 B</t>
  </si>
  <si>
    <t>66612 B</t>
  </si>
  <si>
    <t>66613 B</t>
  </si>
  <si>
    <t>66614 B</t>
  </si>
  <si>
    <t>66972 B</t>
  </si>
  <si>
    <t>66973 B</t>
  </si>
  <si>
    <t>66974 B</t>
  </si>
  <si>
    <t>67322 B</t>
  </si>
  <si>
    <t>67323 B</t>
  </si>
  <si>
    <t>67324 B</t>
  </si>
  <si>
    <t>67720 B</t>
  </si>
  <si>
    <t>67721 B</t>
  </si>
  <si>
    <t>67722 B</t>
  </si>
  <si>
    <t>68121 B</t>
  </si>
  <si>
    <t>68122 B</t>
  </si>
  <si>
    <t>68123 B</t>
  </si>
  <si>
    <t>68474 B</t>
  </si>
  <si>
    <t>68475 B</t>
  </si>
  <si>
    <t>68476 B</t>
  </si>
  <si>
    <t>68853 B</t>
  </si>
  <si>
    <t>68854 B</t>
  </si>
  <si>
    <t>68855 B</t>
  </si>
  <si>
    <t>69200 B</t>
  </si>
  <si>
    <t>69201 B</t>
  </si>
  <si>
    <t>69202 B</t>
  </si>
  <si>
    <t>69609 B</t>
  </si>
  <si>
    <t>69610 B</t>
  </si>
  <si>
    <t>69611 B</t>
  </si>
  <si>
    <t>70029 B</t>
  </si>
  <si>
    <t>70030 B</t>
  </si>
  <si>
    <t>70031 B</t>
  </si>
  <si>
    <t>70408 B</t>
  </si>
  <si>
    <t>70409 B</t>
  </si>
  <si>
    <t>70410 B</t>
  </si>
  <si>
    <t>70797 B</t>
  </si>
  <si>
    <t>70799 B</t>
  </si>
  <si>
    <t>71066 B</t>
  </si>
  <si>
    <t>71189 B</t>
  </si>
  <si>
    <t>71190 B</t>
  </si>
  <si>
    <t>71191 B</t>
  </si>
  <si>
    <t>71666 B</t>
  </si>
  <si>
    <t>71667 B</t>
  </si>
  <si>
    <t>71668 B</t>
  </si>
  <si>
    <t>72089 B</t>
  </si>
  <si>
    <t>72090 B</t>
  </si>
  <si>
    <t>72091 B</t>
  </si>
  <si>
    <t>72498 B</t>
  </si>
  <si>
    <t>72499 B</t>
  </si>
  <si>
    <t>72500 B</t>
  </si>
  <si>
    <t>79315 B</t>
  </si>
  <si>
    <t>79316 B</t>
  </si>
  <si>
    <t>79317 B</t>
  </si>
  <si>
    <t>79318 B</t>
  </si>
  <si>
    <t>21/04/2020</t>
  </si>
  <si>
    <t>80558 B</t>
  </si>
  <si>
    <t>20/05/2020</t>
  </si>
  <si>
    <t>27/07/2020</t>
  </si>
  <si>
    <t>88750 B</t>
  </si>
  <si>
    <t>89133 B</t>
  </si>
  <si>
    <t>89372 B</t>
  </si>
  <si>
    <t>89789 B</t>
  </si>
  <si>
    <t>90216 B</t>
  </si>
  <si>
    <t>90782 B</t>
  </si>
  <si>
    <t>23/04/2020</t>
  </si>
  <si>
    <t>91338 B</t>
  </si>
  <si>
    <t>91650 B</t>
  </si>
  <si>
    <t>92003 B</t>
  </si>
  <si>
    <t>92451 B</t>
  </si>
  <si>
    <t>92884 B</t>
  </si>
  <si>
    <t>79801 B</t>
  </si>
  <si>
    <t>79802 B</t>
  </si>
  <si>
    <t>86058 B</t>
  </si>
  <si>
    <t>86059 B</t>
  </si>
  <si>
    <t>80360 B</t>
  </si>
  <si>
    <t>82310 B</t>
  </si>
  <si>
    <t>69647 B</t>
  </si>
  <si>
    <t>89837 B</t>
  </si>
  <si>
    <t>61586 B</t>
  </si>
  <si>
    <t>Aditivos y Recubrimientos Tecnicos S.A. de C.V.</t>
  </si>
  <si>
    <t>81656 B</t>
  </si>
  <si>
    <t>15/01/2019</t>
  </si>
  <si>
    <t>84808 B</t>
  </si>
  <si>
    <t>85160 B</t>
  </si>
  <si>
    <t>88927 B</t>
  </si>
  <si>
    <t>92889 B</t>
  </si>
  <si>
    <t>Servicios Garica</t>
  </si>
  <si>
    <t>81440 B</t>
  </si>
  <si>
    <t>81779 B</t>
  </si>
  <si>
    <t>28/04/2020</t>
  </si>
  <si>
    <t>75756 B</t>
  </si>
  <si>
    <t>75769 B</t>
  </si>
  <si>
    <t>77373 B</t>
  </si>
  <si>
    <t>88935 B</t>
  </si>
  <si>
    <t>89469 B</t>
  </si>
  <si>
    <t>89842 B</t>
  </si>
  <si>
    <t>90299 B</t>
  </si>
  <si>
    <t>90801 B</t>
  </si>
  <si>
    <t>91153 B</t>
  </si>
  <si>
    <t>91663 B</t>
  </si>
  <si>
    <t>92160 B</t>
  </si>
  <si>
    <t>Grupo American Industries S.A de C.V.</t>
  </si>
  <si>
    <t>Cadena Comercial OXXO S.A de C.V.</t>
  </si>
  <si>
    <t>27/08/2018</t>
  </si>
  <si>
    <t>82734 B</t>
  </si>
  <si>
    <t>82736 B</t>
  </si>
  <si>
    <t>13/11/2019</t>
  </si>
  <si>
    <t>20/02/2020</t>
  </si>
  <si>
    <t>90575 B</t>
  </si>
  <si>
    <t>90576 B</t>
  </si>
  <si>
    <t>90991 B</t>
  </si>
  <si>
    <t>91163 B</t>
  </si>
  <si>
    <t>91167 B</t>
  </si>
  <si>
    <t>13/05/2020</t>
  </si>
  <si>
    <t>91830 B</t>
  </si>
  <si>
    <t>91831 B</t>
  </si>
  <si>
    <t>92313 B</t>
  </si>
  <si>
    <t>92314 B</t>
  </si>
  <si>
    <t>15/06/2020</t>
  </si>
  <si>
    <t>92767 B</t>
  </si>
  <si>
    <t>92768 B</t>
  </si>
  <si>
    <t>28/07/2020</t>
  </si>
  <si>
    <t>20/08/2020</t>
  </si>
  <si>
    <t>93227 B</t>
  </si>
  <si>
    <t>27/08/2020</t>
  </si>
  <si>
    <t>93253 B</t>
  </si>
  <si>
    <t>79384 B</t>
  </si>
  <si>
    <t>30/01/2019</t>
  </si>
  <si>
    <t>28/06/2019</t>
  </si>
  <si>
    <t>76025 B</t>
  </si>
  <si>
    <t>76486 B</t>
  </si>
  <si>
    <t>76901 B</t>
  </si>
  <si>
    <t>77797 B</t>
  </si>
  <si>
    <t>77798 B</t>
  </si>
  <si>
    <t>78440 B</t>
  </si>
  <si>
    <t>78441 B</t>
  </si>
  <si>
    <t>79114 B</t>
  </si>
  <si>
    <t>79418 B</t>
  </si>
  <si>
    <t>79838 B</t>
  </si>
  <si>
    <t>80250 B</t>
  </si>
  <si>
    <t>80895 B</t>
  </si>
  <si>
    <t>81320 B</t>
  </si>
  <si>
    <t>81729 B</t>
  </si>
  <si>
    <t>82150 B</t>
  </si>
  <si>
    <t>82533 B</t>
  </si>
  <si>
    <t>25/09/2018</t>
  </si>
  <si>
    <t>83012 B</t>
  </si>
  <si>
    <t>Pactiv México S De R.L De C.V</t>
  </si>
  <si>
    <t>15/01/2020</t>
  </si>
  <si>
    <t>90092 B</t>
  </si>
  <si>
    <t>83430 B</t>
  </si>
  <si>
    <t>RESIDEO MANUFACTURAS DE CHIHUAHUA S.DE.R.L. DE C.V.</t>
  </si>
  <si>
    <t>13/02/2019</t>
  </si>
  <si>
    <t>85303 B</t>
  </si>
  <si>
    <t>89784 B</t>
  </si>
  <si>
    <t>Durabox de Chihuahua S.A. De C.V.</t>
  </si>
  <si>
    <t>Proveedora de Servicios y Cultura Fisica DABSE SA de CV</t>
  </si>
  <si>
    <t>93180 B</t>
  </si>
  <si>
    <t>93181 B</t>
  </si>
  <si>
    <t>Marlo Industrias S.A de C.V.</t>
  </si>
  <si>
    <t>85179 B</t>
  </si>
  <si>
    <t>85636 B</t>
  </si>
  <si>
    <t>Bimbo S.A. de C.V.</t>
  </si>
  <si>
    <t>74516 B</t>
  </si>
  <si>
    <t>76419 B</t>
  </si>
  <si>
    <t>76810 B</t>
  </si>
  <si>
    <t>77201 B</t>
  </si>
  <si>
    <t>77606 B</t>
  </si>
  <si>
    <t>77774 B</t>
  </si>
  <si>
    <t>77971 B</t>
  </si>
  <si>
    <t>78363 B</t>
  </si>
  <si>
    <t>78763 B</t>
  </si>
  <si>
    <t>78950 B</t>
  </si>
  <si>
    <t>79719 B</t>
  </si>
  <si>
    <t>81659 B</t>
  </si>
  <si>
    <t>81660 B</t>
  </si>
  <si>
    <t>82670 B</t>
  </si>
  <si>
    <t>82928 B</t>
  </si>
  <si>
    <t>83867 B</t>
  </si>
  <si>
    <t>84270 B</t>
  </si>
  <si>
    <t>84837 B</t>
  </si>
  <si>
    <t>85243 B</t>
  </si>
  <si>
    <t>85660 B</t>
  </si>
  <si>
    <t>86042 B</t>
  </si>
  <si>
    <t>13/08/2019</t>
  </si>
  <si>
    <t>87916 B</t>
  </si>
  <si>
    <t>88330 B</t>
  </si>
  <si>
    <t>89488 B</t>
  </si>
  <si>
    <t>89858 B</t>
  </si>
  <si>
    <t>90313 B</t>
  </si>
  <si>
    <t>90819 B</t>
  </si>
  <si>
    <t>23/06/2020</t>
  </si>
  <si>
    <t>92341 B</t>
  </si>
  <si>
    <t>92595 B</t>
  </si>
  <si>
    <t>14/07/2020</t>
  </si>
  <si>
    <t>92741 B</t>
  </si>
  <si>
    <t>92742 B</t>
  </si>
  <si>
    <t>93023 B</t>
  </si>
  <si>
    <t>Gobierno del Estado de Chihuahua (Depto de ingresos de inversion publica)</t>
  </si>
  <si>
    <t>81093 B</t>
  </si>
  <si>
    <t>91210 B</t>
  </si>
  <si>
    <t>92649 B</t>
  </si>
  <si>
    <t>92650 B</t>
  </si>
  <si>
    <t>88885 B</t>
  </si>
  <si>
    <t>89340 B</t>
  </si>
  <si>
    <t>89727 B</t>
  </si>
  <si>
    <t>89766 B</t>
  </si>
  <si>
    <t>89767 B</t>
  </si>
  <si>
    <t>90195 B</t>
  </si>
  <si>
    <t>90822 B</t>
  </si>
  <si>
    <t>91115 B</t>
  </si>
  <si>
    <t>91685 B</t>
  </si>
  <si>
    <t>Desarrollo de Ingenieria y Contratacion SA de CV</t>
  </si>
  <si>
    <t>22/03/2019</t>
  </si>
  <si>
    <t>85766 B</t>
  </si>
  <si>
    <t>78774 B</t>
  </si>
  <si>
    <t>82228 B</t>
  </si>
  <si>
    <t>82613 B</t>
  </si>
  <si>
    <t>83053 B</t>
  </si>
  <si>
    <t>83400 B</t>
  </si>
  <si>
    <t>83876 B</t>
  </si>
  <si>
    <t>84334 B</t>
  </si>
  <si>
    <t>84665 B</t>
  </si>
  <si>
    <t>85132 B</t>
  </si>
  <si>
    <t>15/04/2019</t>
  </si>
  <si>
    <t>86185 B</t>
  </si>
  <si>
    <t>86186 B</t>
  </si>
  <si>
    <t>87786 B</t>
  </si>
  <si>
    <t>84649 B</t>
  </si>
  <si>
    <t>84729 B</t>
  </si>
  <si>
    <t>85101 B</t>
  </si>
  <si>
    <t>89959 B</t>
  </si>
  <si>
    <t>90087 B</t>
  </si>
  <si>
    <t>83429 B</t>
  </si>
  <si>
    <t>81467 B</t>
  </si>
  <si>
    <t>81468 B</t>
  </si>
  <si>
    <t>82586 B</t>
  </si>
  <si>
    <t>83803 B</t>
  </si>
  <si>
    <t>84254 B</t>
  </si>
  <si>
    <t>84255 B</t>
  </si>
  <si>
    <t>84256 B</t>
  </si>
  <si>
    <t>89512 B</t>
  </si>
  <si>
    <t>92276 B</t>
  </si>
  <si>
    <t>92278 B</t>
  </si>
  <si>
    <t>92750 B</t>
  </si>
  <si>
    <t>92751 B</t>
  </si>
  <si>
    <t>92752 B</t>
  </si>
  <si>
    <t>NALCO DE MEXICO</t>
  </si>
  <si>
    <t>89873 B</t>
  </si>
  <si>
    <t>80098 B</t>
  </si>
  <si>
    <t>24/08/2020</t>
  </si>
  <si>
    <t>93234 B</t>
  </si>
  <si>
    <t>93235 B</t>
  </si>
  <si>
    <t>DISTRIBUIDOR MOBILE HIDRAULICO E INDUSTRIAL SA DE CV</t>
  </si>
  <si>
    <t>83064 B</t>
  </si>
  <si>
    <t>83441 B</t>
  </si>
  <si>
    <t>84367 B</t>
  </si>
  <si>
    <t>85421 B</t>
  </si>
  <si>
    <t>82061 B</t>
  </si>
  <si>
    <t>90760 B</t>
  </si>
  <si>
    <t>80842 B</t>
  </si>
  <si>
    <t>83021 B</t>
  </si>
  <si>
    <t>80022 B</t>
  </si>
  <si>
    <t>80023 B</t>
  </si>
  <si>
    <t>15/04/2020</t>
  </si>
  <si>
    <t>91175 B</t>
  </si>
  <si>
    <t>92024 B</t>
  </si>
  <si>
    <t>92520 B</t>
  </si>
  <si>
    <t>92951 B</t>
  </si>
  <si>
    <t>87822 B</t>
  </si>
  <si>
    <t>88210 B</t>
  </si>
  <si>
    <t>88615 B</t>
  </si>
  <si>
    <t>89537 B</t>
  </si>
  <si>
    <t>83432 B</t>
  </si>
  <si>
    <t>85273 B</t>
  </si>
  <si>
    <t>INDICON</t>
  </si>
  <si>
    <t>88623 B</t>
  </si>
  <si>
    <t>88624 B</t>
  </si>
  <si>
    <t>17/02/2020</t>
  </si>
  <si>
    <t>90568 B</t>
  </si>
  <si>
    <t>90876 B</t>
  </si>
  <si>
    <t>78036 B</t>
  </si>
  <si>
    <t>78426 B</t>
  </si>
  <si>
    <t>83472 B</t>
  </si>
  <si>
    <t>87336 B</t>
  </si>
  <si>
    <t>92036 B</t>
  </si>
  <si>
    <t>92796 B</t>
  </si>
  <si>
    <t>92797 B</t>
  </si>
  <si>
    <t>Administración y Consultorías de Chihuahua SA de CV</t>
  </si>
  <si>
    <t>80767 B</t>
  </si>
  <si>
    <t>92045 B</t>
  </si>
  <si>
    <t>74218 B</t>
  </si>
  <si>
    <t>74219 B</t>
  </si>
  <si>
    <t>75411 B</t>
  </si>
  <si>
    <t>75716 B</t>
  </si>
  <si>
    <t>76898 B</t>
  </si>
  <si>
    <t>76899 B</t>
  </si>
  <si>
    <t>77270 B</t>
  </si>
  <si>
    <t>89200 B</t>
  </si>
  <si>
    <t>89389 B</t>
  </si>
  <si>
    <t>20/01/2020</t>
  </si>
  <si>
    <t>90128 B</t>
  </si>
  <si>
    <t>90458 B</t>
  </si>
  <si>
    <t>91418 B</t>
  </si>
  <si>
    <t>92321 B</t>
  </si>
  <si>
    <t>92322 B</t>
  </si>
  <si>
    <t>92706 B</t>
  </si>
  <si>
    <t>Deutsche Bank Mexico Sociedad Anonima Institucion de Banca Multiple Division Fiduciaria F/1616</t>
  </si>
  <si>
    <t>88873 B</t>
  </si>
  <si>
    <t>89334 B</t>
  </si>
  <si>
    <t>90017 B</t>
  </si>
  <si>
    <t>79860 B</t>
  </si>
  <si>
    <t>83374 B</t>
  </si>
  <si>
    <t>92708 B</t>
  </si>
  <si>
    <t>80893 B</t>
  </si>
  <si>
    <t>81305 B</t>
  </si>
  <si>
    <t>81633 B</t>
  </si>
  <si>
    <t>82051 B</t>
  </si>
  <si>
    <t>82484 B</t>
  </si>
  <si>
    <t>82948 B</t>
  </si>
  <si>
    <t>83970 B</t>
  </si>
  <si>
    <t>84418 B</t>
  </si>
  <si>
    <t>84724 B</t>
  </si>
  <si>
    <t>85096 B</t>
  </si>
  <si>
    <t>85557 B</t>
  </si>
  <si>
    <t>85976 B</t>
  </si>
  <si>
    <t>86422 B</t>
  </si>
  <si>
    <t>86867 B</t>
  </si>
  <si>
    <t>87319 B</t>
  </si>
  <si>
    <t>87631 B</t>
  </si>
  <si>
    <t>88138 B</t>
  </si>
  <si>
    <t>88702 B</t>
  </si>
  <si>
    <t>89146 B</t>
  </si>
  <si>
    <t>89415 B</t>
  </si>
  <si>
    <t>90067 B</t>
  </si>
  <si>
    <t>90989 B</t>
  </si>
  <si>
    <t>90990 B</t>
  </si>
  <si>
    <t>19/03/2020</t>
  </si>
  <si>
    <t>91020 B</t>
  </si>
  <si>
    <t>80401 B</t>
  </si>
  <si>
    <t>80402 B</t>
  </si>
  <si>
    <t>87927 B</t>
  </si>
  <si>
    <t>28/10/2019</t>
  </si>
  <si>
    <t>88824 B</t>
  </si>
  <si>
    <t>91426 B</t>
  </si>
  <si>
    <t>ADEMCO COMERCIAL Y CENTRO DE INVESTIGACION Y DESARROLLO S DE RL DE CV</t>
  </si>
  <si>
    <t>82448 B</t>
  </si>
  <si>
    <t>82449 B</t>
  </si>
  <si>
    <t>84589 B</t>
  </si>
  <si>
    <t>84590 B</t>
  </si>
  <si>
    <t>88683 B</t>
  </si>
  <si>
    <t>88779 B</t>
  </si>
  <si>
    <t>90124 B</t>
  </si>
  <si>
    <t>PALOMINO MAKINOVO, SA DE CV</t>
  </si>
  <si>
    <t>87668 B</t>
  </si>
  <si>
    <t>88738 B</t>
  </si>
  <si>
    <t>89555 B</t>
  </si>
  <si>
    <t>91423 B</t>
  </si>
  <si>
    <t>91906 B</t>
  </si>
  <si>
    <t>92296 B</t>
  </si>
  <si>
    <t>92759 B</t>
  </si>
  <si>
    <t>93173 B</t>
  </si>
  <si>
    <t>92084 B</t>
  </si>
  <si>
    <t>92590 B</t>
  </si>
  <si>
    <t>93018 B</t>
  </si>
  <si>
    <t>TRAILERS YSERVICIOS DE JUAREZ SA DE CV</t>
  </si>
  <si>
    <t>89157 B</t>
  </si>
  <si>
    <t>90111 B</t>
  </si>
  <si>
    <t>19/02/2020</t>
  </si>
  <si>
    <t>90573 B</t>
  </si>
  <si>
    <t>91391 B</t>
  </si>
  <si>
    <t>91392 B</t>
  </si>
  <si>
    <t>91896 B</t>
  </si>
  <si>
    <t>92274 B</t>
  </si>
  <si>
    <t>92724 B</t>
  </si>
  <si>
    <t>93111 B</t>
  </si>
  <si>
    <t>14/06/2019</t>
  </si>
  <si>
    <t>87083 B</t>
  </si>
  <si>
    <t>87485 B</t>
  </si>
  <si>
    <t>87906 B</t>
  </si>
  <si>
    <t>87486 B</t>
  </si>
  <si>
    <t>88350 B</t>
  </si>
  <si>
    <t>88725 B</t>
  </si>
  <si>
    <t>89103 B</t>
  </si>
  <si>
    <t>89437 B</t>
  </si>
  <si>
    <t>90107 B</t>
  </si>
  <si>
    <t>90495 B</t>
  </si>
  <si>
    <t>91277 B</t>
  </si>
  <si>
    <t>91801 B</t>
  </si>
  <si>
    <t>92682 B</t>
  </si>
  <si>
    <t>92745 B</t>
  </si>
  <si>
    <t>93109 B</t>
  </si>
  <si>
    <t>AUTOTRANSPORTE  DUR S DE RL DE CV</t>
  </si>
  <si>
    <t>19/11/2019</t>
  </si>
  <si>
    <t>89245 B</t>
  </si>
  <si>
    <t>90119 B</t>
  </si>
  <si>
    <t>90572 B</t>
  </si>
  <si>
    <t>90970 B</t>
  </si>
  <si>
    <t>91400 B</t>
  </si>
  <si>
    <t>91798 B</t>
  </si>
  <si>
    <t>92746 B</t>
  </si>
  <si>
    <t>92747 B</t>
  </si>
  <si>
    <t>93117 B</t>
  </si>
  <si>
    <t>89445 B</t>
  </si>
  <si>
    <t>90473 B</t>
  </si>
  <si>
    <t>Diseño y Carpinteria J &amp; J, S. de R. L. de C. V.</t>
  </si>
  <si>
    <t>90844 B</t>
  </si>
  <si>
    <t>91427 B</t>
  </si>
  <si>
    <t>92580 B</t>
  </si>
  <si>
    <t>Otros Usuarios</t>
  </si>
  <si>
    <t>Parque Ind. Chihuahua Sur</t>
  </si>
  <si>
    <t>73546 B</t>
  </si>
  <si>
    <t>73910 B</t>
  </si>
  <si>
    <t>78539 B</t>
  </si>
  <si>
    <t>78932 B</t>
  </si>
  <si>
    <t>79280 B</t>
  </si>
  <si>
    <t>79283 B</t>
  </si>
  <si>
    <t>83692 B</t>
  </si>
  <si>
    <t>76565 B</t>
  </si>
  <si>
    <t>80603 B</t>
  </si>
  <si>
    <t>88943 B</t>
  </si>
  <si>
    <t>78888 B</t>
  </si>
  <si>
    <t>79625 B</t>
  </si>
  <si>
    <t>25/07/2019</t>
  </si>
  <si>
    <t>87516 B</t>
  </si>
  <si>
    <t>29/07/2019</t>
  </si>
  <si>
    <t>87533 B</t>
  </si>
  <si>
    <t>16/08/2019</t>
  </si>
  <si>
    <t>87931 B</t>
  </si>
  <si>
    <t>79937 B</t>
  </si>
  <si>
    <t>90954 B</t>
  </si>
  <si>
    <t>91625 B</t>
  </si>
  <si>
    <t>91626 B</t>
  </si>
  <si>
    <t>92214 B</t>
  </si>
  <si>
    <t>92596 B</t>
  </si>
  <si>
    <t>93089 B</t>
  </si>
  <si>
    <t>73454 B</t>
  </si>
  <si>
    <t>84941 B</t>
  </si>
  <si>
    <t>87869 B</t>
  </si>
  <si>
    <t>88321 B</t>
  </si>
  <si>
    <t>13/02/2020</t>
  </si>
  <si>
    <t>90549 B</t>
  </si>
  <si>
    <t>90550 B</t>
  </si>
  <si>
    <t>90551 B</t>
  </si>
  <si>
    <t>90552 B</t>
  </si>
  <si>
    <t>90553 B</t>
  </si>
  <si>
    <t>80453 B</t>
  </si>
  <si>
    <t>Instituto de Apoyo al Desarrollo  Tecnologico</t>
  </si>
  <si>
    <t>81768 B</t>
  </si>
  <si>
    <t>83461 B</t>
  </si>
  <si>
    <t>Praxair Mexico S. De R.L. de C.V.</t>
  </si>
  <si>
    <t>78919 B</t>
  </si>
  <si>
    <t>78920 B</t>
  </si>
  <si>
    <t>78921 B</t>
  </si>
  <si>
    <t>79192 B</t>
  </si>
  <si>
    <t>79193 B</t>
  </si>
  <si>
    <t>80320 B</t>
  </si>
  <si>
    <t>80882 B</t>
  </si>
  <si>
    <t>80883 B</t>
  </si>
  <si>
    <t>83462 B</t>
  </si>
  <si>
    <t>83463 B</t>
  </si>
  <si>
    <t>79678 B</t>
  </si>
  <si>
    <t>69872 B</t>
  </si>
  <si>
    <t>79196 B</t>
  </si>
  <si>
    <t>79198 B</t>
  </si>
  <si>
    <t>Distribuidora de Maquinaria del Norte S. A. de C.V.</t>
  </si>
  <si>
    <t>77795 B</t>
  </si>
  <si>
    <t>78127 B</t>
  </si>
  <si>
    <t>78529 B</t>
  </si>
  <si>
    <t>79685 B</t>
  </si>
  <si>
    <t>79994 B</t>
  </si>
  <si>
    <t>80881 B</t>
  </si>
  <si>
    <t>82118 B</t>
  </si>
  <si>
    <t>83466 B</t>
  </si>
  <si>
    <t>Parque Industrial Cuauhtemoc</t>
  </si>
  <si>
    <t>82030 B</t>
  </si>
  <si>
    <t>84216 B</t>
  </si>
  <si>
    <t>84632 B</t>
  </si>
  <si>
    <t>87111 B</t>
  </si>
  <si>
    <t>22/08/2018</t>
  </si>
  <si>
    <t>82738 B</t>
  </si>
  <si>
    <t>89236 B</t>
  </si>
  <si>
    <t>90577 B</t>
  </si>
  <si>
    <t>91168 B</t>
  </si>
  <si>
    <t>70367 B</t>
  </si>
  <si>
    <t>72847 B</t>
  </si>
  <si>
    <t>74332 B</t>
  </si>
  <si>
    <t>74334 B</t>
  </si>
  <si>
    <t>74335 B</t>
  </si>
  <si>
    <t>74337 B</t>
  </si>
  <si>
    <t>74629 B</t>
  </si>
  <si>
    <t>74630 B</t>
  </si>
  <si>
    <t>74631 B</t>
  </si>
  <si>
    <t>76983 B</t>
  </si>
  <si>
    <t>76985 B</t>
  </si>
  <si>
    <t>76987 B</t>
  </si>
  <si>
    <t>76988 B</t>
  </si>
  <si>
    <t>78102 B</t>
  </si>
  <si>
    <t>78103 B</t>
  </si>
  <si>
    <t>78505 B</t>
  </si>
  <si>
    <t>79274 B</t>
  </si>
  <si>
    <t>79275 B</t>
  </si>
  <si>
    <t>79276 B</t>
  </si>
  <si>
    <t>79669 B</t>
  </si>
  <si>
    <t>79982 B</t>
  </si>
  <si>
    <t>82566 B</t>
  </si>
  <si>
    <t>82567 B</t>
  </si>
  <si>
    <t>82568 B</t>
  </si>
  <si>
    <t>83549 B</t>
  </si>
  <si>
    <t>83550 B</t>
  </si>
  <si>
    <t>83551 B</t>
  </si>
  <si>
    <t>83820 B</t>
  </si>
  <si>
    <t>83821 B</t>
  </si>
  <si>
    <t>83822 B</t>
  </si>
  <si>
    <t>84273 B</t>
  </si>
  <si>
    <t>84274 B</t>
  </si>
  <si>
    <t>84275 B</t>
  </si>
  <si>
    <t>85221 B</t>
  </si>
  <si>
    <t>88358 B</t>
  </si>
  <si>
    <t>89670 B</t>
  </si>
  <si>
    <t>89671 B</t>
  </si>
  <si>
    <t>89672 B</t>
  </si>
  <si>
    <t>89920 B</t>
  </si>
  <si>
    <t>90385 B</t>
  </si>
  <si>
    <t>90386 B</t>
  </si>
  <si>
    <t>90743 B</t>
  </si>
  <si>
    <t>90744 B</t>
  </si>
  <si>
    <t>92743 B</t>
  </si>
  <si>
    <t>92744 B</t>
  </si>
  <si>
    <t>93024 B</t>
  </si>
  <si>
    <t>79769 B</t>
  </si>
  <si>
    <t>83248 B</t>
  </si>
  <si>
    <t>91440 B</t>
  </si>
  <si>
    <t>91636 B</t>
  </si>
  <si>
    <t>82573 B</t>
  </si>
  <si>
    <t>82869 B</t>
  </si>
  <si>
    <t>83530 B</t>
  </si>
  <si>
    <t>83754 B</t>
  </si>
  <si>
    <t>84229 B</t>
  </si>
  <si>
    <t>84631 B</t>
  </si>
  <si>
    <t>85225 B</t>
  </si>
  <si>
    <t>85546 B</t>
  </si>
  <si>
    <t>86102 B</t>
  </si>
  <si>
    <t>86377 B</t>
  </si>
  <si>
    <t>86822 B</t>
  </si>
  <si>
    <t>87171 B</t>
  </si>
  <si>
    <t>87562 B</t>
  </si>
  <si>
    <t>88299 B</t>
  </si>
  <si>
    <t>88503 B</t>
  </si>
  <si>
    <t>89017 B</t>
  </si>
  <si>
    <t>89625 B</t>
  </si>
  <si>
    <t>89911 B</t>
  </si>
  <si>
    <t>90364 B</t>
  </si>
  <si>
    <t>90753 B</t>
  </si>
  <si>
    <t>91608 B</t>
  </si>
  <si>
    <t>92211 B</t>
  </si>
  <si>
    <t>85422 B</t>
  </si>
  <si>
    <t>92608 B</t>
  </si>
  <si>
    <t>93149 B</t>
  </si>
  <si>
    <t>79665 B</t>
  </si>
  <si>
    <t>80876 B</t>
  </si>
  <si>
    <t xml:space="preserve">B93253     </t>
  </si>
  <si>
    <t xml:space="preserve">B93234     </t>
  </si>
  <si>
    <t xml:space="preserve">B93235     </t>
  </si>
  <si>
    <t xml:space="preserve">B93227     </t>
  </si>
  <si>
    <t>CCO8605231N4</t>
  </si>
  <si>
    <t xml:space="preserve">B93129     </t>
  </si>
  <si>
    <t>Proveedora de Servicios y Cultura Fisica DABSE</t>
  </si>
  <si>
    <t>PSC120420MD3</t>
  </si>
  <si>
    <t xml:space="preserve">B93180     </t>
  </si>
  <si>
    <t xml:space="preserve">B93181     </t>
  </si>
  <si>
    <t xml:space="preserve">B93173     </t>
  </si>
  <si>
    <t xml:space="preserve">B93111     </t>
  </si>
  <si>
    <t xml:space="preserve">B93109     </t>
  </si>
  <si>
    <t xml:space="preserve">B93117     </t>
  </si>
  <si>
    <t xml:space="preserve">B93089     </t>
  </si>
  <si>
    <t xml:space="preserve">B93149     </t>
  </si>
  <si>
    <t>XCI950821PI9</t>
  </si>
  <si>
    <t xml:space="preserve">B92884     </t>
  </si>
  <si>
    <t xml:space="preserve">B92889     </t>
  </si>
  <si>
    <t xml:space="preserve">B93023     </t>
  </si>
  <si>
    <t xml:space="preserve">B92951     </t>
  </si>
  <si>
    <t xml:space="preserve">B93018     </t>
  </si>
  <si>
    <t xml:space="preserve">B93024     </t>
  </si>
  <si>
    <t>2020</t>
  </si>
  <si>
    <t>Ingresos de Gestión</t>
  </si>
  <si>
    <t xml:space="preserve">Contribuciones de Mejoras </t>
  </si>
  <si>
    <t>Ingresos por Venta de Bienes y Prestación de Servicios</t>
  </si>
  <si>
    <t>Participaciones, Aportaciones, Convenios, Incentivos Derivados de la Colaboración Fiscal, Fondos Distintos de Aportaciones, Transferencias, Asignaciones, Subsidios y Subvenciones, y Pensiones y Jubilaciones</t>
  </si>
  <si>
    <t>Participaciones, Aportaciones, Convenios, Incentivos Derivados de la Colaboración Fiscal y Fondos Distintos de Aportaciones</t>
  </si>
  <si>
    <t>Transferencias, Asignaciones, Subsidios y Subvenciones, y Pensiones y Jubilaciones</t>
  </si>
  <si>
    <t>Ingresos Financieros</t>
  </si>
  <si>
    <t>Gastos de Funcionamiento</t>
  </si>
  <si>
    <t>Aumento por Insuficiencia de Estimaciones por Pérdida o Deterioro u Obsolescencia</t>
  </si>
  <si>
    <t>Inversión Pública no Capitalizable</t>
  </si>
  <si>
    <t>Inventarios</t>
  </si>
  <si>
    <t>Fondos y Bienes de Terceros en Garantía y/o Administración a Corto Plazo</t>
  </si>
  <si>
    <t>Otros Activos Circulantes</t>
  </si>
  <si>
    <t>Total de Activos Circulantes</t>
  </si>
  <si>
    <t>Fondos y Bienes de Terceros en Garantía y/o en Administración a Largo Plazo</t>
  </si>
  <si>
    <t>Total del Pasivo</t>
  </si>
  <si>
    <t>Total de Activos No Circulantes</t>
  </si>
  <si>
    <t>HACIENDA PÚBLICA/PATRIMONIO</t>
  </si>
  <si>
    <t>Resultados del Ejercicio (Ahorro/ Desahorro)</t>
  </si>
  <si>
    <t>Total Hacienda Pública/Patrimonio</t>
  </si>
  <si>
    <t>Total del Pasivo y Hacienda Pública/Patrimonio</t>
  </si>
  <si>
    <t>ASEC_ESF_2doTRIM_Z0</t>
  </si>
  <si>
    <t>ASEC_EVHP_2doTRIM_F8</t>
  </si>
  <si>
    <t>Hacienda Pública / Patrimonio Contribuido</t>
  </si>
  <si>
    <t>Hacienda Pública / Patrimonio Generado de Ejercicios Anteriores</t>
  </si>
  <si>
    <t>Hacienda Pública / Patrimonio Generado del Ejercicio</t>
  </si>
  <si>
    <t>Exceso o Insuficiencia en la Actualización de la Hacienda Pública / Patrimonio</t>
  </si>
  <si>
    <t>Hacienda Pública / Patrimonio Neto Final 2020</t>
  </si>
  <si>
    <t>Estimación por Pérdida o Deterioro de Activos No Circulantes</t>
  </si>
  <si>
    <t>Documentos por Pagar Corto Plazo</t>
  </si>
  <si>
    <t>Fondos y Bienes de Terceros en Garantia y/o Administración a Largo Plazo</t>
  </si>
  <si>
    <t>Hacienda Pública / Patrimonio Generado</t>
  </si>
  <si>
    <t>Resultado del Ejercicio (Ahorro/Desahorro)</t>
  </si>
  <si>
    <t>Resultado de Ejercicios Anteriores</t>
  </si>
  <si>
    <t xml:space="preserve">Flujos de Efectivo de las Actividades de Operación </t>
  </si>
  <si>
    <t>Flujos de Efectivo de las Actividades de Inversión</t>
  </si>
  <si>
    <t>ASEC_EFE_2doTRIM_C2</t>
  </si>
  <si>
    <t>Otros Orígenes de Inversión</t>
  </si>
  <si>
    <t>Interno</t>
  </si>
  <si>
    <t>Externo</t>
  </si>
  <si>
    <t>Flujos Netos de Efectivo por Actividades de Financiamiento</t>
  </si>
  <si>
    <t>Incremento/Disminución Neta en el Efectivo y Equivalentes al Efectivo</t>
  </si>
  <si>
    <t>Efectivo y Equivalentes al Efectivo al Inicio del Ejercicio</t>
  </si>
  <si>
    <t>Efectivo y Equivalentes al Efectivo al Final del Ejercicio</t>
  </si>
  <si>
    <t>4 (1 + 2 - 3)</t>
  </si>
  <si>
    <t>5 (4 - 1)</t>
  </si>
  <si>
    <t>ASEC_EAA_2doTRIM_I7</t>
  </si>
  <si>
    <t>Moneda de Contratación</t>
  </si>
  <si>
    <t>Institución Acreedora</t>
  </si>
  <si>
    <t>Corto Plazo</t>
  </si>
  <si>
    <t>ASEC_EADOP_2doTRIM_V3</t>
  </si>
  <si>
    <t>Subtotal Corto Plazo</t>
  </si>
  <si>
    <t>Largo Plazo</t>
  </si>
  <si>
    <t>Subtotal Largo Plazo</t>
  </si>
  <si>
    <t>Total Deuda y Otros Pasivos</t>
  </si>
  <si>
    <t>1</t>
  </si>
  <si>
    <t>2</t>
  </si>
  <si>
    <t>4</t>
  </si>
  <si>
    <t>5</t>
  </si>
  <si>
    <t>(6= 5 - 1 )</t>
  </si>
  <si>
    <t>Ingresos por Venta de Bienes, Presentación de Servicios y Otros Ingresos</t>
  </si>
  <si>
    <t>Ingresos excedentes</t>
  </si>
  <si>
    <t>Estado Analítico de Ingresos Por Fuente de Financiamiento</t>
  </si>
  <si>
    <t>Ingresos del Poder Ejecutivo Federal o Estatal y de los Municipios</t>
  </si>
  <si>
    <t>Ingresos de los Entes Públicos de los Poderes Legislativo y Judicial, de los Órganos Autónomos y del Sector Paraestatal o Paramunicipal, así como de las Empresas Productivas del Estado</t>
  </si>
  <si>
    <t>Clasificación Económica</t>
  </si>
  <si>
    <t xml:space="preserve">Al día de hoy el CONAC no ha desagregado el nivel de información que se debe reportar en este estado financiero, por lo que corresponderá a las entidades definir la desagregación de la clasificación económica para integrar el presente reporte, sin embargo, deberá apegarse a lo señalado por el Acuerdo por el que se emite la Clasificación Económica de los Ingresos, de los Gastos y del Financiamiento de los Entes Públicos en su apartado X, denominado Metodología para la Generación Automática de la Clasificación Económica Analítica. </t>
  </si>
  <si>
    <t>Venta  de  Bienes  y  Servicios  de  Entidades  del  Gobierno  Federal/  Ingresos  de  Explotación  de Entidades Empresariales</t>
  </si>
  <si>
    <t xml:space="preserve">Estado Analítico del Ejercicio del Presupuesto de Egresos </t>
  </si>
  <si>
    <t xml:space="preserve">Subejercicio </t>
  </si>
  <si>
    <t xml:space="preserve">Aprobado </t>
  </si>
  <si>
    <t xml:space="preserve">Ampliaciones/ (Reducciones) </t>
  </si>
  <si>
    <t xml:space="preserve">Modificado </t>
  </si>
  <si>
    <t xml:space="preserve">Pagado </t>
  </si>
  <si>
    <t>3 = (1+2)</t>
  </si>
  <si>
    <t>6 = ( 3 - 4)</t>
  </si>
  <si>
    <t xml:space="preserve">Total del Gasto </t>
  </si>
  <si>
    <t>3 = (1 + 2)</t>
  </si>
  <si>
    <t>Entidades Paraestatales y Fideicomisos No Empresariales y No Financieros</t>
  </si>
  <si>
    <t>Instituciones Públicas de la Seguridad Social</t>
  </si>
  <si>
    <t xml:space="preserve">Entidades Paraestatales Empresariales No Financieras con Participación Estatal Mayoritaria </t>
  </si>
  <si>
    <t>Entidades Paraestatales Empresariales Financieras Monetarias con Participación Estatal Mayoritaria</t>
  </si>
  <si>
    <t>Entidades Paraestatales Empresariales Financieras No Monetarias con Particiación Estatal Mayoritaria</t>
  </si>
  <si>
    <t>Fideicomisos Financieros Públicos con Participación Estatal Mayoritaria</t>
  </si>
  <si>
    <t>ASEC_EAEPEDCOG_2doTRIM_T0</t>
  </si>
  <si>
    <t xml:space="preserve">Clasificación por Objeto del Gasto (Capítulo y Concepto) </t>
  </si>
  <si>
    <t xml:space="preserve">Servicios Personales </t>
  </si>
  <si>
    <t>Remuneraciones al Personal de Carácter Transitorio</t>
  </si>
  <si>
    <t>Previsiones</t>
  </si>
  <si>
    <t>Pago de Estímulos a Servidores Públicos</t>
  </si>
  <si>
    <t>Materias Primas y Materiales de Producción y Comercialización</t>
  </si>
  <si>
    <t>Materiales y Artículos de Construcción y de Reparación</t>
  </si>
  <si>
    <t>Vestuario, Blancos, Prendas de Protección y Artículos Deportivos</t>
  </si>
  <si>
    <t>Materiales y Suministros Para Seguridad</t>
  </si>
  <si>
    <t>Herramientas, Refacciones y Accesorios Menores</t>
  </si>
  <si>
    <t>Servicios de Comunicación Social y Publicidad</t>
  </si>
  <si>
    <t xml:space="preserve"> Servicios de Traslado y Viáticos</t>
  </si>
  <si>
    <t xml:space="preserve">Transferencias, Asignaciones, Subsidios y Otras Ayudas </t>
  </si>
  <si>
    <t>Transferencias a Fideicomisos, Mandatos y Otros Análogos</t>
  </si>
  <si>
    <t>Bienes Muebles, Inmuebles e Intangibles</t>
  </si>
  <si>
    <t>Mobiliario y Equipo de Administración</t>
  </si>
  <si>
    <t>Mobiliario y Equipo Educacional y Recreativo</t>
  </si>
  <si>
    <t>Equipo e Instrumental Médico y de Laboratorio</t>
  </si>
  <si>
    <t>Vehículos y Equipo de Transporte</t>
  </si>
  <si>
    <t>Equipo de Defensa y Seguridad</t>
  </si>
  <si>
    <t>Maquinaria, Otros Equipos y Herramientas</t>
  </si>
  <si>
    <t>Activos Biológicos</t>
  </si>
  <si>
    <t>Bienes Inmuebles</t>
  </si>
  <si>
    <t xml:space="preserve"> Inversión Pública </t>
  </si>
  <si>
    <t>Obra Pública en Bienes de Dominio Público</t>
  </si>
  <si>
    <t>Obra Pública en Bienes Propios</t>
  </si>
  <si>
    <t>Proyectos Productivos y Acciones de Fomento</t>
  </si>
  <si>
    <t xml:space="preserve"> Inversiones Financieras y Otras Provisiones </t>
  </si>
  <si>
    <t>Inversiones Para el Fomento de Actividades Productivas</t>
  </si>
  <si>
    <t>Acciones y Participaciones de Capital</t>
  </si>
  <si>
    <t>Compra de Títulos y Valores</t>
  </si>
  <si>
    <t>Concesión de Préstamos</t>
  </si>
  <si>
    <t>Inversiones en Fideicomisos, Mandatos y Otros Análogos</t>
  </si>
  <si>
    <t>Otras Inversiones Financieras</t>
  </si>
  <si>
    <t>Provisiones para Contingencias y Otras Erogaciones Especiales</t>
  </si>
  <si>
    <t>Participaciones y Aportaciones (H=h1+h2+h3)</t>
  </si>
  <si>
    <t>Deuda Pública</t>
  </si>
  <si>
    <t>Amortización de la Deuda Pública</t>
  </si>
  <si>
    <t>Adeudos de Ejercicios Fiscales Anteriores (ADEFAS)</t>
  </si>
  <si>
    <t>ASEC_EAEPEDCF_2doTRIM_F2</t>
  </si>
  <si>
    <t xml:space="preserve">Desarrollo Económico </t>
  </si>
  <si>
    <t>Transferencias, Participaciones y Aportaciones Entre Diferentes Niveles y Ordenes de Gobierno</t>
  </si>
  <si>
    <t xml:space="preserve">Identificación de Crédito o Instrumento </t>
  </si>
  <si>
    <t xml:space="preserve">Contratación / Colocación </t>
  </si>
  <si>
    <t xml:space="preserve">Amortización </t>
  </si>
  <si>
    <t>Total de Créditos Bancarios</t>
  </si>
  <si>
    <t>Impuestos federales</t>
  </si>
  <si>
    <t>Retención de cuotas del Instituto Chihuahuense de Salud</t>
  </si>
  <si>
    <t>Pagos anticipados de clientes</t>
  </si>
  <si>
    <t>Flujo de Fondos</t>
  </si>
  <si>
    <t>Ingresos</t>
  </si>
  <si>
    <t>Total de Ingresos</t>
  </si>
  <si>
    <t>Total de Egresos</t>
  </si>
  <si>
    <t>Superávit</t>
  </si>
  <si>
    <t>ASEC_ESFD_2doTRIM_O2</t>
  </si>
  <si>
    <t>Estado de Situación Financiera Detallado - LDF</t>
  </si>
  <si>
    <t>(PESOS)</t>
  </si>
  <si>
    <t>Concepto (c)</t>
  </si>
  <si>
    <t>a. Efectivo y Equivalentes (a=a1+a2+a3+a4+a5+a6+a7)</t>
  </si>
  <si>
    <t>a. Cuentas por Pagar a Corto Plazo (a=a1+a2+a3+a4+a5+a6+a7+a8+a9)</t>
  </si>
  <si>
    <t>a1) Efectivo</t>
  </si>
  <si>
    <t>a1) Servicios Personales por Pagar a Corto Plazo</t>
  </si>
  <si>
    <t>a2) Bancos/Tesorería</t>
  </si>
  <si>
    <t>a2) Proveedores por Pagar a Corto Plazo</t>
  </si>
  <si>
    <t>a3) Bancos/Dependencias y Otros</t>
  </si>
  <si>
    <t>a3) Contratistas por Obras Públicas por Pagar a Corto Plazo</t>
  </si>
  <si>
    <t>a4) Inversiones Temporales (Hasta 3 meses)</t>
  </si>
  <si>
    <t>a4) Participaciones y Aportaciones por Pagar a Corto Plazo</t>
  </si>
  <si>
    <t>a5) Fondos con Afectación Específica</t>
  </si>
  <si>
    <t>a5) Transferencias Otorgadas por Pagar a Corto Plazo</t>
  </si>
  <si>
    <t>a6) Depósitos de Fondos de Terceros en Garantía y/o Administración</t>
  </si>
  <si>
    <t>a6) Intereses, Comisiones y Otros Gastos de la Deuda Pública por Pagar a Corto Plazo</t>
  </si>
  <si>
    <t>a7) Otros Efectivos y Equivalentes</t>
  </si>
  <si>
    <t>a7) Retenciones y Contribuciones por Pagar a Corto Plazo</t>
  </si>
  <si>
    <t>b. Derechos a Recibir Efectivo o Equivalentes (b=b1+b2+b3+b4+b5+b6+b7)</t>
  </si>
  <si>
    <t>a8) Devoluciones de la Ley de Ingresos por Pagar a Corto Plazo</t>
  </si>
  <si>
    <t>b1) Inversiones Financieras de Corto Plazo</t>
  </si>
  <si>
    <t>a9) Otras Cuentas por Pagar a Corto Plazo</t>
  </si>
  <si>
    <t>b2) Cuentas por Cobrar a Corto Plazo</t>
  </si>
  <si>
    <t>b. Documentos por Pagar a Corto Plazo (b=b1+b2+b3)</t>
  </si>
  <si>
    <t>b3) Deudores Diversos por Cobrar a Corto Plazo</t>
  </si>
  <si>
    <t>b1) Documentos Comerciales por Pagar a Corto Plazo</t>
  </si>
  <si>
    <t>b4) Ingresos por Recuperar a Corto Plazo</t>
  </si>
  <si>
    <t>b2) Documentos con Contratistas por Obras Públicas por Pagar a Corto Plazo</t>
  </si>
  <si>
    <t>b5) Deudores por Anticipos de la Tesorería a Corto Plazo</t>
  </si>
  <si>
    <t>b3) Otros Documentos por Pagar a Corto Plazo</t>
  </si>
  <si>
    <t>b6) Préstamos Otorgados a Corto Plazo</t>
  </si>
  <si>
    <t>c. Porción a Corto Plazo de la Deuda Pública a Largo Plazo (c=c1+c2)</t>
  </si>
  <si>
    <t>b7) Otros Derechos a Recibir Efectivo o Equivalentes a Corto Plazo</t>
  </si>
  <si>
    <t>c1) Porción a Corto Plazo de la Deuda Pública</t>
  </si>
  <si>
    <t>c. Derechos a Recibir Bienes o Servicios (c=c1+c2+c3+c4+c5)</t>
  </si>
  <si>
    <t>c2) Porción a Corto Plazo de Arrendamiento Financiero</t>
  </si>
  <si>
    <t>c1) Anticipo a Proveedores por Adquisición de Bienes y Prestación de Servicios a Corto Plazo</t>
  </si>
  <si>
    <t>d. Títulos y Valores a Corto Plazo</t>
  </si>
  <si>
    <t>c2) Anticipo a Proveedores por Adquisición de Bienes Inmuebles y Muebles a Corto Plazo</t>
  </si>
  <si>
    <t>e. Pasivos Diferidos a Corto Plazo (e=e1+e2+e3)</t>
  </si>
  <si>
    <t>c3) Anticipo a Proveedores por Adquisición de Bienes Intangibles a Corto Plazo</t>
  </si>
  <si>
    <t>e1) Ingresos Cobrados por Adelantado a Corto Plazo</t>
  </si>
  <si>
    <t>c4) Anticipo a Contratistas por Obras Públicas a Corto Plazo</t>
  </si>
  <si>
    <t>e2) Intereses Cobrados por Adelantado a Corto Plazo</t>
  </si>
  <si>
    <t>c5) Otros Derechos a Recibir Bienes o Servicios a Corto Plazo</t>
  </si>
  <si>
    <t>e3) Otros Pasivos Diferidos a Corto Plazo</t>
  </si>
  <si>
    <t>d. Inventarios (d=d1+d2+d3+d4+d5)</t>
  </si>
  <si>
    <t>f. Fondos y Bienes de Terceros en Garantía y/o Administración a Corto Plazo (f=f1+f2+f3+f4+f5+f6)</t>
  </si>
  <si>
    <t>d1) Inventario de Mercancías para Venta</t>
  </si>
  <si>
    <t>f1) Fondos en Garantía a Corto Plazo</t>
  </si>
  <si>
    <t>d2) Inventario de Mercancías Terminadas</t>
  </si>
  <si>
    <t>f2) Fondos en Administración a Corto Plazo</t>
  </si>
  <si>
    <t>d3) Inventario de Mercancías en Proceso de Elaboración</t>
  </si>
  <si>
    <t>f3) Fondos Contingentes a Corto Plazo</t>
  </si>
  <si>
    <t>d4) Inventario de Materias Primas, Materiales y Suministros para Producción</t>
  </si>
  <si>
    <t>f4) Fondos de Fideicomisos, Mandatos y Contratos Análogos a Corto Plazo</t>
  </si>
  <si>
    <t>d5) Bienes en Tránsito</t>
  </si>
  <si>
    <t>f5) Otros Fondos de Terceros en Garantía y/o Administración a Corto Plazo</t>
  </si>
  <si>
    <t>e. Almacenes</t>
  </si>
  <si>
    <t>f6) Valores y Bienes en Garantía a Corto Plazo</t>
  </si>
  <si>
    <t>f. Estimación por Pérdida o Deterioro de Activos Circulantes (f=f1+f2)</t>
  </si>
  <si>
    <t>g. Provisiones a Corto Plazo (g=g1+g2+g3)</t>
  </si>
  <si>
    <t>f1) Estimaciones para Cuentas Incobrables por Derechos a Recibir Efectivo o Equivalentes</t>
  </si>
  <si>
    <t>g1) Provisión para Demandas y Juicios a Corto Plazo</t>
  </si>
  <si>
    <t>f2) Estimación por Deterioro de Inventarios</t>
  </si>
  <si>
    <t>g2) Provisión para Contingencias a Corto Plazo</t>
  </si>
  <si>
    <t>g. Otros Activos Circulantes (g=g1+g2+g3+g4)</t>
  </si>
  <si>
    <t>g3) Otras Provisiones a Corto Plazo</t>
  </si>
  <si>
    <t>g1) Valores en Garantía</t>
  </si>
  <si>
    <t>h. Otros Pasivos a Corto Plazo (h=h1+h2+h3)</t>
  </si>
  <si>
    <t>g2) Bienes en Garantía (excluye depósitos de fondos)</t>
  </si>
  <si>
    <t>h1) Ingresos por Clasificar</t>
  </si>
  <si>
    <t>g3) Bienes Derivados de Embargos, Decomisos, Aseguramientos y Dación en Pago</t>
  </si>
  <si>
    <t>h2) Recaudación por Participar</t>
  </si>
  <si>
    <t>g4) Adquisición con Fondos de Terceros</t>
  </si>
  <si>
    <t>h3) Otros Pasivos Circulantes</t>
  </si>
  <si>
    <t>IA. Total de Activos Circulantes (IA = a + b + c + d + e + f + g)</t>
  </si>
  <si>
    <t>IIA. Total de Pasivos Circulantes (IIA = a + b + c + d + e + f + g + h)</t>
  </si>
  <si>
    <t>a. Inversiones Financieras a Largo Plazo</t>
  </si>
  <si>
    <t>a. Cuentas por Pagar a Largo Plazo</t>
  </si>
  <si>
    <t xml:space="preserve">b. Derechos a Recibir Efectivo o Equivalentes a Largo Plazo </t>
  </si>
  <si>
    <t>b. Documentos por Pagar a Largo Plazo</t>
  </si>
  <si>
    <t xml:space="preserve">c. Bienes Inmuebles, Infraestructura y Construcciones en Proceso </t>
  </si>
  <si>
    <t>c. Deuda Pública a Largo Plazo</t>
  </si>
  <si>
    <t xml:space="preserve">d. Bienes Muebles </t>
  </si>
  <si>
    <t>d. Pasivos Diferidos a Largo Plazo</t>
  </si>
  <si>
    <t xml:space="preserve">e. Activos Intangibles </t>
  </si>
  <si>
    <t>e. Fondos y Bienes de Terceros en Garantía y/o en Administración a Largo Plazo</t>
  </si>
  <si>
    <t xml:space="preserve">f. Depreciación, Deterioro y Amortización Acumulada de Bienes </t>
  </si>
  <si>
    <t>f. Provisiones a Largo Plazo</t>
  </si>
  <si>
    <t>g. Activos Diferidos</t>
  </si>
  <si>
    <t>h. Estimación por Pérdida o Deterioro de Activos no Circulantes</t>
  </si>
  <si>
    <t>IIB. Total de Pasivos No Circulantes (IIB = a + b + c + d + e + f)</t>
  </si>
  <si>
    <t>i. Otros Activos no Circulantes</t>
  </si>
  <si>
    <t>II. Total del Pasivo (II = IIA + IIB)</t>
  </si>
  <si>
    <t>IB. Total de Activos No Circulantes (IB = a + b + c + d + e + f + g + h + i)</t>
  </si>
  <si>
    <t>I. Total del Activo (I = IA + IB)</t>
  </si>
  <si>
    <t>IIIA. Hacienda Pública/Patrimonio Contribuido (IIIA = a + b + c)</t>
  </si>
  <si>
    <t>a. Aportaciones</t>
  </si>
  <si>
    <t>b. Donaciones de Capital</t>
  </si>
  <si>
    <t>c. Actualización de la Hacienda Pública/Patrimonio</t>
  </si>
  <si>
    <t>IIIB. Hacienda Pública/Patrimonio Generado (IIIB = a + b + c + d + e)</t>
  </si>
  <si>
    <t>a. Resultados del Ejercicio (Ahorro/ Desahorro)</t>
  </si>
  <si>
    <t>b. Resultados de Ejercicios Anteriores</t>
  </si>
  <si>
    <t>c. Revalúos</t>
  </si>
  <si>
    <t>d. Reservas</t>
  </si>
  <si>
    <t>e. Rectificaciones de Resultados de Ejercicios Anteriores</t>
  </si>
  <si>
    <t>IIIC. Exceso o Insuficiencia en la Actualización de la Hacienda Pública/Patrimonio (IIIC=a+b)</t>
  </si>
  <si>
    <t>a. Resultado por Posición Monetaria</t>
  </si>
  <si>
    <t>b. Resultado por Tenencia de Activos no Monetarios</t>
  </si>
  <si>
    <t>III. Total Hacienda Pública/Patrimonio (III = IIIA + IIIB + IIIC)</t>
  </si>
  <si>
    <t>IV. Total del Pasivo y Hacienda Pública/Patrimonio (IV = II + III)</t>
  </si>
  <si>
    <t>Balance Presupuestario - LDF</t>
  </si>
  <si>
    <t>Estimado/</t>
  </si>
  <si>
    <t>Recaudado/</t>
  </si>
  <si>
    <t>Aprobado (d)</t>
  </si>
  <si>
    <t>A. Ingresos Totales (A = A1+A2+A3)</t>
  </si>
  <si>
    <t>A1. Ingresos de Libre Disposición</t>
  </si>
  <si>
    <t>A2. Transferencias Federales Etiquetadas</t>
  </si>
  <si>
    <t>A3. Financiamiento Neto</t>
  </si>
  <si>
    <r>
      <t>B. Egresos Presupuestarios</t>
    </r>
    <r>
      <rPr>
        <b/>
        <vertAlign val="superscript"/>
        <sz val="9"/>
        <color theme="1"/>
        <rFont val="Arial"/>
        <family val="2"/>
      </rPr>
      <t>1</t>
    </r>
    <r>
      <rPr>
        <b/>
        <sz val="9"/>
        <color theme="1"/>
        <rFont val="Arial"/>
        <family val="2"/>
      </rPr>
      <t xml:space="preserve"> (B = B1+B2)</t>
    </r>
  </si>
  <si>
    <t>B1. Gasto No Etiquetado (sin incluir Amortización de la Deuda Pública)</t>
  </si>
  <si>
    <t xml:space="preserve">B2. Gasto Etiquetado (sin incluir Amortización de la Deuda Pública) </t>
  </si>
  <si>
    <t>C. Remanentes del Ejercicio Anterior ( C = C1 + C2 )</t>
  </si>
  <si>
    <t>C1. Remanentes de Ingresos de Libre Disposición aplicados en el periodo</t>
  </si>
  <si>
    <t>C2. Remanentes de Transferencias Federales Etiquetadas aplicados en el periodo</t>
  </si>
  <si>
    <t xml:space="preserve">I. Balance Presupuestario (I = A – B + C)  </t>
  </si>
  <si>
    <t>II. Balance Presupuestario sin Financiamiento Neto (II = I - A3)</t>
  </si>
  <si>
    <t>III. Balance Presupuestario sin Financiamiento Neto y sin Remanentes del Ejercicio Anterior (III= II - C)</t>
  </si>
  <si>
    <t>E. Intereses, Comisiones y Gastos de la Deuda (E = E1+E2)</t>
  </si>
  <si>
    <t>E1. Intereses, Comisiones y Gastos de la Deuda con Gasto No Etiquetado</t>
  </si>
  <si>
    <t>E2. Intereses, Comisiones y Gastos de la Deuda con Gasto Etiquetado</t>
  </si>
  <si>
    <t>IV. Balance Primario (IV = III + E)</t>
  </si>
  <si>
    <t>Estimado/ Aprobado</t>
  </si>
  <si>
    <t>F. Financiamiento (F = F1 + F2)</t>
  </si>
  <si>
    <t>F1. Financiamiento con Fuente de Pago de Ingresos de Libre Disposición</t>
  </si>
  <si>
    <t>F2. Financiamiento con Fuente de Pago de Transferencias Federales Etiquetadas</t>
  </si>
  <si>
    <t>G. Amortización de la Deuda (G = G1 + G2)</t>
  </si>
  <si>
    <t>G1. Amortización de la Deuda Pública con Gasto No Etiquetado</t>
  </si>
  <si>
    <t>G2. Amortización de la Deuda Pública con Gasto Etiquetado</t>
  </si>
  <si>
    <t>A3. Financiamiento Neto (A3 = F – G )</t>
  </si>
  <si>
    <t xml:space="preserve">A1. Ingresos de Libre Disposición </t>
  </si>
  <si>
    <t>A3.1 Financiamiento Neto con Fuente de Pago de Ingresos de Libre Disposición (A3.1 = F1 – G1)</t>
  </si>
  <si>
    <t>V. Balance Presupuestario de Recursos Disponibles (V = A1 + A3.1 – B 1 + C1)</t>
  </si>
  <si>
    <t>VI. Balance Presupuestario de Recursos Disponibles sin Financiamiento Neto (VI = V – A3.1)</t>
  </si>
  <si>
    <t>A3.2 Financiamiento Neto con Fuente de Pago de Transferencias Federales Etiquetadas (A3.2 = F2 – G2)</t>
  </si>
  <si>
    <t>B2. Gasto Etiquetado (sin incluir Amortización de la Deuda Pública)</t>
  </si>
  <si>
    <t>VII. Balance Presupuestario de Recursos Etiquetados (VII = A2 + A3.2 – B2 + C2)</t>
  </si>
  <si>
    <t>VIII. Balance Presupuestario de Recursos Etiquetados sin Financiamiento Neto (VIII = VII – A3.2)</t>
  </si>
  <si>
    <t>ASEC_EAID_2doTRIM_V7</t>
  </si>
  <si>
    <t>Estado Analítico de Ingresos Detallado - LDF</t>
  </si>
  <si>
    <t>Concepto ( c )</t>
  </si>
  <si>
    <t>Diferencia (e)</t>
  </si>
  <si>
    <t>Estimado (d)</t>
  </si>
  <si>
    <t>Ingresos de Libre Disposición</t>
  </si>
  <si>
    <t>A. Impuestos</t>
  </si>
  <si>
    <t>B. Cuotas y Aportaciones de Seguridad Social</t>
  </si>
  <si>
    <t>C. Contribuciones de Mejoras</t>
  </si>
  <si>
    <t>D. Derechos</t>
  </si>
  <si>
    <t>E. Productos</t>
  </si>
  <si>
    <t>F. Aprovechamientos</t>
  </si>
  <si>
    <t>G. Ingresos por Venta de Bienes y Prestación de Servicios</t>
  </si>
  <si>
    <t>H. Participaciones</t>
  </si>
  <si>
    <t>(H=h1+h2+h3+h4+h5+h6+h7+h8+h9+h10+h11)</t>
  </si>
  <si>
    <t xml:space="preserve">h1) Fondo General de Participaciones </t>
  </si>
  <si>
    <t>h2) Fondo de Fomento Municipal</t>
  </si>
  <si>
    <t>h3) Fondo de Fiscalización y Recaudación</t>
  </si>
  <si>
    <t>h4) Fondo de Compensación</t>
  </si>
  <si>
    <t>h5) Fondo de Extracción de Hidrocarburos</t>
  </si>
  <si>
    <t>h6) Impuesto Especial Sobre Producción y Servicios</t>
  </si>
  <si>
    <t>h7) 0.136% de la Recaudación Federal Participable</t>
  </si>
  <si>
    <t>h8) 3.17% Sobre Extracción de Petróleo</t>
  </si>
  <si>
    <t>h9) Gasolinas y Diésel</t>
  </si>
  <si>
    <t>h10) Fondo del Impuesto Sobre la Renta</t>
  </si>
  <si>
    <t>h11) Fondo de Estabilización de los Ingresos de las Entidades Federativas</t>
  </si>
  <si>
    <t>I. Incentivos Derivados de la Colaboración Fiscal (I=i1+i2+i3+i4+i5)</t>
  </si>
  <si>
    <t>i1) Tenencia o Uso de Vehículos</t>
  </si>
  <si>
    <t>i2) Fondo de Compensación ISAN</t>
  </si>
  <si>
    <t>i3) Impuesto Sobre Automóviles Nuevos</t>
  </si>
  <si>
    <t>i4) Fondo de Compensación de Repecos-Intermedios</t>
  </si>
  <si>
    <t>i5) Otros Incentivos Económicos</t>
  </si>
  <si>
    <t>J. Transferencias y Asignaciones</t>
  </si>
  <si>
    <t>K. Convenios</t>
  </si>
  <si>
    <t>k1) Otros Convenios y Subsidios</t>
  </si>
  <si>
    <t>L. Otros Ingresos de Libre Disposición (L=l1+l2)</t>
  </si>
  <si>
    <t xml:space="preserve">l1) Participaciones en Ingresos Locales </t>
  </si>
  <si>
    <t>l2) Otros Ingresos de Libre Disposición</t>
  </si>
  <si>
    <t>I. Total de Ingresos de Libre Disposición</t>
  </si>
  <si>
    <t>(I=A+B+C+D+E+F+G+H+I+J+K+L)</t>
  </si>
  <si>
    <t>Ingresos Excedentes de Ingresos de Libre Disposición</t>
  </si>
  <si>
    <t xml:space="preserve">Transferencias Federales Etiquetadas </t>
  </si>
  <si>
    <t>A. Aportaciones (A=a1+a2+a3+a4+a5+a6+a7+a8)</t>
  </si>
  <si>
    <t>a1) Fondo de Aportaciones para la Nómina Educativa y Gasto Operativo</t>
  </si>
  <si>
    <t>a2) Fondo de Aportaciones para los Servicios de Salud</t>
  </si>
  <si>
    <t>a3) Fondo de Aportaciones para la Infraestructura Social</t>
  </si>
  <si>
    <t>a4) Fondo de Aportaciones para el Fortalecimiento de los Municipios y de las Demarcaciones Territoriales del Distrito Federal</t>
  </si>
  <si>
    <t>a5) Fondo de Aportaciones Múltiples</t>
  </si>
  <si>
    <t>a6) Fondo de Aportaciones para la Educación Tecnológica y de Adultos</t>
  </si>
  <si>
    <t>a7) Fondo de Aportaciones para la Seguridad Pública de los Estados y del Distrito Federal</t>
  </si>
  <si>
    <t>a8) Fondo de Aportaciones para el Fortalecimiento de las Entidades Federativas</t>
  </si>
  <si>
    <t>B. Convenios (B=b1+b2+b3+b4)</t>
  </si>
  <si>
    <t>b1) Convenios de Protección Social en Salud</t>
  </si>
  <si>
    <t>b2) Convenios de Descentralización</t>
  </si>
  <si>
    <t>b3) Convenios de Reasignación</t>
  </si>
  <si>
    <t>b4) Otros Convenios y Subsidios</t>
  </si>
  <si>
    <t>C. Fondos Distintos de Aportaciones (C=c1+c2)</t>
  </si>
  <si>
    <t>c1) Fondo para Entidades Federativas y Municipios Productores de Hidrocarburos</t>
  </si>
  <si>
    <t>c2) Fondo Minero</t>
  </si>
  <si>
    <t>D. Transferencias, Asignaciones, Subsidios y Subvenciones, y Pensiones y Jubilaciones</t>
  </si>
  <si>
    <t>E. Otras Transferencias Federales Etiquetadas</t>
  </si>
  <si>
    <t>II. Total de Transferencias Federales Etiquetadas (II = A + B + C + D + E)</t>
  </si>
  <si>
    <t>III. Ingresos Derivados de Financiamientos (III = A)</t>
  </si>
  <si>
    <t>A. Ingresos Derivados de Financiamientos</t>
  </si>
  <si>
    <t>IV. Total de Ingresos (IV = I + II + III)</t>
  </si>
  <si>
    <t>Datos Informativos</t>
  </si>
  <si>
    <t>1. Ingresos Derivados de Financiamientos con Fuente de Pago de Ingresos de Libre Disposición</t>
  </si>
  <si>
    <t>2. Ingresos Derivados de Financiamientos con Fuente de Pago de Transferencias Federales Etiquetadas</t>
  </si>
  <si>
    <t>3. Ingresos Derivados de Financiamientos (3 = 1 + 2)</t>
  </si>
  <si>
    <t>Estado Analítico del Ejercicio del Presupuesto de Egresos Detallado - LDF</t>
  </si>
  <si>
    <t>Subejercicio (e)</t>
  </si>
  <si>
    <t>I. Gasto No Etiquetado (I=A+B+C+D+E+F+G+H+I)</t>
  </si>
  <si>
    <t>A. Servicios Personales (A=a1+a2+a3+a4+a5+a6+a7)</t>
  </si>
  <si>
    <t>a1) Remuneraciones al Personal de Carácter Permanente</t>
  </si>
  <si>
    <t>a2) Remuneraciones al Personal de Carácter Transitorio</t>
  </si>
  <si>
    <t>a3) Remuneraciones Adicionales y Especiales</t>
  </si>
  <si>
    <t>a4) Seguridad Social</t>
  </si>
  <si>
    <t>a5) Otras Prestaciones Sociales y Económicas</t>
  </si>
  <si>
    <t>a6) Previsiones</t>
  </si>
  <si>
    <t>a7) Pago de Estímulos a Servidores Públicos</t>
  </si>
  <si>
    <t>B. Materiales y Suministros (B=b1+b2+b3+b4+b5+b6+b7+b8+b9)</t>
  </si>
  <si>
    <t>b1) Materiales de Administración, Emisión de Documentos y Artículos Oficiales</t>
  </si>
  <si>
    <t>b2) Alimentos y Utensilios</t>
  </si>
  <si>
    <t>b3) Materias Primas y Materiales de Producción y Comercialización</t>
  </si>
  <si>
    <t>b4) Materiales y Artículos de Construcción y de Reparación</t>
  </si>
  <si>
    <t>b5) Productos Químicos, Farmacéuticos y de Laboratorio</t>
  </si>
  <si>
    <t>b6) Combustibles, Lubricantes y Aditivos</t>
  </si>
  <si>
    <t>b7) Vestuario, Blancos, Prendas de Protección y Artículos Deportivos</t>
  </si>
  <si>
    <t>b8) Materiales y Suministros Para Seguridad</t>
  </si>
  <si>
    <t>b9) Herramientas, Refacciones y Accesorios Menores</t>
  </si>
  <si>
    <t>C. Servicios Generales (C=c1+c2+c3+c4+c5+c6+c7+c8+c9)</t>
  </si>
  <si>
    <t>c1) Servicios Básicos</t>
  </si>
  <si>
    <t>c2) Servicios de Arrendamiento</t>
  </si>
  <si>
    <t>c3) Servicios Profesionales, Científicos, Técnicos y Otros Servicios</t>
  </si>
  <si>
    <t>c4) Servicios Financieros, Bancarios y Comerciales</t>
  </si>
  <si>
    <t>c5) Servicios de Instalación, Reparación, Mantenimiento y Conservación</t>
  </si>
  <si>
    <t>c6) Servicios de Comunicación Social y Publicidad</t>
  </si>
  <si>
    <t>c7) Servicios de Traslado y Viáticos</t>
  </si>
  <si>
    <t>c8) Servicios Oficiales</t>
  </si>
  <si>
    <t>c9) Otros Servicios Generales</t>
  </si>
  <si>
    <t>D. Transferencias, Asignaciones, Subsidios y Otras Ayudas (D=d1+d2+d3+d4+d5+d6+d7+d8+d9)</t>
  </si>
  <si>
    <t>d1) Transferencias Internas y Asignaciones al Sector Público</t>
  </si>
  <si>
    <t>d2) Transferencias al Resto del Sector Público</t>
  </si>
  <si>
    <t>d3) Subsidios y Subvenciones</t>
  </si>
  <si>
    <t>d4) Ayudas Sociales</t>
  </si>
  <si>
    <t>d5) Pensiones y Jubilaciones</t>
  </si>
  <si>
    <t>d6) Transferencias a Fideicomisos, Mandatos y Otros Análogos</t>
  </si>
  <si>
    <t>d7) Transferencias a la Seguridad Social</t>
  </si>
  <si>
    <t>d8) Donativos</t>
  </si>
  <si>
    <t>d9) Transferencias al Exterior</t>
  </si>
  <si>
    <t>E. Bienes Muebles, Inmuebles e Intangibles (E=e1+e2+e3+e4+e5+e6+e7+e8+e9)</t>
  </si>
  <si>
    <t>e1) Mobiliario y Equipo de Administración</t>
  </si>
  <si>
    <t>e2) Mobiliario y Equipo Educacional y Recreativo</t>
  </si>
  <si>
    <t>e3) Equipo e Instrumental Médico y de Laboratorio</t>
  </si>
  <si>
    <t>e4) Vehículos y Equipo de Transporte</t>
  </si>
  <si>
    <t>e5) Equipo de Defensa y Seguridad</t>
  </si>
  <si>
    <t>e6) Maquinaria, Otros Equipos y Herramientas</t>
  </si>
  <si>
    <t>e7) Activos Biológicos</t>
  </si>
  <si>
    <t>e8) Bienes Inmuebles</t>
  </si>
  <si>
    <t>e9) Activos Intangibles</t>
  </si>
  <si>
    <t>F. Inversión Pública (F=f1+f2+f3)</t>
  </si>
  <si>
    <t>f1) Obra Pública en Bienes de Dominio Público</t>
  </si>
  <si>
    <t>f2) Obra Pública en Bienes Propios</t>
  </si>
  <si>
    <t>f3) Proyectos Productivos y Acciones de Fomento</t>
  </si>
  <si>
    <t>G. Inversiones Financieras y Otras Provisiones (G=g1+g2+g3+g4+g5+g6+g7)</t>
  </si>
  <si>
    <t>g1) Inversiones Para el Fomento de Actividades Productivas</t>
  </si>
  <si>
    <t>g2) Acciones y Participaciones de Capital</t>
  </si>
  <si>
    <t>g3) Compra de Títulos y Valores</t>
  </si>
  <si>
    <t>g4) Concesión de Préstamos</t>
  </si>
  <si>
    <t>g5) Inversiones en Fideicomisos, Mandatos y Otros Análogos</t>
  </si>
  <si>
    <t>Fideicomiso de Desastres Naturales (Informativo)</t>
  </si>
  <si>
    <t>g6) Otras Inversiones Financieras</t>
  </si>
  <si>
    <t>g7) Provisiones para Contingencias y Otras Erogaciones Especiales</t>
  </si>
  <si>
    <t>H. Participaciones y Aportaciones (H=h1+h2+h3)</t>
  </si>
  <si>
    <t>h1) Participaciones</t>
  </si>
  <si>
    <t>h2) Aportaciones</t>
  </si>
  <si>
    <t>h3) Convenios</t>
  </si>
  <si>
    <t>I. Deuda Pública (I=i1+i2+i3+i4+i5+i6+i7)</t>
  </si>
  <si>
    <t>i1) Amortización de la Deuda Pública</t>
  </si>
  <si>
    <t>i2) Intereses de la Deuda Pública</t>
  </si>
  <si>
    <t>i3) Comisiones de la Deuda Pública</t>
  </si>
  <si>
    <t>i4) Gastos de la Deuda Pública</t>
  </si>
  <si>
    <t>i5) Costo por Coberturas</t>
  </si>
  <si>
    <t>i6) Apoyos Financieros</t>
  </si>
  <si>
    <t>i7) Adeudos de Ejercicios Fiscales Anteriores (ADEFAS)</t>
  </si>
  <si>
    <t>II. Gasto Etiquetado (II=A+B+C+D+E+F+G+H+I)</t>
  </si>
  <si>
    <t>III. Total de Egresos (III = I + II)</t>
  </si>
  <si>
    <t>ASEC_EAEPEDCA_2doTRIM_Z6</t>
  </si>
  <si>
    <t>I. Gasto No Etiquetado (I=A+B+C+D+E+F+G+H)</t>
  </si>
  <si>
    <t>A. Dependencia o Unidad Administrativa 1</t>
  </si>
  <si>
    <t>B. Dependencia o Unidad Administrativa 2</t>
  </si>
  <si>
    <t>C. Dependencia o Unidad Administrativa 3</t>
  </si>
  <si>
    <t>D. Dependencia o Unidad Administrativa 4</t>
  </si>
  <si>
    <t>E. Dependencia o Unidad Administrativa 5</t>
  </si>
  <si>
    <t>F. Dependencia o Unidad Administrativa 6</t>
  </si>
  <si>
    <t>G. Dependencia o Unidad Administrativa 7</t>
  </si>
  <si>
    <t>H. Dependencia o Unidad Administrativa xx</t>
  </si>
  <si>
    <t>II. Gasto Etiquetado (II=A+B+C+D+E+F+G+H)</t>
  </si>
  <si>
    <t>SRC3103</t>
  </si>
  <si>
    <t>I. Gasto No Etiquetado (I=A+B+C+D)</t>
  </si>
  <si>
    <t>A. Gobierno (A=a1+a2+a3+a4+a5+a6+a7+a8)</t>
  </si>
  <si>
    <t>a1) Legislación</t>
  </si>
  <si>
    <t>a2) Justicia</t>
  </si>
  <si>
    <t>a3) Coordinación de la Política de Gobierno</t>
  </si>
  <si>
    <t>a4) Relaciones Exteriores</t>
  </si>
  <si>
    <t>a5) Asuntos Financieros y Hacendarios</t>
  </si>
  <si>
    <t>a6) Seguridad Nacional</t>
  </si>
  <si>
    <t>a7) Asuntos de Orden Público y de Seguridad Interior</t>
  </si>
  <si>
    <t>a8) Otros Servicios Generales</t>
  </si>
  <si>
    <t>B. Desarrollo Social (B=b1+b2+b3+b4+b5+b6+b7)</t>
  </si>
  <si>
    <t>b1) Protección Ambiental</t>
  </si>
  <si>
    <t>b2) Vivienda y Servicios a la Comunidad</t>
  </si>
  <si>
    <t>b3) Salud</t>
  </si>
  <si>
    <t>b4) Recreación, Cultura y Otras Manifestaciones Sociales</t>
  </si>
  <si>
    <t>b5) Educación</t>
  </si>
  <si>
    <t>b6) Protección Social</t>
  </si>
  <si>
    <t>b7) Otros Asuntos Sociales</t>
  </si>
  <si>
    <t>C. Desarrollo Económico (C=c1+c2+c3+c4+c5+c6+c7+c8+c9)</t>
  </si>
  <si>
    <t>c1) Asuntos Económicos, Comerciales y Laborales en General</t>
  </si>
  <si>
    <t>c2) Agropecuaria, Silvicultura, Pesca y Caza</t>
  </si>
  <si>
    <t>c3) Combustibles y Energía</t>
  </si>
  <si>
    <t>c4) Minería, Manufacturas y Construcción</t>
  </si>
  <si>
    <t>c5) Transporte</t>
  </si>
  <si>
    <t>c6) Comunicaciones</t>
  </si>
  <si>
    <t>c7) Turismo</t>
  </si>
  <si>
    <t>c8) Ciencia, Tecnología e Innovación</t>
  </si>
  <si>
    <t>c9) Otras Industrias y Otros Asuntos Económicos</t>
  </si>
  <si>
    <t>D. Otras No Clasificadas en Funciones Anteriores (D=d1+d2+d3+d4)</t>
  </si>
  <si>
    <t>d1) Transacciones de la Deuda Publica / Costo Financiero de la Deuda</t>
  </si>
  <si>
    <t>d2) Transferencias, Participaciones y Aportaciones Entre Diferentes Niveles y Ordenes de Gobierno</t>
  </si>
  <si>
    <t>d3) Saneamiento del Sistema Financiero</t>
  </si>
  <si>
    <t>d4) Adeudos de Ejercicios Fiscales Anteriores</t>
  </si>
  <si>
    <t>II. Gasto Etiquetado (II=A+B+C+D)</t>
  </si>
  <si>
    <t>ASEC_EAEPEDCSPC_2doTRIM_Y9</t>
  </si>
  <si>
    <t>Clasificación de Servicios Personales por Categoría</t>
  </si>
  <si>
    <t xml:space="preserve">Devengado </t>
  </si>
  <si>
    <t>I. Gasto No Etiquetado (I=A+B+C+D+E+F)</t>
  </si>
  <si>
    <t>A. Personal Administrativo y de Servicio Público</t>
  </si>
  <si>
    <t>B. Magisterio</t>
  </si>
  <si>
    <t>C. Servicios de Salud (C=c1+c2)</t>
  </si>
  <si>
    <t>c1) Personal Administrativo</t>
  </si>
  <si>
    <t>c2) Personal Médico, Paramédico y afín</t>
  </si>
  <si>
    <t>D. Seguridad Pública</t>
  </si>
  <si>
    <t>E. Gastos asociados a la implementación de nuevas leyes federales o reformas a las mismas (E = e1 + e2)</t>
  </si>
  <si>
    <t>e1) Nombre del Programa o Ley 1</t>
  </si>
  <si>
    <t>e2) Nombre del Programa o Ley 2</t>
  </si>
  <si>
    <t>F. Sentencias laborales definitivas</t>
  </si>
  <si>
    <t>II. Gasto Etiquetado (II=A+B+C+D+E+F)</t>
  </si>
  <si>
    <t>III. Total del Gasto en Servicios Personales (III = I + II)</t>
  </si>
  <si>
    <t>1122-12044</t>
  </si>
  <si>
    <t>CONDUCTORES DE ENVASES ESPECIALIZADOS SA DE CV</t>
  </si>
  <si>
    <t>1124-10013</t>
  </si>
  <si>
    <t>SALDO A FAV IVA SEP 2020</t>
  </si>
  <si>
    <t>93564 B</t>
  </si>
  <si>
    <t>Fletes Sotelo S.A. de C.V</t>
  </si>
  <si>
    <t>28/09/2020</t>
  </si>
  <si>
    <t>93402 B</t>
  </si>
  <si>
    <t>93362 B</t>
  </si>
  <si>
    <t>Jabil Circuit de Chihuahua S de R.L de C.V.</t>
  </si>
  <si>
    <t>93287 B</t>
  </si>
  <si>
    <t>93623 B</t>
  </si>
  <si>
    <t>14/09/2020</t>
  </si>
  <si>
    <t>93655 B</t>
  </si>
  <si>
    <t>93656 B</t>
  </si>
  <si>
    <t>93538 B</t>
  </si>
  <si>
    <t>93634 B</t>
  </si>
  <si>
    <t>93635 B</t>
  </si>
  <si>
    <t>93636 B</t>
  </si>
  <si>
    <t>93469 B</t>
  </si>
  <si>
    <t>93485 B</t>
  </si>
  <si>
    <t>93629 B</t>
  </si>
  <si>
    <t>Samuel Lopez Aguilar</t>
  </si>
  <si>
    <t>93508 B</t>
  </si>
  <si>
    <t>93569 B</t>
  </si>
  <si>
    <t>93667 B</t>
  </si>
  <si>
    <t>30/09/2020</t>
  </si>
  <si>
    <t>93698 B</t>
  </si>
  <si>
    <t xml:space="preserve">CONDUCTORES DE ENVASES ESPECIALIZADOS SA DE </t>
  </si>
  <si>
    <t>93693 B</t>
  </si>
  <si>
    <t>93578 B</t>
  </si>
  <si>
    <t>MRC950121UW1</t>
  </si>
  <si>
    <t xml:space="preserve">B93698     </t>
  </si>
  <si>
    <t xml:space="preserve">B93667     </t>
  </si>
  <si>
    <t>CEE720608V98</t>
  </si>
  <si>
    <t xml:space="preserve">B93693     </t>
  </si>
  <si>
    <t>PPI051007LQ1</t>
  </si>
  <si>
    <t xml:space="preserve">B93655     </t>
  </si>
  <si>
    <t xml:space="preserve">B93656     </t>
  </si>
  <si>
    <t xml:space="preserve">B93623     </t>
  </si>
  <si>
    <t xml:space="preserve">B93634     </t>
  </si>
  <si>
    <t xml:space="preserve">B93635     </t>
  </si>
  <si>
    <t xml:space="preserve">B93636     </t>
  </si>
  <si>
    <t xml:space="preserve">B93629     </t>
  </si>
  <si>
    <t xml:space="preserve">B93564     </t>
  </si>
  <si>
    <t xml:space="preserve">B93569     </t>
  </si>
  <si>
    <t xml:space="preserve">B93578     </t>
  </si>
  <si>
    <t xml:space="preserve">B93402     </t>
  </si>
  <si>
    <t xml:space="preserve">B93362     </t>
  </si>
  <si>
    <t xml:space="preserve">B93538     </t>
  </si>
  <si>
    <t>PMP950301S62</t>
  </si>
  <si>
    <t xml:space="preserve">B93469     </t>
  </si>
  <si>
    <t xml:space="preserve">B93485     </t>
  </si>
  <si>
    <t>LOAS580107AQA</t>
  </si>
  <si>
    <t xml:space="preserve">B93508     </t>
  </si>
  <si>
    <t>FSO880915JP8</t>
  </si>
  <si>
    <t>Jabil Circuit de Chihuahua S De R.L De C.V</t>
  </si>
  <si>
    <t>JCC000904KK2</t>
  </si>
  <si>
    <t xml:space="preserve">B93287     </t>
  </si>
  <si>
    <t>1122-12043</t>
  </si>
  <si>
    <t>SERVICIOS Y RECURSOS LOGISTICOS SA DE CV</t>
  </si>
  <si>
    <t>1122-12045</t>
  </si>
  <si>
    <t>COALIMEXSA ALIMENTOS MEXICANOS SA DE CV</t>
  </si>
  <si>
    <t>1122-12046</t>
  </si>
  <si>
    <t>COORDINADORA DE SERVICIOS SILVER STAR SA DE CV</t>
  </si>
  <si>
    <t>1122-12048</t>
  </si>
  <si>
    <t>MOMATT SA DE CV</t>
  </si>
  <si>
    <t>1122-12050</t>
  </si>
  <si>
    <t>CORPORATIVO GLOBAL SOLES DE ENERGIA RENOVABLE SA DE CV</t>
  </si>
  <si>
    <t>93976 B</t>
  </si>
  <si>
    <t>93940 B</t>
  </si>
  <si>
    <t>19/10/2020</t>
  </si>
  <si>
    <t>93777 B</t>
  </si>
  <si>
    <t>15/10/2020</t>
  </si>
  <si>
    <t>94079 B</t>
  </si>
  <si>
    <t>94080 B</t>
  </si>
  <si>
    <t>94089 B</t>
  </si>
  <si>
    <t>93929 B</t>
  </si>
  <si>
    <t>Representaciones Verdes de México SA de CV</t>
  </si>
  <si>
    <t>Material Constructor SA de CV</t>
  </si>
  <si>
    <t>93853 B</t>
  </si>
  <si>
    <t>93774 B</t>
  </si>
  <si>
    <t>93902 B</t>
  </si>
  <si>
    <t>94047 B</t>
  </si>
  <si>
    <t>94011 B</t>
  </si>
  <si>
    <t>94036 B</t>
  </si>
  <si>
    <t>GRUPO LARA VILLALOBOS SA DE CV</t>
  </si>
  <si>
    <t>94081 B</t>
  </si>
  <si>
    <t>94082 B</t>
  </si>
  <si>
    <t>94053 B</t>
  </si>
  <si>
    <t>ABASTOS Y DISTRIBUCIONES INSTITUCIONALES SA DE CV</t>
  </si>
  <si>
    <t>93978 B</t>
  </si>
  <si>
    <t>93975 B</t>
  </si>
  <si>
    <t>93863 B</t>
  </si>
  <si>
    <t>NO. CLIENTE</t>
  </si>
  <si>
    <t xml:space="preserve">B94089     </t>
  </si>
  <si>
    <t xml:space="preserve">B94079     </t>
  </si>
  <si>
    <t xml:space="preserve">B94080     </t>
  </si>
  <si>
    <t xml:space="preserve">B94081     </t>
  </si>
  <si>
    <t xml:space="preserve">B94082     </t>
  </si>
  <si>
    <t>MOM920318GW1</t>
  </si>
  <si>
    <t xml:space="preserve">B94047     </t>
  </si>
  <si>
    <t xml:space="preserve">B94053     </t>
  </si>
  <si>
    <t xml:space="preserve">B93976     </t>
  </si>
  <si>
    <t xml:space="preserve">B94011     </t>
  </si>
  <si>
    <t>GAFA691210NM2</t>
  </si>
  <si>
    <t xml:space="preserve">B94036     </t>
  </si>
  <si>
    <t xml:space="preserve">B93975     </t>
  </si>
  <si>
    <t>ABASTOS Y DISTRIBUCIONES INSTITUCIONALES SA DE</t>
  </si>
  <si>
    <t>ADI991022KX2</t>
  </si>
  <si>
    <t xml:space="preserve">B93978     </t>
  </si>
  <si>
    <t xml:space="preserve">B93940     </t>
  </si>
  <si>
    <t xml:space="preserve">B93929     </t>
  </si>
  <si>
    <t>RVD100825SA3</t>
  </si>
  <si>
    <t>MCO990415AT0</t>
  </si>
  <si>
    <t xml:space="preserve">B93853     </t>
  </si>
  <si>
    <t xml:space="preserve">B93902     </t>
  </si>
  <si>
    <t>GLV9808149L0</t>
  </si>
  <si>
    <t xml:space="preserve">B93863     </t>
  </si>
  <si>
    <t xml:space="preserve">B93777     </t>
  </si>
  <si>
    <t xml:space="preserve">B93774     </t>
  </si>
  <si>
    <t>FNF130322R12</t>
  </si>
  <si>
    <t>1122-12036</t>
  </si>
  <si>
    <t>1122-12047</t>
  </si>
  <si>
    <t>FIXTURAS INDUSTRIALES SA DE CV</t>
  </si>
  <si>
    <t>1122-12049</t>
  </si>
  <si>
    <t>JOISAN SA DE CV</t>
  </si>
  <si>
    <t>1122-12051</t>
  </si>
  <si>
    <t>DISEÑOS Y TRANSFORMACIONES METALICAS S DE RL DE CV</t>
  </si>
  <si>
    <t>1122-12052</t>
  </si>
  <si>
    <t>SUSPENSIONES Y REPRESENTACIONES SA DE CV</t>
  </si>
  <si>
    <t>1123-10015</t>
  </si>
  <si>
    <t>FONDO DE AHORRO MA. TERESA GARCIA TERRAZAS</t>
  </si>
  <si>
    <t>1124-10014</t>
  </si>
  <si>
    <t>SALDO A FAV IVA NOV 2020</t>
  </si>
  <si>
    <t>94167 B</t>
  </si>
  <si>
    <t>24/11/2020</t>
  </si>
  <si>
    <t>94590 B</t>
  </si>
  <si>
    <t>26/11/2020</t>
  </si>
  <si>
    <t>13/11/2020</t>
  </si>
  <si>
    <t>94364 B</t>
  </si>
  <si>
    <t>94365 B</t>
  </si>
  <si>
    <t>30/11/2020</t>
  </si>
  <si>
    <t>94376 B</t>
  </si>
  <si>
    <t>94632 B</t>
  </si>
  <si>
    <t>94562 B</t>
  </si>
  <si>
    <t>94563 B</t>
  </si>
  <si>
    <t>94564 B</t>
  </si>
  <si>
    <t>94652 B</t>
  </si>
  <si>
    <t>94653 B</t>
  </si>
  <si>
    <t>ALBAUGH MEXICO SRL DE CV</t>
  </si>
  <si>
    <t>94442 B</t>
  </si>
  <si>
    <t>Importaciones La Llamarada SA de CV</t>
  </si>
  <si>
    <t>94319 B</t>
  </si>
  <si>
    <t>94424 B</t>
  </si>
  <si>
    <t>94512 B</t>
  </si>
  <si>
    <t>94461 B</t>
  </si>
  <si>
    <t>94383 B</t>
  </si>
  <si>
    <t>94548 B</t>
  </si>
  <si>
    <t>94549 B</t>
  </si>
  <si>
    <t>94550 B</t>
  </si>
  <si>
    <t>94551 B</t>
  </si>
  <si>
    <t>94481 B</t>
  </si>
  <si>
    <t>94476 B</t>
  </si>
  <si>
    <t>94477 B</t>
  </si>
  <si>
    <t>94362 B</t>
  </si>
  <si>
    <t>94257 B</t>
  </si>
  <si>
    <t xml:space="preserve">B94652     </t>
  </si>
  <si>
    <t xml:space="preserve">B94653     </t>
  </si>
  <si>
    <t xml:space="preserve">B94632     </t>
  </si>
  <si>
    <t xml:space="preserve">B94590     </t>
  </si>
  <si>
    <t xml:space="preserve">B94562     </t>
  </si>
  <si>
    <t xml:space="preserve">B94563     </t>
  </si>
  <si>
    <t xml:space="preserve">B94564     </t>
  </si>
  <si>
    <t xml:space="preserve">B94548     </t>
  </si>
  <si>
    <t xml:space="preserve">B94549     </t>
  </si>
  <si>
    <t xml:space="preserve">B94550     </t>
  </si>
  <si>
    <t xml:space="preserve">B94551     </t>
  </si>
  <si>
    <t xml:space="preserve">B94512     </t>
  </si>
  <si>
    <t xml:space="preserve">B94364     </t>
  </si>
  <si>
    <t xml:space="preserve">B94365     </t>
  </si>
  <si>
    <t xml:space="preserve">B94376     </t>
  </si>
  <si>
    <t xml:space="preserve">B94442     </t>
  </si>
  <si>
    <t xml:space="preserve">B94424     </t>
  </si>
  <si>
    <t xml:space="preserve">B94461     </t>
  </si>
  <si>
    <t xml:space="preserve">B94383     </t>
  </si>
  <si>
    <t>DISTRIBUCIONES INTERNACIONALES AMERICA SA DE C</t>
  </si>
  <si>
    <t>DIA040908EB5</t>
  </si>
  <si>
    <t xml:space="preserve">B94481     </t>
  </si>
  <si>
    <t>CSS190610IW9</t>
  </si>
  <si>
    <t xml:space="preserve">B94476     </t>
  </si>
  <si>
    <t xml:space="preserve">CORPORATIVO GLOBAL SOLES DE ENERGIA RENOVABLE </t>
  </si>
  <si>
    <t>CGS140805GW6</t>
  </si>
  <si>
    <t xml:space="preserve">B94477     </t>
  </si>
  <si>
    <t xml:space="preserve">B94167     </t>
  </si>
  <si>
    <t>AGR030910EF9</t>
  </si>
  <si>
    <t>ILA050518K8A</t>
  </si>
  <si>
    <t xml:space="preserve">B94319     </t>
  </si>
  <si>
    <t>AAOC670206J34</t>
  </si>
  <si>
    <t xml:space="preserve">B94362     </t>
  </si>
  <si>
    <t xml:space="preserve">B94257     </t>
  </si>
  <si>
    <t>Descripcion_del_inmueble</t>
  </si>
  <si>
    <t>Calle</t>
  </si>
  <si>
    <t>Numero</t>
  </si>
  <si>
    <t xml:space="preserve">Ubicación </t>
  </si>
  <si>
    <t xml:space="preserve">PARQUE INDUSTRIAL </t>
  </si>
  <si>
    <t>Tipo</t>
  </si>
  <si>
    <t>Superficie</t>
  </si>
  <si>
    <t>Inscripcion_en_el_RPP</t>
  </si>
  <si>
    <t>Clave_catastral</t>
  </si>
  <si>
    <t>Acto Jurídico</t>
  </si>
  <si>
    <t>MZNA 2</t>
  </si>
  <si>
    <t>LOTE 11 B</t>
  </si>
  <si>
    <t>USO PROPIO</t>
  </si>
  <si>
    <t>I. 143 - F. 10- L.1782 MORELOS</t>
  </si>
  <si>
    <t>320-014-009</t>
  </si>
  <si>
    <t>DONACION</t>
  </si>
  <si>
    <t>MZNA 7</t>
  </si>
  <si>
    <t>LOTE 9A-1</t>
  </si>
  <si>
    <t>I. 148 - F. 10- L.1787 MORELOS</t>
  </si>
  <si>
    <t>MZNA 9</t>
  </si>
  <si>
    <t>LOTE 13 A</t>
  </si>
  <si>
    <t>I. 1083 - F. 63- L.1902 MORELOS</t>
  </si>
  <si>
    <t>MZNA 10</t>
  </si>
  <si>
    <t>LOTE D</t>
  </si>
  <si>
    <t>I. 152 - F.9- L.1791  MORELOS</t>
  </si>
  <si>
    <t>MZNA 14</t>
  </si>
  <si>
    <t>LOTE 15</t>
  </si>
  <si>
    <t>I. 159 - F.10- L.1798 MORELOS</t>
  </si>
  <si>
    <t>N/A</t>
  </si>
  <si>
    <t>LEON TOLSTOI M-14</t>
  </si>
  <si>
    <t>L.16 Y 17</t>
  </si>
  <si>
    <t>LOTE 19</t>
  </si>
  <si>
    <t>LOTE 20</t>
  </si>
  <si>
    <t>MZNA 15</t>
  </si>
  <si>
    <t>LOTE 1B</t>
  </si>
  <si>
    <t>CANCHAS DEPOR.</t>
  </si>
  <si>
    <t>I. 160 - F.11- L.1799 MORELOS</t>
  </si>
  <si>
    <t xml:space="preserve">RESERVA. </t>
  </si>
  <si>
    <t>I. 1086 - F. 67- L.1905 MORELOS</t>
  </si>
  <si>
    <t>COLON</t>
  </si>
  <si>
    <t xml:space="preserve">RESERVA TERR. </t>
  </si>
  <si>
    <t>I. 60 - F. 60- L.5032MORELOS</t>
  </si>
  <si>
    <t>461-002-012</t>
  </si>
  <si>
    <t>I.6 - F.6 - L.4845 MORELOS</t>
  </si>
  <si>
    <t>320-014-001</t>
  </si>
  <si>
    <t>PARQUE INDUSTRIAL CHIH. SUR</t>
  </si>
  <si>
    <t>RESERVA</t>
  </si>
  <si>
    <t xml:space="preserve">I. 72 - F. 72- L. 4555 MORELOS </t>
  </si>
  <si>
    <t>996-004-093</t>
  </si>
  <si>
    <t>PARCELAS 20,102</t>
  </si>
  <si>
    <t>22,69,6,18,19</t>
  </si>
  <si>
    <t>PARCELAS 25 Z</t>
  </si>
  <si>
    <t>P 1/1</t>
  </si>
  <si>
    <t>ENTRE PARCELA92</t>
  </si>
  <si>
    <t>Y PARCELA 98</t>
  </si>
  <si>
    <t>PARCELA</t>
  </si>
  <si>
    <t>TABALAOPA PARQUE SUR</t>
  </si>
  <si>
    <t>PARCELAS 242 Z-2</t>
  </si>
  <si>
    <t>P 2/2</t>
  </si>
  <si>
    <t>PARCELAS 241Z-2</t>
  </si>
  <si>
    <t>PARCELA 212</t>
  </si>
  <si>
    <t>CONCORDIA PARQUE SUR</t>
  </si>
  <si>
    <t>I. 74 - F.74-  L. 4116 MORELOS</t>
  </si>
  <si>
    <t>967-005-050</t>
  </si>
  <si>
    <t>MZNA 4</t>
  </si>
  <si>
    <t>LOTE 3</t>
  </si>
  <si>
    <t>PARQUE IND. AEROPUERTO</t>
  </si>
  <si>
    <t xml:space="preserve">I. 721 - F. 38- L. 1721 BRAVOS </t>
  </si>
  <si>
    <t xml:space="preserve">MZNA 7 Y 8 </t>
  </si>
  <si>
    <t>LOTE S/N</t>
  </si>
  <si>
    <t>I. 721 - F. 38- L. 1721 BRAVOS</t>
  </si>
  <si>
    <t>RESERVA EL CANTON</t>
  </si>
  <si>
    <t xml:space="preserve">I. 485- F. 30 - L.2325 BRAVOS </t>
  </si>
  <si>
    <t>01-818-001-002</t>
  </si>
  <si>
    <t xml:space="preserve">I. 486 - F. 31- L. 2326 BRAVOS </t>
  </si>
  <si>
    <t>01-818-001-001</t>
  </si>
  <si>
    <t>ZARAGOZA (Donacion SDUE 2004)</t>
  </si>
  <si>
    <t>RESERVA ZARAGOZA (YONKEROS)</t>
  </si>
  <si>
    <t xml:space="preserve">I. 114 - F. 114 L. 3950  BRAVOS. </t>
  </si>
  <si>
    <t>01-819-014-004</t>
  </si>
  <si>
    <t>JERÓNIMO Ciudad Juárez adq 2004</t>
  </si>
  <si>
    <t>RESERVA SN JERONIMO</t>
  </si>
  <si>
    <t xml:space="preserve">I. 68 - F. 68 L. 3858  BRAVOS. </t>
  </si>
  <si>
    <t>01-717-003-004</t>
  </si>
  <si>
    <t>BAJA 90,000 M2 VENTA BRP</t>
  </si>
  <si>
    <t>MZNA 1</t>
  </si>
  <si>
    <t>LOTE  1B</t>
  </si>
  <si>
    <t>PARQUE IND. CUAUHTÉMOC</t>
  </si>
  <si>
    <t>I. 49 - F. 49- L. 538 BENITO JUÁREZ</t>
  </si>
  <si>
    <t>0047-002-899</t>
  </si>
  <si>
    <t>LOTE 6B</t>
  </si>
  <si>
    <t>LOTE 7</t>
  </si>
  <si>
    <t>LOTE 7A</t>
  </si>
  <si>
    <t>MZNA 3</t>
  </si>
  <si>
    <t>LOTE 5</t>
  </si>
  <si>
    <t>I. 41 - F.41- L.538   BENITO JUÁREZ</t>
  </si>
  <si>
    <t>LOTE 6</t>
  </si>
  <si>
    <t>LOTE 8</t>
  </si>
  <si>
    <t>LOTE 9</t>
  </si>
  <si>
    <t>LOTE 4A</t>
  </si>
  <si>
    <t>I. 93 - F. 75- L. 300 BENITO JUÁREZ</t>
  </si>
  <si>
    <t>MZNA 6</t>
  </si>
  <si>
    <t>LOTE 2 B</t>
  </si>
  <si>
    <t>I. 22 - F. 17- L. 269 BENITO JUÁREZ</t>
  </si>
  <si>
    <t>LOTE 4</t>
  </si>
  <si>
    <t>COMODATO</t>
  </si>
  <si>
    <t>LOTE 2B</t>
  </si>
  <si>
    <t>I. 42 - F. 42- L. 538 BENITO JUÁREZ</t>
  </si>
  <si>
    <t>DACION EN PAGO</t>
  </si>
  <si>
    <t>MZNA 8</t>
  </si>
  <si>
    <t>LOTE 1</t>
  </si>
  <si>
    <t>I. 44- F. 44- L. 538 BENITO JUÁREZ</t>
  </si>
  <si>
    <t xml:space="preserve">MZNA 8 </t>
  </si>
  <si>
    <t>LOTE 2</t>
  </si>
  <si>
    <t>I. 141 - F. 103- L. 256 BENITO JUÁREZ</t>
  </si>
  <si>
    <t>LOTE 5A</t>
  </si>
  <si>
    <t>VIALIDAD</t>
  </si>
  <si>
    <t>INTERNA</t>
  </si>
  <si>
    <t>SEGUNDA</t>
  </si>
  <si>
    <t>ETAPA</t>
  </si>
  <si>
    <t>RESERVA TERR</t>
  </si>
  <si>
    <t>I. 90- F. 93- L. 838 BENITO JUÁREZ</t>
  </si>
  <si>
    <t>MZNA 5</t>
  </si>
  <si>
    <t>PARQUE PARRAL 1a ETAPA</t>
  </si>
  <si>
    <t>I. 394 - F. 159- L. 423 HIDALGO</t>
  </si>
  <si>
    <t>501-003-050</t>
  </si>
  <si>
    <t>LOTE 10</t>
  </si>
  <si>
    <t>LOTE 1-A</t>
  </si>
  <si>
    <t xml:space="preserve">MZNA 7 </t>
  </si>
  <si>
    <t>PARQUE PARRAL 2a ETAPA</t>
  </si>
  <si>
    <t>I. 181 - F. 96- L. 429 HIDALGO</t>
  </si>
  <si>
    <t>I. 1263 - F. 131- L. 397 HIDALGO</t>
  </si>
  <si>
    <t>PARRAL Planta Metalurgica Parral</t>
  </si>
  <si>
    <t>KM 4</t>
  </si>
  <si>
    <t>CARR ESMERALDA</t>
  </si>
  <si>
    <t xml:space="preserve"> EJIDO LA ALMANCEÑA</t>
  </si>
  <si>
    <t>PLANTA MET.</t>
  </si>
  <si>
    <t>I. 110 - F.114 - L. 867 HIDALGO</t>
  </si>
  <si>
    <t>000-001-107</t>
  </si>
  <si>
    <t>AVE. CENTAURO DEL NTE</t>
  </si>
  <si>
    <t>I.42- F-98- L.  295 HIDALGO</t>
  </si>
  <si>
    <t>000-000-000</t>
  </si>
  <si>
    <t>LOTE 2A</t>
  </si>
  <si>
    <t>I. 106 - F. 107- L. 406 GALEANA</t>
  </si>
  <si>
    <t>020-099-001</t>
  </si>
  <si>
    <t>I. 107 - F. 108- L. 406 GALEANA</t>
  </si>
  <si>
    <t>I. 108 - F. 109- L. 406 GALEANA</t>
  </si>
  <si>
    <t>LOTE 8B</t>
  </si>
  <si>
    <t>LOTE 1 -8</t>
  </si>
  <si>
    <t>I. 109- F. 110- L. 406 GALEANA</t>
  </si>
  <si>
    <t>I. 110 - F. 111- L. 406 GALEANA</t>
  </si>
  <si>
    <t xml:space="preserve">MZNA 6 </t>
  </si>
  <si>
    <t>I. 111 - F. 112- L. 406 GALEANA</t>
  </si>
  <si>
    <t>I. 112 - F. 113- L. 406 GALEANA</t>
  </si>
  <si>
    <t>I. 113 - F. 114- L. 406 GALEANA</t>
  </si>
  <si>
    <t>MZNA 11</t>
  </si>
  <si>
    <t>FUERA DEL PARQUE PAQUIME</t>
  </si>
  <si>
    <t>I. 115 - F. 114- L. 406 GALEANA</t>
  </si>
  <si>
    <t>MZNA 12-A</t>
  </si>
  <si>
    <t>I. 117 - F. 118- L. 406 GALEANA</t>
  </si>
  <si>
    <t>MZNA Z1</t>
  </si>
  <si>
    <t>FRACC L.54</t>
  </si>
  <si>
    <t xml:space="preserve">COL. ADOLFO ORIVE </t>
  </si>
  <si>
    <t>I.50- F. 54- L. 595 ABRAHAM GLZ.</t>
  </si>
  <si>
    <t>999-027-00</t>
  </si>
  <si>
    <t>NAICA/SAUCILLO</t>
  </si>
  <si>
    <t>I. 103- F.107-L.394 SAUCILLO</t>
  </si>
  <si>
    <t>RESERVA TERR.</t>
  </si>
  <si>
    <t>I. 80- F.83-L.404 SAUCILLO</t>
  </si>
  <si>
    <t>I. 70- F.72-L.689  BENITO JUÁREZ</t>
  </si>
  <si>
    <t>999-010-1248</t>
  </si>
  <si>
    <t>I. 44- F.44-L.194  BENITO JUÁREZ</t>
  </si>
  <si>
    <t>999-010-1183</t>
  </si>
  <si>
    <t>999-010-1247</t>
  </si>
  <si>
    <t>ANAHUAC -PARCELA P-460</t>
  </si>
  <si>
    <t>EN TRÁMITE</t>
  </si>
  <si>
    <t>NORMAL</t>
  </si>
  <si>
    <t>ANAHUAC -PARCELA P-451</t>
  </si>
  <si>
    <t>ANAHUAC -PARCELA P-455</t>
  </si>
  <si>
    <t xml:space="preserve">PUERTO PALOMAS, MPIO DE ASCENSIÓN </t>
  </si>
  <si>
    <t xml:space="preserve">I. 40 - F. 40 - L. 554 - 1RA., GALEANA </t>
  </si>
  <si>
    <t>008-017-004</t>
  </si>
  <si>
    <t xml:space="preserve">I. 43 - F. 43 - L. 554 - 1RA., GALEANA </t>
  </si>
  <si>
    <t>008-024-006</t>
  </si>
  <si>
    <t xml:space="preserve">I. 13 - F. 13 - L. 554 - 1RA., GALEANA </t>
  </si>
  <si>
    <t>008-017-006</t>
  </si>
  <si>
    <t xml:space="preserve">I. 46 - F. 46 - L. 554 - 1RA., GALEANA </t>
  </si>
  <si>
    <t>008-023-002</t>
  </si>
  <si>
    <t xml:space="preserve">I. 36 - F. 36 - L. 554 - 1RA., GALEANA </t>
  </si>
  <si>
    <t>008-024-002</t>
  </si>
  <si>
    <t xml:space="preserve">I. 35 - F. 35 - L. 554 - 1RA., GALEANA </t>
  </si>
  <si>
    <t>008-023-008</t>
  </si>
  <si>
    <t xml:space="preserve">I. 34 - F. 34 - L. 554 - 1RA., GALEANA </t>
  </si>
  <si>
    <t>008-018-001</t>
  </si>
  <si>
    <t xml:space="preserve">I. 33 - F. 33 - L. 554 - 1RA., GALEANA </t>
  </si>
  <si>
    <t>008-011-001</t>
  </si>
  <si>
    <t xml:space="preserve">I. 51 - F. 51 - L. 554 - 1RA., GALEANA </t>
  </si>
  <si>
    <t>008-024-003</t>
  </si>
  <si>
    <t xml:space="preserve">I. 27 - F. 27 - L. 554 - 1RA., GALEANA </t>
  </si>
  <si>
    <t>008-004-001</t>
  </si>
  <si>
    <t xml:space="preserve">I. 68 - F. 69 - L. 576 - 1RA., GALEANA </t>
  </si>
  <si>
    <t>000-001-635</t>
  </si>
  <si>
    <t xml:space="preserve">EL BERRENDO, MPIO. DE JANOS </t>
  </si>
  <si>
    <t xml:space="preserve">I. 34 - F. 34 - L. 588 - 1RA., GALEANA </t>
  </si>
  <si>
    <t>126,827.90  A INDAABIN</t>
  </si>
  <si>
    <t xml:space="preserve"> ALDAMA</t>
  </si>
  <si>
    <t>I. 74 - F. 74- L. 4886  MORELOS</t>
  </si>
  <si>
    <t>000-004-913</t>
  </si>
  <si>
    <t>I. 99- F.99-L.348 CAMARGO</t>
  </si>
  <si>
    <t>10-17-67</t>
  </si>
  <si>
    <t>Z1</t>
  </si>
  <si>
    <t>I. 114 - F. 114- L. 670 ABRAHAM GLZ</t>
  </si>
  <si>
    <t>051-002-005</t>
  </si>
  <si>
    <t>I. 40 - F. 40- L. 738 ABRAHAM GLZ</t>
  </si>
  <si>
    <t>990-021-009</t>
  </si>
  <si>
    <t>N/D</t>
  </si>
  <si>
    <t>I. 40- F. 40- L. 738 ABRAHAM GLZ</t>
  </si>
  <si>
    <t>LOTE 1 F.A</t>
  </si>
  <si>
    <t>I. 91- F. 92- L. 653 ABRAHAM GLZ</t>
  </si>
  <si>
    <t>051-002-027</t>
  </si>
  <si>
    <t>I. 109- F. 109- L. 730 ABRAHAM GLZ</t>
  </si>
  <si>
    <t>051-002-014</t>
  </si>
  <si>
    <t>I. 556- F. 119- L. 250 ABRAHAM GLZ</t>
  </si>
  <si>
    <t>LOTE 54</t>
  </si>
  <si>
    <t>I.123- F.123- L.745 ABRAHAM GLZ</t>
  </si>
  <si>
    <t>999-027-000</t>
  </si>
  <si>
    <t>I. 29- F. 29- L. 704 ABRAHAM GLZ</t>
  </si>
  <si>
    <t>999-028-049</t>
  </si>
  <si>
    <t>PROMOTORA ROSALES lote 22 Donacion Gob del Edo Chihuahua Distrito de Riego 05</t>
  </si>
  <si>
    <t>MPIO ROSALAES, CHIH</t>
  </si>
  <si>
    <t>MAY. 2015</t>
  </si>
  <si>
    <t>I. 8- F.8-L.907  A. GLZ</t>
  </si>
  <si>
    <t>000-000-00</t>
  </si>
  <si>
    <t>Fondo ahoro María Teresa García Terrazas</t>
  </si>
  <si>
    <t>Saldo pendiente de pago por préstamo no cubierto</t>
  </si>
  <si>
    <t>1122-12053</t>
  </si>
  <si>
    <t>IVEX PROTECTIVE PACKAGING S DE RL DE CV</t>
  </si>
  <si>
    <t>1122-12054</t>
  </si>
  <si>
    <t>OPERACION Y MANUFACTURA INTERCERAMIC SA DE CV</t>
  </si>
  <si>
    <t>1122-12056</t>
  </si>
  <si>
    <t>DISTRIBUCIONES AVIL SA DE CV</t>
  </si>
  <si>
    <t>1122-12058</t>
  </si>
  <si>
    <t>CADECO SA DE CV</t>
  </si>
  <si>
    <t>1122-12060</t>
  </si>
  <si>
    <t>GRUPO SAROYO SA DE CV</t>
  </si>
  <si>
    <t>1122-21098</t>
  </si>
  <si>
    <t>1124-10015</t>
  </si>
  <si>
    <t>SALDO A FAV IVA DIC 2020</t>
  </si>
  <si>
    <t>1236-2</t>
  </si>
  <si>
    <t>Edificación no Habitacional en Proceso</t>
  </si>
  <si>
    <t>1236-2-58313</t>
  </si>
  <si>
    <t>BODEGA ARCHIVO</t>
  </si>
  <si>
    <t>2119-10027</t>
  </si>
  <si>
    <t>DESARROLLA T DE MEXICO SA DE CV</t>
  </si>
  <si>
    <t>2119-10028</t>
  </si>
  <si>
    <t>ECOGAS MEXICO S DE RL DE CV</t>
  </si>
  <si>
    <t>2151-12025</t>
  </si>
  <si>
    <t>Tesorería de la Federación</t>
  </si>
  <si>
    <t>94865 B</t>
  </si>
  <si>
    <t>94919 B</t>
  </si>
  <si>
    <t>94920 B</t>
  </si>
  <si>
    <t>94932 B</t>
  </si>
  <si>
    <t>94905 B</t>
  </si>
  <si>
    <t>94797 B</t>
  </si>
  <si>
    <t>94999 B</t>
  </si>
  <si>
    <t>95000 B</t>
  </si>
  <si>
    <t>95001 B</t>
  </si>
  <si>
    <t>95002 B</t>
  </si>
  <si>
    <t>95003 B</t>
  </si>
  <si>
    <t>95004 B</t>
  </si>
  <si>
    <t>95005 B</t>
  </si>
  <si>
    <t>95006 B</t>
  </si>
  <si>
    <t>95007 B</t>
  </si>
  <si>
    <t>95008 B</t>
  </si>
  <si>
    <t>95009 B</t>
  </si>
  <si>
    <t>95010 B</t>
  </si>
  <si>
    <t>94744 B</t>
  </si>
  <si>
    <t>DHL EXPRESS MEXICO S.A DE C.V.</t>
  </si>
  <si>
    <t>94760 B</t>
  </si>
  <si>
    <t>Florinda Chavez Renova</t>
  </si>
  <si>
    <t>Genesis Servicios y Desarrollos Inmobiliarios SA de CV</t>
  </si>
  <si>
    <t>94816 B</t>
  </si>
  <si>
    <t>14/12/2020</t>
  </si>
  <si>
    <t>94899 B</t>
  </si>
  <si>
    <t>Omar Librado Garza Lopez</t>
  </si>
  <si>
    <t>94978 B</t>
  </si>
  <si>
    <t>94980 B</t>
  </si>
  <si>
    <t>94966 B</t>
  </si>
  <si>
    <t>94955 B</t>
  </si>
  <si>
    <t>95069 B</t>
  </si>
  <si>
    <t>94952 B</t>
  </si>
  <si>
    <t>94953 B</t>
  </si>
  <si>
    <t>DISTRIBUICIONES AVIL SA DE CV</t>
  </si>
  <si>
    <t>95075 B</t>
  </si>
  <si>
    <t>GRUPO SAROYO, SA DE CV</t>
  </si>
  <si>
    <t>17/12/2020</t>
  </si>
  <si>
    <t>95094 B</t>
  </si>
  <si>
    <t>94895 B</t>
  </si>
  <si>
    <t>GSA1906262N3</t>
  </si>
  <si>
    <t xml:space="preserve">B95094     </t>
  </si>
  <si>
    <t>DAV9503096W5</t>
  </si>
  <si>
    <t xml:space="preserve">B95075     </t>
  </si>
  <si>
    <t>IIF1604073T9</t>
  </si>
  <si>
    <t xml:space="preserve">B95069     </t>
  </si>
  <si>
    <t xml:space="preserve">B94999     </t>
  </si>
  <si>
    <t xml:space="preserve">B95000     </t>
  </si>
  <si>
    <t xml:space="preserve">B95001     </t>
  </si>
  <si>
    <t xml:space="preserve">B95002     </t>
  </si>
  <si>
    <t xml:space="preserve">B95003     </t>
  </si>
  <si>
    <t xml:space="preserve">B95004     </t>
  </si>
  <si>
    <t xml:space="preserve">B95005     </t>
  </si>
  <si>
    <t xml:space="preserve">B95006     </t>
  </si>
  <si>
    <t xml:space="preserve">B95007     </t>
  </si>
  <si>
    <t xml:space="preserve">B95008     </t>
  </si>
  <si>
    <t xml:space="preserve">B95009     </t>
  </si>
  <si>
    <t xml:space="preserve">B95010     </t>
  </si>
  <si>
    <t xml:space="preserve">B94919     </t>
  </si>
  <si>
    <t xml:space="preserve">B94920     </t>
  </si>
  <si>
    <t xml:space="preserve">B94932     </t>
  </si>
  <si>
    <t xml:space="preserve">B94905     </t>
  </si>
  <si>
    <t xml:space="preserve">B94899     </t>
  </si>
  <si>
    <t>GALO5307209W0</t>
  </si>
  <si>
    <t xml:space="preserve">B94978     </t>
  </si>
  <si>
    <t xml:space="preserve">B94895     </t>
  </si>
  <si>
    <t xml:space="preserve">B94980     </t>
  </si>
  <si>
    <t>IMM861215HH0</t>
  </si>
  <si>
    <t xml:space="preserve">B94966     </t>
  </si>
  <si>
    <t xml:space="preserve">B94955     </t>
  </si>
  <si>
    <t xml:space="preserve">B94952     </t>
  </si>
  <si>
    <t xml:space="preserve">B94953     </t>
  </si>
  <si>
    <t xml:space="preserve">B94865     </t>
  </si>
  <si>
    <t xml:space="preserve">B94797     </t>
  </si>
  <si>
    <t xml:space="preserve">B94744     </t>
  </si>
  <si>
    <t>DEM8801152E9</t>
  </si>
  <si>
    <t xml:space="preserve">B94760     </t>
  </si>
  <si>
    <t>CARF6309284S1</t>
  </si>
  <si>
    <t xml:space="preserve">Genesis Servicios y Desarrollos Inmobiliarios </t>
  </si>
  <si>
    <t>GSD050404IZ3</t>
  </si>
  <si>
    <t xml:space="preserve">B94816     </t>
  </si>
  <si>
    <t xml:space="preserve">Fecha y </t>
  </si>
  <si>
    <t xml:space="preserve">CUENTAS DE ORDEN PRESUPUESTARIAS </t>
  </si>
  <si>
    <t xml:space="preserve">LEY DE INGRESOS </t>
  </si>
  <si>
    <t xml:space="preserve">PRESUPUESTO DE EGRESOS </t>
  </si>
  <si>
    <t>Proveedores por pagar</t>
  </si>
  <si>
    <t>PRESUPUESTO DE EGRESOS DEL EJERCICIO 2021 (ORIGINAL APROBADO)</t>
  </si>
  <si>
    <t>Desarenador y linea de agua del pozo numero dos</t>
  </si>
  <si>
    <t>Perforación de pozo número dos</t>
  </si>
  <si>
    <t>Construcción de la prolongación de la avenida Montealban</t>
  </si>
  <si>
    <t>INFRAESTRUCTURA Y ACTIVOS FIJOS</t>
  </si>
  <si>
    <t>Mercatek de México</t>
  </si>
  <si>
    <t>Total 2021</t>
  </si>
  <si>
    <t>y al 31 de diciembre de 2020</t>
  </si>
  <si>
    <t>2021</t>
  </si>
  <si>
    <t>2021 (d)</t>
  </si>
  <si>
    <t>31 de diciembre de 2020 (e)</t>
  </si>
  <si>
    <t>Hacienta Pública/Patrimonio Contribuido Neto 2020</t>
  </si>
  <si>
    <t>Hacienda Pública/Patrimonio Generado Neto 2020</t>
  </si>
  <si>
    <t>Exceso o Insuficiencia en la Actualización de la Hacienda Pública/Patrimonio Neto 2020</t>
  </si>
  <si>
    <t>Hacienda Pública/Patrimonio Neto Final del Ejercicio 2020</t>
  </si>
  <si>
    <t>Cambios en la Hacienda Pública/Patrimonio Neto del Ejercicio 2021</t>
  </si>
  <si>
    <t>Cambios en Exceso o Insuficiencia en la Actualización de la Hacienda Pública/Patrimonio Neto 2021</t>
  </si>
  <si>
    <t>Saldo Neto en la Hacienda Pública / Patrimonio 2021</t>
  </si>
  <si>
    <t>Hacienda Pública / Patrimonio Contribuido Neto 2020</t>
  </si>
  <si>
    <t>Hacienda Pública / Patrimonio Generado Neto 2020</t>
  </si>
  <si>
    <t>Exceso o Insuficiencia en la Actualización de la Hacienda Pública / Patrimonio Neto 2020</t>
  </si>
  <si>
    <t>Cambios en la Hacienda Pública / Patrimonio Contribuido Neto 2021</t>
  </si>
  <si>
    <t>Variaciones de la Hacienda Pública / Patrimonio Generado Neto 2021</t>
  </si>
  <si>
    <t>Cambios en el Exceso o Insuficiencia en la Actualización de la Hacienda Pública / Patrimonio Neto 2021</t>
  </si>
  <si>
    <t>Hacienda Pública / Patrimonio Neto Final 2021</t>
  </si>
  <si>
    <t xml:space="preserve">BBVA </t>
  </si>
  <si>
    <t>BBVA</t>
  </si>
  <si>
    <t>DATOS DEL EJERCICIO 2021</t>
  </si>
  <si>
    <t>VOGA (Complejo Industrial Chihuahua, Parque Industrial Cuauhtémoc)</t>
  </si>
  <si>
    <t>Total mensual</t>
  </si>
  <si>
    <t>MIR Costo vigilancia</t>
  </si>
  <si>
    <t>MIR Costo mantenimiento</t>
  </si>
  <si>
    <t xml:space="preserve">Varios </t>
  </si>
  <si>
    <t>1112-10011</t>
  </si>
  <si>
    <t xml:space="preserve">Bancomer </t>
  </si>
  <si>
    <t>Cuenta no. 0116086306</t>
  </si>
  <si>
    <t>1112-10012</t>
  </si>
  <si>
    <t>Bancomer Tarjeta Ejecutiva</t>
  </si>
  <si>
    <t>Cuenta no. 1527997164</t>
  </si>
  <si>
    <t>BANCOMER 0116086306</t>
  </si>
  <si>
    <t>BANCOMER TD 1527997164</t>
  </si>
  <si>
    <t>1122-12055</t>
  </si>
  <si>
    <t>DEXTRA BTL GROUP, SAPI DE CV</t>
  </si>
  <si>
    <t>1122-12057</t>
  </si>
  <si>
    <t>NOVALIMENTOS DE MEXICO S DE RL DE CV</t>
  </si>
  <si>
    <t>1122-12062</t>
  </si>
  <si>
    <t>MEINS INDUSTRIES S DE RL DE CV</t>
  </si>
  <si>
    <t>1122-12063</t>
  </si>
  <si>
    <t>PEI EQUIPOS SA DE CV</t>
  </si>
  <si>
    <t>1122-12064</t>
  </si>
  <si>
    <t>QUESERIA AMERICA S DE PR DE RL DE CV</t>
  </si>
  <si>
    <t>1122-12065</t>
  </si>
  <si>
    <t>1122-51027</t>
  </si>
  <si>
    <t>LEAR MEXICAN TRIM OPERATION S DE RL DE CV</t>
  </si>
  <si>
    <t>1124-10016</t>
  </si>
  <si>
    <t>SALDO A FAV IVA ENE 2021</t>
  </si>
  <si>
    <t>2119-10029</t>
  </si>
  <si>
    <t>SERVICIOS BROXEL SAPI DE CV</t>
  </si>
  <si>
    <t>2151-11784</t>
  </si>
  <si>
    <t>2151-11802</t>
  </si>
  <si>
    <t>3210-2020</t>
  </si>
  <si>
    <t>Resultado del Ejercicio Actual 2020</t>
  </si>
  <si>
    <t>3220-02020</t>
  </si>
  <si>
    <t>RESULTADO EJERCICIO 2020</t>
  </si>
  <si>
    <t>3220-2020</t>
  </si>
  <si>
    <t>RESULTADO DE EJERCICIOS ANTERIORES 2020</t>
  </si>
  <si>
    <t>4173-1-20004</t>
  </si>
  <si>
    <t>VARIOS JUAREZ</t>
  </si>
  <si>
    <t>8120-73-1-20004</t>
  </si>
  <si>
    <t>8140-73-1-20004</t>
  </si>
  <si>
    <t>8150-73-1-20004</t>
  </si>
  <si>
    <t xml:space="preserve">Programa Fomento Industrial - Gasto Corriente </t>
  </si>
  <si>
    <t>0116086306</t>
  </si>
  <si>
    <t>Abarrotera del  Duero, SA de Cv</t>
  </si>
  <si>
    <t>Acelec Chihuahua, SA de CV</t>
  </si>
  <si>
    <t>Advanced Decorative Systems México, SA de CV</t>
  </si>
  <si>
    <t>Analia Padilla Soto</t>
  </si>
  <si>
    <t>Bauer Trophies SA de CV</t>
  </si>
  <si>
    <t>Bombardier Aerospace México, SA de CV</t>
  </si>
  <si>
    <t>Bridge Chemical Company, SA de CV</t>
  </si>
  <si>
    <t>Cadeco, SA de CV</t>
  </si>
  <si>
    <t>Cari Vision, SA deCV</t>
  </si>
  <si>
    <t>Castle Metals de México, SA de CV</t>
  </si>
  <si>
    <t>Ciklo Reciclados y Procesados, SRL de CV</t>
  </si>
  <si>
    <t>Coalimexsa Alimentos Mexicanos, SA de CV</t>
  </si>
  <si>
    <t>Coordinadora de Servicios Silver Star, SA de CV</t>
  </si>
  <si>
    <t>Dextra BTL Group, SAPI de CV</t>
  </si>
  <si>
    <t>Dinamaq Machining Solutions de México, SA de CV</t>
  </si>
  <si>
    <t>Diseños y Transformaciones Metálicas, S de R de CV</t>
  </si>
  <si>
    <t>Distribuciones AVIL, SA de CV</t>
  </si>
  <si>
    <t>DSI Undergruound Systems México, SA de CV</t>
  </si>
  <si>
    <t>El Capitan, SA de CV</t>
  </si>
  <si>
    <t>Fixturas Industriales Diversificadas, SA de CV</t>
  </si>
  <si>
    <t>Gamma Ingredientes, S de RLMI</t>
  </si>
  <si>
    <t>Grupo Saroyo, SA de CV</t>
  </si>
  <si>
    <t>Inmobiliaria Togarsa, SRL de CV</t>
  </si>
  <si>
    <t>Irving Luna Franco</t>
  </si>
  <si>
    <t>IVEX Protective Packaging S de R de CV</t>
  </si>
  <si>
    <t>Joisan, SA de CV</t>
  </si>
  <si>
    <t>Jorge Talamas Abbud</t>
  </si>
  <si>
    <t>Materiales Reciclables del Carmen, SA de CV</t>
  </si>
  <si>
    <t>Meins Industries, S de RLMI</t>
  </si>
  <si>
    <t>Momatt, SA de CV</t>
  </si>
  <si>
    <t>Montacargas Yale de México, SA de CV</t>
  </si>
  <si>
    <t>Novalimentos de México, S de RL de CV</t>
  </si>
  <si>
    <t>Omar Librado Graza López</t>
  </si>
  <si>
    <t xml:space="preserve">Operación y Manufactura Interceramic, SA de CV </t>
  </si>
  <si>
    <t>PEI Equipos, SA de CV</t>
  </si>
  <si>
    <t>Productora Procesadora Agricola de México, SA de CV</t>
  </si>
  <si>
    <t>Productos Lacteos Sanbuena, SA de CV</t>
  </si>
  <si>
    <t>PXT Manufacturing S de RLMI</t>
  </si>
  <si>
    <t>Quesería Ámerica, S de R de RL de CV</t>
  </si>
  <si>
    <t>Realty Proyects, S de RL de CV</t>
  </si>
  <si>
    <t>Ryder Capital S de RL de CV</t>
  </si>
  <si>
    <t>Serpro Nursing S RL de CV</t>
  </si>
  <si>
    <t>Servicios y Recursos Logisticos, SA de CV</t>
  </si>
  <si>
    <t>Suspenciones y Representaciones, SA de CV</t>
  </si>
  <si>
    <t>IGS Industrial Fund III, SAPI de CV</t>
  </si>
  <si>
    <t>Lear Mexican Trim Operations, S de RL de CV</t>
  </si>
  <si>
    <t>DART, SA DE CV</t>
  </si>
  <si>
    <t>Safran Cabin Tijuana, SA de CV</t>
  </si>
  <si>
    <t>ITM Internacional de Tecnologias Medicas, SA de CV</t>
  </si>
  <si>
    <t>NUMERO DE EMPRESAS DEL PRIMER SEMESTRE 2021</t>
  </si>
  <si>
    <t>Pensiones Civiles del Estado de Chihuahua</t>
  </si>
  <si>
    <t>Kalisch Fierro y Acero S.A. de C.V.</t>
  </si>
  <si>
    <t>Cuotas de fondo propio de trabajadores</t>
  </si>
  <si>
    <t>95188 B</t>
  </si>
  <si>
    <t>95473 B</t>
  </si>
  <si>
    <t>Express Tres Fronteras S.A. de C.V.</t>
  </si>
  <si>
    <t>Instituto de Seguridad y Servicios Sociales de los Trabajadores del Estado</t>
  </si>
  <si>
    <t>95125 B</t>
  </si>
  <si>
    <t>25/01/2021</t>
  </si>
  <si>
    <t>95550 B</t>
  </si>
  <si>
    <t>NOVARES MEXICO NORTH S. DE R.L. DE C.V.</t>
  </si>
  <si>
    <t>Digital Appliance Controls de Mexico S.A. de C.V.</t>
  </si>
  <si>
    <t>95414 B</t>
  </si>
  <si>
    <t>95415 B</t>
  </si>
  <si>
    <t>95329 B</t>
  </si>
  <si>
    <t>95418 B</t>
  </si>
  <si>
    <t>Fletes Mexico Chihuahua SA de CV</t>
  </si>
  <si>
    <t>95557 B</t>
  </si>
  <si>
    <t>95281 B</t>
  </si>
  <si>
    <t>95283 B</t>
  </si>
  <si>
    <t>95280 B</t>
  </si>
  <si>
    <t>95497 B</t>
  </si>
  <si>
    <t>95520 B</t>
  </si>
  <si>
    <t>95521 B</t>
  </si>
  <si>
    <t>95522 B</t>
  </si>
  <si>
    <t>95523 B</t>
  </si>
  <si>
    <t>95524 B</t>
  </si>
  <si>
    <t>Global Products Co. S.A. De C.V.</t>
  </si>
  <si>
    <t>95373 B</t>
  </si>
  <si>
    <t>Consolidated Medical Equipment Company S de RL de CV</t>
  </si>
  <si>
    <t>95231 B</t>
  </si>
  <si>
    <t>Luis Antonio Montoya Jaquez</t>
  </si>
  <si>
    <t>95241 B</t>
  </si>
  <si>
    <t>95254 B</t>
  </si>
  <si>
    <t>Alejandro Medina Martinez</t>
  </si>
  <si>
    <t>95306 B</t>
  </si>
  <si>
    <t>95182 B</t>
  </si>
  <si>
    <t>95184 B</t>
  </si>
  <si>
    <t>Avitar del Norte S.A de C.V.</t>
  </si>
  <si>
    <t>ALTO TERRA S.A. DE C.V.</t>
  </si>
  <si>
    <t>19/01/2021</t>
  </si>
  <si>
    <t>95533 B</t>
  </si>
  <si>
    <t>Sindicato Nacional de Trabajadores de la Educacion Seccion 8</t>
  </si>
  <si>
    <t>95487 B</t>
  </si>
  <si>
    <t>95419 B</t>
  </si>
  <si>
    <t>95411 B</t>
  </si>
  <si>
    <t>95412 B</t>
  </si>
  <si>
    <t>95470 B</t>
  </si>
  <si>
    <t>95472 B</t>
  </si>
  <si>
    <t>95463 B</t>
  </si>
  <si>
    <t>95449 B</t>
  </si>
  <si>
    <t>95409 B</t>
  </si>
  <si>
    <t>GAMMA INGREDIENTES S DE RL MI</t>
  </si>
  <si>
    <t>95500 B</t>
  </si>
  <si>
    <t>95427 B</t>
  </si>
  <si>
    <t>95434 B</t>
  </si>
  <si>
    <t>95436 B</t>
  </si>
  <si>
    <t>QUESERIA AMERICA, S de PR de RL de CV</t>
  </si>
  <si>
    <t>Operadora XVIII de Diciembre SA de CV</t>
  </si>
  <si>
    <t>95486 B</t>
  </si>
  <si>
    <t>95282 B</t>
  </si>
  <si>
    <t>95374 B</t>
  </si>
  <si>
    <t>Centro de Fabricantes S.A. de C.V.</t>
  </si>
  <si>
    <t>95354 B</t>
  </si>
  <si>
    <t>95350 B</t>
  </si>
  <si>
    <t>MANTENIMIENTO INTEGRAL FINSA SA DE CV</t>
  </si>
  <si>
    <t>95536 B</t>
  </si>
  <si>
    <t>Quiroproductos de Cuauhtemoc S de RL de CV</t>
  </si>
  <si>
    <t>95525 B</t>
  </si>
  <si>
    <t>95363 B</t>
  </si>
  <si>
    <t>Instituto de Seguridad y Servicios Sociales de</t>
  </si>
  <si>
    <t>ISS6001015A3</t>
  </si>
  <si>
    <t xml:space="preserve">B95550     </t>
  </si>
  <si>
    <t>KPM940421EV1</t>
  </si>
  <si>
    <t>Digital Appliance Controls de Mexico S.A. de C</t>
  </si>
  <si>
    <t>DAC970701DRA</t>
  </si>
  <si>
    <t>FMC801119BK4</t>
  </si>
  <si>
    <t xml:space="preserve">B95557     </t>
  </si>
  <si>
    <t>GPR031203C36</t>
  </si>
  <si>
    <t>Consolidated Medical Equipment Company S de RL</t>
  </si>
  <si>
    <t>CME060221IF1</t>
  </si>
  <si>
    <t>BAM0510242U5</t>
  </si>
  <si>
    <t>MIF960209I4A</t>
  </si>
  <si>
    <t xml:space="preserve">B95536     </t>
  </si>
  <si>
    <t xml:space="preserve">B95533     </t>
  </si>
  <si>
    <t xml:space="preserve">B95521     </t>
  </si>
  <si>
    <t xml:space="preserve">B95523     </t>
  </si>
  <si>
    <t xml:space="preserve">B95520     </t>
  </si>
  <si>
    <t xml:space="preserve">B95522     </t>
  </si>
  <si>
    <t xml:space="preserve">B95524     </t>
  </si>
  <si>
    <t xml:space="preserve">B95525     </t>
  </si>
  <si>
    <t>FME991110CZ9</t>
  </si>
  <si>
    <t xml:space="preserve">B95497     </t>
  </si>
  <si>
    <t>MOJL6912298Z6</t>
  </si>
  <si>
    <t>GAMMA INGREDIENTES S DE R L MI</t>
  </si>
  <si>
    <t>GIN1904233A8</t>
  </si>
  <si>
    <t xml:space="preserve">B95500     </t>
  </si>
  <si>
    <t xml:space="preserve">B95473     </t>
  </si>
  <si>
    <t>OXD021217HD0</t>
  </si>
  <si>
    <t xml:space="preserve">B95486     </t>
  </si>
  <si>
    <t>Sindicato Nacional de Trabajadores de la Educa</t>
  </si>
  <si>
    <t>SNT4402167UA</t>
  </si>
  <si>
    <t xml:space="preserve">B95487     </t>
  </si>
  <si>
    <t>QAM071015Q99</t>
  </si>
  <si>
    <t xml:space="preserve">B95414     </t>
  </si>
  <si>
    <t xml:space="preserve">B95415     </t>
  </si>
  <si>
    <t xml:space="preserve">B95418     </t>
  </si>
  <si>
    <t xml:space="preserve">B95419     </t>
  </si>
  <si>
    <t xml:space="preserve">B95411     </t>
  </si>
  <si>
    <t xml:space="preserve">B95412     </t>
  </si>
  <si>
    <t xml:space="preserve">B95470     </t>
  </si>
  <si>
    <t xml:space="preserve">B95472     </t>
  </si>
  <si>
    <t xml:space="preserve">B95463     </t>
  </si>
  <si>
    <t xml:space="preserve">B95449     </t>
  </si>
  <si>
    <t>PASA971120CA7</t>
  </si>
  <si>
    <t xml:space="preserve">B95409     </t>
  </si>
  <si>
    <t xml:space="preserve">B95427     </t>
  </si>
  <si>
    <t>NME081219RG7</t>
  </si>
  <si>
    <t xml:space="preserve">B95434     </t>
  </si>
  <si>
    <t xml:space="preserve">B95436     </t>
  </si>
  <si>
    <t xml:space="preserve">B95188     </t>
  </si>
  <si>
    <t>ETF920314647</t>
  </si>
  <si>
    <t xml:space="preserve">B95329     </t>
  </si>
  <si>
    <t xml:space="preserve">B95281     </t>
  </si>
  <si>
    <t xml:space="preserve">B95282     </t>
  </si>
  <si>
    <t xml:space="preserve">B95283     </t>
  </si>
  <si>
    <t xml:space="preserve">TRANSPORTATION AND CARGO SOLUTIONS S DE RL DE </t>
  </si>
  <si>
    <t>TCS0711288Q0</t>
  </si>
  <si>
    <t xml:space="preserve">B95280     </t>
  </si>
  <si>
    <t xml:space="preserve">B95373     </t>
  </si>
  <si>
    <t xml:space="preserve">B95231     </t>
  </si>
  <si>
    <t xml:space="preserve">B95241     </t>
  </si>
  <si>
    <t xml:space="preserve">B95254     </t>
  </si>
  <si>
    <t>MEMA6608145X6</t>
  </si>
  <si>
    <t xml:space="preserve">B95306     </t>
  </si>
  <si>
    <t xml:space="preserve">B95182     </t>
  </si>
  <si>
    <t xml:space="preserve">B95184     </t>
  </si>
  <si>
    <t>ANX050701BA9</t>
  </si>
  <si>
    <t>ATE161024K43</t>
  </si>
  <si>
    <t xml:space="preserve">B95374     </t>
  </si>
  <si>
    <t>CFA000413MU8</t>
  </si>
  <si>
    <t xml:space="preserve">B95354     </t>
  </si>
  <si>
    <t xml:space="preserve">B95350     </t>
  </si>
  <si>
    <t>QCU9002028A5</t>
  </si>
  <si>
    <t xml:space="preserve">B95363     </t>
  </si>
  <si>
    <t xml:space="preserve">B95125     </t>
  </si>
  <si>
    <t>1131-10121</t>
  </si>
  <si>
    <t>BANAMEX TC 5584 2654 8890 0095</t>
  </si>
  <si>
    <t>1122-11044</t>
  </si>
  <si>
    <t>INTEGRATED INTERNATIONAL SERVICES S DE RL DE CV</t>
  </si>
  <si>
    <t>1122-11251</t>
  </si>
  <si>
    <t>CIMAV (CENTRO DE INVEST.EN M)</t>
  </si>
  <si>
    <t>1122-11486</t>
  </si>
  <si>
    <t>INST. DE CAP. PARA EL TRAB. DEL EDO. DE CHIH.</t>
  </si>
  <si>
    <t>1122-11857</t>
  </si>
  <si>
    <t>OPERACION TECNICA INDUSTRIAL DE MANEJO DE ALMACENE</t>
  </si>
  <si>
    <t>1122-11930</t>
  </si>
  <si>
    <t>INST. DE CAP. PARA EL TRAB. DE CHIH</t>
  </si>
  <si>
    <t>1122-11999</t>
  </si>
  <si>
    <t>PUBLICO EN GENERAL</t>
  </si>
  <si>
    <t>1122-12039</t>
  </si>
  <si>
    <t>PRODUCTORA PROCESADORA AGRICOLA DE MEXICO SA DE CV</t>
  </si>
  <si>
    <t>1122-12042</t>
  </si>
  <si>
    <t>SAFRAN CABIN TIJUANA SA DE CV</t>
  </si>
  <si>
    <t>1122-12067</t>
  </si>
  <si>
    <t>SINTESIS Y FORMULACIONES DE ALTA TECNOLOGIA SA DE CV</t>
  </si>
  <si>
    <t>1122-12068</t>
  </si>
  <si>
    <t>ADMINISTRACION CNN CONDOMINIOS AC</t>
  </si>
  <si>
    <t>1122-21086</t>
  </si>
  <si>
    <t>1124-10017</t>
  </si>
  <si>
    <t>SALDO A FAV IVA FEB 2021</t>
  </si>
  <si>
    <t>1131-10002</t>
  </si>
  <si>
    <t>SISTEMA IAVE-OJILVIA CASTILLO</t>
  </si>
  <si>
    <t>2112-1-21201</t>
  </si>
  <si>
    <t>MATERIALES Y UTILES DE  IMPRESIÓN</t>
  </si>
  <si>
    <t>2112-1-21601</t>
  </si>
  <si>
    <t>MATERIAL DE LIMPIEZA</t>
  </si>
  <si>
    <t>2112-1-31201</t>
  </si>
  <si>
    <t>GAS</t>
  </si>
  <si>
    <t>2112-1-32901</t>
  </si>
  <si>
    <t>OTROS ARRENDAMIENTOS</t>
  </si>
  <si>
    <t>2112-1-35501</t>
  </si>
  <si>
    <t>REPARACIÓN Y MTTO EQUIPO DE TRANSPORTE</t>
  </si>
  <si>
    <t>2112-1-35701</t>
  </si>
  <si>
    <t>INST. REP. Y MTTO. DE MAQUINARIA</t>
  </si>
  <si>
    <t>2112-1-38501</t>
  </si>
  <si>
    <t>REUNIONES OFICIALES</t>
  </si>
  <si>
    <t>2151-11977</t>
  </si>
  <si>
    <t>4173-1-20001</t>
  </si>
  <si>
    <t>SERVICIO DE VIGILANCIA JUAREZ</t>
  </si>
  <si>
    <t>5121-21201</t>
  </si>
  <si>
    <t>5121-21601</t>
  </si>
  <si>
    <t>5131-31201</t>
  </si>
  <si>
    <t>5132</t>
  </si>
  <si>
    <t>SERVICIOS DE ARRENDAMIENTO</t>
  </si>
  <si>
    <t>5132-32901</t>
  </si>
  <si>
    <t>5135-35501</t>
  </si>
  <si>
    <t>5135-35701</t>
  </si>
  <si>
    <t>5138-38501</t>
  </si>
  <si>
    <t>5599-10003</t>
  </si>
  <si>
    <t>COSTO DE VENTAS TERRENOS</t>
  </si>
  <si>
    <t>8120-73-1-20001</t>
  </si>
  <si>
    <t>8140-73-1-20001</t>
  </si>
  <si>
    <t>8150-73-1-20001</t>
  </si>
  <si>
    <t>8240-14898-0102-03-26101-1</t>
  </si>
  <si>
    <t>8240-14898-0102-03-35101-1</t>
  </si>
  <si>
    <t>8240-14898-0102-04-26101-1</t>
  </si>
  <si>
    <t>8240-14898-0102-06-26101-1</t>
  </si>
  <si>
    <t>8240-14898-0102-06-35101-1</t>
  </si>
  <si>
    <t>8240-14898-0102-07-26101-1</t>
  </si>
  <si>
    <t>8240-14898-0103-02-35701-1</t>
  </si>
  <si>
    <t>8240-14898-0103-04-35701-1</t>
  </si>
  <si>
    <t>8240-14898-0201-01-21201-1</t>
  </si>
  <si>
    <t>8240-14898-0201-01-21601-1</t>
  </si>
  <si>
    <t>8240-14898-0201-01-31201-1</t>
  </si>
  <si>
    <t>8240-14898-0201-01-32901-1</t>
  </si>
  <si>
    <t>8240-14898-0201-01-35501-1</t>
  </si>
  <si>
    <t>8240-14898-0202-01-38501-1</t>
  </si>
  <si>
    <t>8250-14898-0102-03-26101-1</t>
  </si>
  <si>
    <t>8250-14898-0102-03-35101-1</t>
  </si>
  <si>
    <t>8250-14898-0102-04-26101-1</t>
  </si>
  <si>
    <t>8250-14898-0102-06-26101-1</t>
  </si>
  <si>
    <t>8250-14898-0102-06-35101-1</t>
  </si>
  <si>
    <t>8250-14898-0102-07-26101-1</t>
  </si>
  <si>
    <t>8250-14898-0103-02-35701-1</t>
  </si>
  <si>
    <t>8250-14898-0103-04-35701-1</t>
  </si>
  <si>
    <t>8250-14898-0201-01-21201-1</t>
  </si>
  <si>
    <t>8250-14898-0201-01-21601-1</t>
  </si>
  <si>
    <t>8250-14898-0201-01-31201-1</t>
  </si>
  <si>
    <t>8250-14898-0201-01-32901-1</t>
  </si>
  <si>
    <t>8250-14898-0201-01-35501-1</t>
  </si>
  <si>
    <t>8250-14898-0202-01-38501-1</t>
  </si>
  <si>
    <t>8260-14898-0102-03-26101-1</t>
  </si>
  <si>
    <t>8260-14898-0102-03-35101-1</t>
  </si>
  <si>
    <t>8260-14898-0102-04-26101-1</t>
  </si>
  <si>
    <t>8260-14898-0102-06-26101-1</t>
  </si>
  <si>
    <t>8260-14898-0102-06-35101-1</t>
  </si>
  <si>
    <t>8260-14898-0102-07-26101-1</t>
  </si>
  <si>
    <t>8260-14898-0103-02-35701-1</t>
  </si>
  <si>
    <t>8260-14898-0103-04-35701-1</t>
  </si>
  <si>
    <t>8260-14898-0201-01-21201-1</t>
  </si>
  <si>
    <t>8260-14898-0201-01-21601-1</t>
  </si>
  <si>
    <t>8260-14898-0201-01-31201-1</t>
  </si>
  <si>
    <t>8260-14898-0201-01-32901-1</t>
  </si>
  <si>
    <t>8260-14898-0201-01-35501-1</t>
  </si>
  <si>
    <t>8260-14898-0202-01-38501-1</t>
  </si>
  <si>
    <t>8270-14898-0102-03-26101-1</t>
  </si>
  <si>
    <t>8270-14898-0102-03-35101-1</t>
  </si>
  <si>
    <t>8270-14898-0102-04-26101-1</t>
  </si>
  <si>
    <t>8270-14898-0102-06-26101-1</t>
  </si>
  <si>
    <t>8270-14898-0102-06-35101-1</t>
  </si>
  <si>
    <t>8270-14898-0102-07-26101-1</t>
  </si>
  <si>
    <t>8270-14898-0103-02-35701-1</t>
  </si>
  <si>
    <t>8270-14898-0103-04-35701-1</t>
  </si>
  <si>
    <t>8270-14898-0201-01-21201-1</t>
  </si>
  <si>
    <t>8270-14898-0201-01-21601-1</t>
  </si>
  <si>
    <t>8270-14898-0201-01-31201-1</t>
  </si>
  <si>
    <t>8270-14898-0201-01-32901-1</t>
  </si>
  <si>
    <t>8270-14898-0201-01-35501-1</t>
  </si>
  <si>
    <t>Page 29</t>
  </si>
  <si>
    <t>8270-14898-0202-01-38501-1</t>
  </si>
  <si>
    <t>Page 30</t>
  </si>
  <si>
    <t>Vigilancia (error de facturación a cancelarse)</t>
  </si>
  <si>
    <t>95584 B</t>
  </si>
  <si>
    <t>17/02/2021</t>
  </si>
  <si>
    <t>95610 B</t>
  </si>
  <si>
    <t>16/02/2021</t>
  </si>
  <si>
    <t>95626 B</t>
  </si>
  <si>
    <t>95627 B</t>
  </si>
  <si>
    <t>95628 B</t>
  </si>
  <si>
    <t>95629 B</t>
  </si>
  <si>
    <t>95630 B</t>
  </si>
  <si>
    <t>95631 B</t>
  </si>
  <si>
    <t>95632 B</t>
  </si>
  <si>
    <t>25/02/2021</t>
  </si>
  <si>
    <t>95998 B</t>
  </si>
  <si>
    <t>Constructora Adobe  S.A. de C.V.</t>
  </si>
  <si>
    <t>95723 B</t>
  </si>
  <si>
    <t>95705 B</t>
  </si>
  <si>
    <t>95706 B</t>
  </si>
  <si>
    <t>95676 B</t>
  </si>
  <si>
    <t>96002 B</t>
  </si>
  <si>
    <t>95758 B</t>
  </si>
  <si>
    <t>95759 B</t>
  </si>
  <si>
    <t>95905 B</t>
  </si>
  <si>
    <t>95809 B</t>
  </si>
  <si>
    <t>95625 B</t>
  </si>
  <si>
    <t>95945 B</t>
  </si>
  <si>
    <t>95946 B</t>
  </si>
  <si>
    <t>95948 B</t>
  </si>
  <si>
    <t>95949 B</t>
  </si>
  <si>
    <t>95950 B</t>
  </si>
  <si>
    <t>95830 B</t>
  </si>
  <si>
    <t>Agua y Hielo Purificados S.A De C.V.</t>
  </si>
  <si>
    <t>Lutron CNC S de R.L de C.V.</t>
  </si>
  <si>
    <t>95818 B</t>
  </si>
  <si>
    <t>95819 B</t>
  </si>
  <si>
    <t>95820 B</t>
  </si>
  <si>
    <t>95821 B</t>
  </si>
  <si>
    <t>95822 B</t>
  </si>
  <si>
    <t>95702 B</t>
  </si>
  <si>
    <t>95884 B</t>
  </si>
  <si>
    <t>95885 B</t>
  </si>
  <si>
    <t>Ma. Merced de la Torre Jauregui</t>
  </si>
  <si>
    <t>95829 B</t>
  </si>
  <si>
    <t>95679 B</t>
  </si>
  <si>
    <t>95678 B</t>
  </si>
  <si>
    <t>95988 B</t>
  </si>
  <si>
    <t>95737 B</t>
  </si>
  <si>
    <t>95773 B</t>
  </si>
  <si>
    <t>95775 B</t>
  </si>
  <si>
    <t>95733 B</t>
  </si>
  <si>
    <t>95863 B</t>
  </si>
  <si>
    <t>95658 B</t>
  </si>
  <si>
    <t>95659 B</t>
  </si>
  <si>
    <t>95697 B</t>
  </si>
  <si>
    <t>AutoZone de México S. de R.L. de C.V.</t>
  </si>
  <si>
    <t>23/02/2021</t>
  </si>
  <si>
    <t>95996 B</t>
  </si>
  <si>
    <t>95660 B</t>
  </si>
  <si>
    <t>95938 B</t>
  </si>
  <si>
    <t>95939 B</t>
  </si>
  <si>
    <t>95689 B</t>
  </si>
  <si>
    <t>95690 B</t>
  </si>
  <si>
    <t>95843 B</t>
  </si>
  <si>
    <t>95859 B</t>
  </si>
  <si>
    <t>95973 B</t>
  </si>
  <si>
    <t>96018 B</t>
  </si>
  <si>
    <t>95864 B</t>
  </si>
  <si>
    <t>95734 B</t>
  </si>
  <si>
    <t>95845 B</t>
  </si>
  <si>
    <t>95725 B</t>
  </si>
  <si>
    <t>95842 B</t>
  </si>
  <si>
    <t>95963 B</t>
  </si>
  <si>
    <t>MEINS INDUSTRIES S DE RL DE MI</t>
  </si>
  <si>
    <t>95953 B</t>
  </si>
  <si>
    <t>95860 B</t>
  </si>
  <si>
    <t>95990 B</t>
  </si>
  <si>
    <t>95944 B</t>
  </si>
  <si>
    <t>95910 B</t>
  </si>
  <si>
    <t>95921 B</t>
  </si>
  <si>
    <t>95927 B</t>
  </si>
  <si>
    <t>96019 B</t>
  </si>
  <si>
    <t>95951 B</t>
  </si>
  <si>
    <t>95912 B</t>
  </si>
  <si>
    <t>95913 B</t>
  </si>
  <si>
    <t>95914 B</t>
  </si>
  <si>
    <t>95916 B</t>
  </si>
  <si>
    <t>95932 B</t>
  </si>
  <si>
    <t>LEAR MEXICAN TRIM OPERATIONS, S DE RL DE CV</t>
  </si>
  <si>
    <t>95933 B</t>
  </si>
  <si>
    <t xml:space="preserve">B95998     </t>
  </si>
  <si>
    <t xml:space="preserve">B96002     </t>
  </si>
  <si>
    <t xml:space="preserve">B96018     </t>
  </si>
  <si>
    <t xml:space="preserve">B96019     </t>
  </si>
  <si>
    <t xml:space="preserve">B95996     </t>
  </si>
  <si>
    <t xml:space="preserve">B95988     </t>
  </si>
  <si>
    <t>ACC140213BA3</t>
  </si>
  <si>
    <t xml:space="preserve">B95990     </t>
  </si>
  <si>
    <t xml:space="preserve">B95973     </t>
  </si>
  <si>
    <t xml:space="preserve">B95963     </t>
  </si>
  <si>
    <t>MIN1304125Q8</t>
  </si>
  <si>
    <t xml:space="preserve">B95953     </t>
  </si>
  <si>
    <t xml:space="preserve">B95945     </t>
  </si>
  <si>
    <t xml:space="preserve">B95948     </t>
  </si>
  <si>
    <t xml:space="preserve">B95949     </t>
  </si>
  <si>
    <t xml:space="preserve">B95946     </t>
  </si>
  <si>
    <t xml:space="preserve">B95950     </t>
  </si>
  <si>
    <t xml:space="preserve">B95944     </t>
  </si>
  <si>
    <t xml:space="preserve">B95951     </t>
  </si>
  <si>
    <t xml:space="preserve">B95938     </t>
  </si>
  <si>
    <t xml:space="preserve">B95939     </t>
  </si>
  <si>
    <t xml:space="preserve">B95905     </t>
  </si>
  <si>
    <t xml:space="preserve">B95884     </t>
  </si>
  <si>
    <t xml:space="preserve">B95885     </t>
  </si>
  <si>
    <t xml:space="preserve">B95863     </t>
  </si>
  <si>
    <t xml:space="preserve">B95910     </t>
  </si>
  <si>
    <t xml:space="preserve">B95859     </t>
  </si>
  <si>
    <t>SNU190131DT9</t>
  </si>
  <si>
    <t xml:space="preserve">B95864     </t>
  </si>
  <si>
    <t xml:space="preserve">B95860     </t>
  </si>
  <si>
    <t xml:space="preserve">B95921     </t>
  </si>
  <si>
    <t xml:space="preserve">B95927     </t>
  </si>
  <si>
    <t xml:space="preserve">B95912     </t>
  </si>
  <si>
    <t xml:space="preserve">B95913     </t>
  </si>
  <si>
    <t xml:space="preserve">B95914     </t>
  </si>
  <si>
    <t xml:space="preserve">B95916     </t>
  </si>
  <si>
    <t xml:space="preserve">B95932     </t>
  </si>
  <si>
    <t>LMT8104156I5</t>
  </si>
  <si>
    <t xml:space="preserve">B95933     </t>
  </si>
  <si>
    <t>CAD901105M43</t>
  </si>
  <si>
    <t xml:space="preserve">B95723     </t>
  </si>
  <si>
    <t xml:space="preserve">B95705     </t>
  </si>
  <si>
    <t xml:space="preserve">B95706     </t>
  </si>
  <si>
    <t xml:space="preserve">B95676     </t>
  </si>
  <si>
    <t xml:space="preserve">B95758     </t>
  </si>
  <si>
    <t xml:space="preserve">B95759     </t>
  </si>
  <si>
    <t xml:space="preserve">B95809     </t>
  </si>
  <si>
    <t xml:space="preserve">B95830     </t>
  </si>
  <si>
    <t>LCN0603201L5</t>
  </si>
  <si>
    <t xml:space="preserve">B95818     </t>
  </si>
  <si>
    <t xml:space="preserve">B95819     </t>
  </si>
  <si>
    <t xml:space="preserve">B95820     </t>
  </si>
  <si>
    <t xml:space="preserve">B95821     </t>
  </si>
  <si>
    <t xml:space="preserve">B95822     </t>
  </si>
  <si>
    <t xml:space="preserve">B95702     </t>
  </si>
  <si>
    <t>TOJM5904065N8</t>
  </si>
  <si>
    <t xml:space="preserve">B95829     </t>
  </si>
  <si>
    <t xml:space="preserve">B95679     </t>
  </si>
  <si>
    <t xml:space="preserve">B95678     </t>
  </si>
  <si>
    <t xml:space="preserve">B95737     </t>
  </si>
  <si>
    <t xml:space="preserve">B95773     </t>
  </si>
  <si>
    <t xml:space="preserve">B95775     </t>
  </si>
  <si>
    <t xml:space="preserve">B95733     </t>
  </si>
  <si>
    <t xml:space="preserve">B95697     </t>
  </si>
  <si>
    <t>AME970109GW0</t>
  </si>
  <si>
    <t xml:space="preserve">B95689     </t>
  </si>
  <si>
    <t xml:space="preserve">B95690     </t>
  </si>
  <si>
    <t xml:space="preserve">B95843     </t>
  </si>
  <si>
    <t xml:space="preserve">B95734     </t>
  </si>
  <si>
    <t xml:space="preserve">B95845     </t>
  </si>
  <si>
    <t xml:space="preserve">B95725     </t>
  </si>
  <si>
    <t xml:space="preserve">B95842     </t>
  </si>
  <si>
    <t xml:space="preserve">B95626     </t>
  </si>
  <si>
    <t xml:space="preserve">B95627     </t>
  </si>
  <si>
    <t xml:space="preserve">B95628     </t>
  </si>
  <si>
    <t xml:space="preserve">B95629     </t>
  </si>
  <si>
    <t xml:space="preserve">B95630     </t>
  </si>
  <si>
    <t xml:space="preserve">B95631     </t>
  </si>
  <si>
    <t xml:space="preserve">B95632     </t>
  </si>
  <si>
    <t xml:space="preserve">B95658     </t>
  </si>
  <si>
    <t xml:space="preserve">B95659     </t>
  </si>
  <si>
    <t xml:space="preserve">B95660     </t>
  </si>
  <si>
    <t xml:space="preserve">B95584     </t>
  </si>
  <si>
    <t xml:space="preserve">B95610     </t>
  </si>
  <si>
    <t xml:space="preserve">B95625     </t>
  </si>
  <si>
    <t>Agua y Hielo Purificados S.A. De C.V.</t>
  </si>
  <si>
    <t>AHP981202M36</t>
  </si>
  <si>
    <t>Blackhuming Bird (Parque Industrial Chihuahua Sur) feb-dic</t>
  </si>
  <si>
    <t>ANTICIPO A CONTRATISTAS POR OBRAS PÚBLICAS</t>
  </si>
  <si>
    <t>Paradas de camiones</t>
  </si>
  <si>
    <t>Construcción de Alumbrado</t>
  </si>
  <si>
    <t>Gastos Médicos Axa</t>
  </si>
  <si>
    <t>1131-10125</t>
  </si>
  <si>
    <t>Municipio de Chihuahua</t>
  </si>
  <si>
    <t>Permiso de construcción de archivo</t>
  </si>
  <si>
    <t>1125-10004</t>
  </si>
  <si>
    <t>1125-10005</t>
  </si>
  <si>
    <t>1122-12070</t>
  </si>
  <si>
    <t>AKITA AUTOMATICION S DE RL DE CV</t>
  </si>
  <si>
    <t>1122-12072</t>
  </si>
  <si>
    <t>MANTENIMIENTO E INSTALACIONES MINERAS SA DE CV</t>
  </si>
  <si>
    <t>JUAN LUIS LEE VAZQUEZ</t>
  </si>
  <si>
    <t>JOSE CARLOS ESTRADA CHAVEZ</t>
  </si>
  <si>
    <t>MUNICIPIO DE CHIHUAHUA</t>
  </si>
  <si>
    <t>1134</t>
  </si>
  <si>
    <t>ANTICIPO A CONTRATISTAS POR OBRAS PÚBLICAS A CORTO PLAZO</t>
  </si>
  <si>
    <t>1134-10001</t>
  </si>
  <si>
    <t>ING Y DISEÑO VAN COP-112-2020-P</t>
  </si>
  <si>
    <t>2119-10004</t>
  </si>
  <si>
    <t>PRESTAMOS FONDO DE AHORRO</t>
  </si>
  <si>
    <t>4173-1-30004</t>
  </si>
  <si>
    <t>VARIOS CUAUHTEMOC</t>
  </si>
  <si>
    <t>5594</t>
  </si>
  <si>
    <t>DIFERENCIAS POR TIPO DE CAMBIO NEGATIVAS</t>
  </si>
  <si>
    <t>5594-10001</t>
  </si>
  <si>
    <t>PERDIDA CAMBIARIA</t>
  </si>
  <si>
    <t>8120-73-1-30004</t>
  </si>
  <si>
    <t>8140-73-1-30004</t>
  </si>
  <si>
    <t>8150-73-1-30004</t>
  </si>
  <si>
    <t>8240-14898-0103-06-35701-1</t>
  </si>
  <si>
    <t>8250-14898-0103-06-35701-1</t>
  </si>
  <si>
    <t>8260-14898-0103-06-35701-1</t>
  </si>
  <si>
    <t>8270-14898-0103-06-35701-1</t>
  </si>
  <si>
    <t>96101 B</t>
  </si>
  <si>
    <t>96035 B</t>
  </si>
  <si>
    <t>Transervicios S.A. de C.V.</t>
  </si>
  <si>
    <t>16/03/2021</t>
  </si>
  <si>
    <t>96116 B</t>
  </si>
  <si>
    <t>26/03/2021</t>
  </si>
  <si>
    <t>96499 B</t>
  </si>
  <si>
    <t>96500 B</t>
  </si>
  <si>
    <t>96122 B</t>
  </si>
  <si>
    <t>96123 B</t>
  </si>
  <si>
    <t>96124 B</t>
  </si>
  <si>
    <t>96125 B</t>
  </si>
  <si>
    <t>96126 B</t>
  </si>
  <si>
    <t>96127 B</t>
  </si>
  <si>
    <t>96128 B</t>
  </si>
  <si>
    <t>25/03/2021</t>
  </si>
  <si>
    <t>96474 B</t>
  </si>
  <si>
    <t>96096 B</t>
  </si>
  <si>
    <t>96492 B</t>
  </si>
  <si>
    <t>96493 B</t>
  </si>
  <si>
    <t>96494 B</t>
  </si>
  <si>
    <t>96495 B</t>
  </si>
  <si>
    <t>96097 B</t>
  </si>
  <si>
    <t>96433 B</t>
  </si>
  <si>
    <t>96115 B</t>
  </si>
  <si>
    <t>96476 B</t>
  </si>
  <si>
    <t>96098 B</t>
  </si>
  <si>
    <t>96190 B</t>
  </si>
  <si>
    <t>96410 B</t>
  </si>
  <si>
    <t>96413 B</t>
  </si>
  <si>
    <t>96414 B</t>
  </si>
  <si>
    <t>96415 B</t>
  </si>
  <si>
    <t>96417 B</t>
  </si>
  <si>
    <t>96418 B</t>
  </si>
  <si>
    <t>96200 B</t>
  </si>
  <si>
    <t>Demo Technic S de RL de CV</t>
  </si>
  <si>
    <t>96203 B</t>
  </si>
  <si>
    <t>96204 B</t>
  </si>
  <si>
    <t>96205 B</t>
  </si>
  <si>
    <t>96044 B</t>
  </si>
  <si>
    <t>Bourns de Mexico S De R.L De C.V.</t>
  </si>
  <si>
    <t>96145 B</t>
  </si>
  <si>
    <t>96146 B</t>
  </si>
  <si>
    <t>96147 B</t>
  </si>
  <si>
    <t>96148 B</t>
  </si>
  <si>
    <t>96149 B</t>
  </si>
  <si>
    <t>96209 B</t>
  </si>
  <si>
    <t>96210 B</t>
  </si>
  <si>
    <t>96211 B</t>
  </si>
  <si>
    <t>96212 B</t>
  </si>
  <si>
    <t>96228 B</t>
  </si>
  <si>
    <t>96229 B</t>
  </si>
  <si>
    <t>96238 B</t>
  </si>
  <si>
    <t>96239 B</t>
  </si>
  <si>
    <t>96241 B</t>
  </si>
  <si>
    <t>96249 B</t>
  </si>
  <si>
    <t>96105 B</t>
  </si>
  <si>
    <t>96253 B</t>
  </si>
  <si>
    <t>96254 B</t>
  </si>
  <si>
    <t>96119 B</t>
  </si>
  <si>
    <t>Empaques El Paraiso S. de R.L.M.I.</t>
  </si>
  <si>
    <t>96256 B</t>
  </si>
  <si>
    <t>96257 B</t>
  </si>
  <si>
    <t>96258 B</t>
  </si>
  <si>
    <t>96262 B</t>
  </si>
  <si>
    <t>96263 B</t>
  </si>
  <si>
    <t>96264 B</t>
  </si>
  <si>
    <t>96280 B</t>
  </si>
  <si>
    <t>96286 B</t>
  </si>
  <si>
    <t>96287 B</t>
  </si>
  <si>
    <t>96082 B</t>
  </si>
  <si>
    <t>96083 B</t>
  </si>
  <si>
    <t>96411 B</t>
  </si>
  <si>
    <t>96297 B</t>
  </si>
  <si>
    <t>96398 B</t>
  </si>
  <si>
    <t>ETICOLOR S.A. DE C.V.</t>
  </si>
  <si>
    <t>96302 B</t>
  </si>
  <si>
    <t>96306 B</t>
  </si>
  <si>
    <t>96308 B</t>
  </si>
  <si>
    <t>96309 B</t>
  </si>
  <si>
    <t>96114 B</t>
  </si>
  <si>
    <t>96315 B</t>
  </si>
  <si>
    <t>96316 B</t>
  </si>
  <si>
    <t>96317 B</t>
  </si>
  <si>
    <t>96365 B</t>
  </si>
  <si>
    <t>96377 B</t>
  </si>
  <si>
    <t>96323 B</t>
  </si>
  <si>
    <t>96395 B</t>
  </si>
  <si>
    <t>96425 B</t>
  </si>
  <si>
    <t>96426 B</t>
  </si>
  <si>
    <t>96428 B</t>
  </si>
  <si>
    <t>FIXTURAS INDUSTRIALES DIVERSIFICADAS SA DE CV</t>
  </si>
  <si>
    <t>96427 B</t>
  </si>
  <si>
    <t>96376 B</t>
  </si>
  <si>
    <t>96373 B</t>
  </si>
  <si>
    <t>24/03/2021</t>
  </si>
  <si>
    <t>96464 B</t>
  </si>
  <si>
    <t>96465 B</t>
  </si>
  <si>
    <t>96466 B</t>
  </si>
  <si>
    <t>96467 B</t>
  </si>
  <si>
    <t>96468 B</t>
  </si>
  <si>
    <t>96469 B</t>
  </si>
  <si>
    <t>96167 B</t>
  </si>
  <si>
    <t>96420 B</t>
  </si>
  <si>
    <t>96191 B</t>
  </si>
  <si>
    <t>96356 B</t>
  </si>
  <si>
    <t>96355 B</t>
  </si>
  <si>
    <t>96422 B</t>
  </si>
  <si>
    <t>96350 B</t>
  </si>
  <si>
    <t>96491 B</t>
  </si>
  <si>
    <t>96340 B</t>
  </si>
  <si>
    <t>96341 B</t>
  </si>
  <si>
    <t>96419 B</t>
  </si>
  <si>
    <t>96344 B</t>
  </si>
  <si>
    <t>96345 B</t>
  </si>
  <si>
    <t xml:space="preserve">B96500     </t>
  </si>
  <si>
    <t xml:space="preserve">B96499     </t>
  </si>
  <si>
    <t xml:space="preserve">B96474     </t>
  </si>
  <si>
    <t xml:space="preserve">B96492     </t>
  </si>
  <si>
    <t xml:space="preserve">B96493     </t>
  </si>
  <si>
    <t xml:space="preserve">B96494     </t>
  </si>
  <si>
    <t xml:space="preserve">B96495     </t>
  </si>
  <si>
    <t xml:space="preserve">B96476     </t>
  </si>
  <si>
    <t xml:space="preserve">B96491     </t>
  </si>
  <si>
    <t>MEI1101314C9</t>
  </si>
  <si>
    <t xml:space="preserve">B96468     </t>
  </si>
  <si>
    <t xml:space="preserve">B96469     </t>
  </si>
  <si>
    <t xml:space="preserve">B96464     </t>
  </si>
  <si>
    <t xml:space="preserve">B96465     </t>
  </si>
  <si>
    <t xml:space="preserve">B96466     </t>
  </si>
  <si>
    <t xml:space="preserve">B96467     </t>
  </si>
  <si>
    <t xml:space="preserve">B96433     </t>
  </si>
  <si>
    <t xml:space="preserve">B96428     </t>
  </si>
  <si>
    <t xml:space="preserve">B96427     </t>
  </si>
  <si>
    <t xml:space="preserve">B96410     </t>
  </si>
  <si>
    <t xml:space="preserve">B96414     </t>
  </si>
  <si>
    <t xml:space="preserve">B96415     </t>
  </si>
  <si>
    <t xml:space="preserve">B96418     </t>
  </si>
  <si>
    <t xml:space="preserve">B96413     </t>
  </si>
  <si>
    <t xml:space="preserve">B96417     </t>
  </si>
  <si>
    <t xml:space="preserve">B96420     </t>
  </si>
  <si>
    <t xml:space="preserve">B96411     </t>
  </si>
  <si>
    <t xml:space="preserve">B96425     </t>
  </si>
  <si>
    <t xml:space="preserve">B96426     </t>
  </si>
  <si>
    <t xml:space="preserve">B96422     </t>
  </si>
  <si>
    <t xml:space="preserve">B96419     </t>
  </si>
  <si>
    <t xml:space="preserve">B96398     </t>
  </si>
  <si>
    <t xml:space="preserve">B96395     </t>
  </si>
  <si>
    <t xml:space="preserve">B96356     </t>
  </si>
  <si>
    <t xml:space="preserve">B96365     </t>
  </si>
  <si>
    <t xml:space="preserve">B96377     </t>
  </si>
  <si>
    <t>FID110204R8A</t>
  </si>
  <si>
    <t xml:space="preserve">B96376     </t>
  </si>
  <si>
    <t xml:space="preserve">B96373     </t>
  </si>
  <si>
    <t xml:space="preserve">B96355     </t>
  </si>
  <si>
    <t xml:space="preserve">B96350     </t>
  </si>
  <si>
    <t xml:space="preserve">B96340     </t>
  </si>
  <si>
    <t xml:space="preserve">B96341     </t>
  </si>
  <si>
    <t xml:space="preserve">B96344     </t>
  </si>
  <si>
    <t xml:space="preserve">B96345     </t>
  </si>
  <si>
    <t xml:space="preserve">B96101     </t>
  </si>
  <si>
    <t>TRA870924HI7</t>
  </si>
  <si>
    <t xml:space="preserve">B96116     </t>
  </si>
  <si>
    <t xml:space="preserve">B96128     </t>
  </si>
  <si>
    <t xml:space="preserve">B96122     </t>
  </si>
  <si>
    <t xml:space="preserve">B96123     </t>
  </si>
  <si>
    <t xml:space="preserve">B96124     </t>
  </si>
  <si>
    <t xml:space="preserve">B96125     </t>
  </si>
  <si>
    <t xml:space="preserve">B96126     </t>
  </si>
  <si>
    <t xml:space="preserve">B96127     </t>
  </si>
  <si>
    <t xml:space="preserve">B96115     </t>
  </si>
  <si>
    <t xml:space="preserve">B96190     </t>
  </si>
  <si>
    <t xml:space="preserve">B96191     </t>
  </si>
  <si>
    <t xml:space="preserve">B96167     </t>
  </si>
  <si>
    <t xml:space="preserve">B96200     </t>
  </si>
  <si>
    <t>Demo Technic S de RL de C.V.</t>
  </si>
  <si>
    <t>DTE050601UY3</t>
  </si>
  <si>
    <t xml:space="preserve">B96205     </t>
  </si>
  <si>
    <t xml:space="preserve">B96203     </t>
  </si>
  <si>
    <t xml:space="preserve">B96204     </t>
  </si>
  <si>
    <t>Bourns de Mexico S De R.L  De C.V.</t>
  </si>
  <si>
    <t>BME690116TE2</t>
  </si>
  <si>
    <t xml:space="preserve">B96145     </t>
  </si>
  <si>
    <t xml:space="preserve">B96146     </t>
  </si>
  <si>
    <t xml:space="preserve">B96147     </t>
  </si>
  <si>
    <t xml:space="preserve">B96148     </t>
  </si>
  <si>
    <t xml:space="preserve">B96149     </t>
  </si>
  <si>
    <t xml:space="preserve">B96209     </t>
  </si>
  <si>
    <t xml:space="preserve">B96210     </t>
  </si>
  <si>
    <t xml:space="preserve">B96211     </t>
  </si>
  <si>
    <t xml:space="preserve">B96212     </t>
  </si>
  <si>
    <t xml:space="preserve">B96228     </t>
  </si>
  <si>
    <t xml:space="preserve">B96229     </t>
  </si>
  <si>
    <t xml:space="preserve">B96238     </t>
  </si>
  <si>
    <t xml:space="preserve">B96239     </t>
  </si>
  <si>
    <t xml:space="preserve">B96241     </t>
  </si>
  <si>
    <t xml:space="preserve">B96249     </t>
  </si>
  <si>
    <t xml:space="preserve">B96105     </t>
  </si>
  <si>
    <t xml:space="preserve">B96253     </t>
  </si>
  <si>
    <t xml:space="preserve">B96254     </t>
  </si>
  <si>
    <t xml:space="preserve">B96119     </t>
  </si>
  <si>
    <t>Empaques El Paraiso S. de R.L. M.I</t>
  </si>
  <si>
    <t>EPA100429822</t>
  </si>
  <si>
    <t xml:space="preserve">B96256     </t>
  </si>
  <si>
    <t xml:space="preserve">B96257     </t>
  </si>
  <si>
    <t xml:space="preserve">B96258     </t>
  </si>
  <si>
    <t xml:space="preserve">B96262     </t>
  </si>
  <si>
    <t xml:space="preserve">B96263     </t>
  </si>
  <si>
    <t xml:space="preserve">B96264     </t>
  </si>
  <si>
    <t xml:space="preserve">B96280     </t>
  </si>
  <si>
    <t xml:space="preserve">B96286     </t>
  </si>
  <si>
    <t xml:space="preserve">B96287     </t>
  </si>
  <si>
    <t xml:space="preserve">B96297     </t>
  </si>
  <si>
    <t>ETI891215952</t>
  </si>
  <si>
    <t xml:space="preserve">B96302     </t>
  </si>
  <si>
    <t xml:space="preserve">B96306     </t>
  </si>
  <si>
    <t xml:space="preserve">B96308     </t>
  </si>
  <si>
    <t xml:space="preserve">B96309     </t>
  </si>
  <si>
    <t xml:space="preserve">B96114     </t>
  </si>
  <si>
    <t xml:space="preserve">B96315     </t>
  </si>
  <si>
    <t xml:space="preserve">B96316     </t>
  </si>
  <si>
    <t xml:space="preserve">B96317     </t>
  </si>
  <si>
    <t xml:space="preserve">B96323     </t>
  </si>
  <si>
    <t xml:space="preserve">B96035     </t>
  </si>
  <si>
    <t xml:space="preserve">B96096     </t>
  </si>
  <si>
    <t xml:space="preserve">B96097     </t>
  </si>
  <si>
    <t xml:space="preserve">B96098     </t>
  </si>
  <si>
    <t xml:space="preserve">B96044     </t>
  </si>
  <si>
    <t xml:space="preserve">B96082     </t>
  </si>
  <si>
    <t xml:space="preserve">B96083     </t>
  </si>
  <si>
    <t>Gobierno del Estado de Chihuahua  (DEPTO. DE C</t>
  </si>
  <si>
    <t>AL 30 DE ABRIL DE 2021</t>
  </si>
  <si>
    <t>DEL 1o. DE ENERO AL 30 DE ABRIL DE 2021</t>
  </si>
  <si>
    <t>ACUMULADO AL MES DE ABRIL DE 2021</t>
  </si>
  <si>
    <t>Banamex Dólares valuada en pesos a T.C. $20.0978</t>
  </si>
  <si>
    <t>1112-10013</t>
  </si>
  <si>
    <t>Banamex</t>
  </si>
  <si>
    <t>Cuenta no. 7011-3980913</t>
  </si>
  <si>
    <t>Balanza de Comprobación del 01/abr./2021 al 30/abr./2021</t>
  </si>
  <si>
    <t>10/may./2021</t>
  </si>
  <si>
    <t>12:21 PM</t>
  </si>
  <si>
    <t>BANAMEX 7011-3980913</t>
  </si>
  <si>
    <t>1122-11724</t>
  </si>
  <si>
    <t>PARQUES AMERICAS INDUSTRIES SA DE CV</t>
  </si>
  <si>
    <t>1122-12069</t>
  </si>
  <si>
    <t>SEGURIDAD GLOBAL INDUTRIAL SA DE CV</t>
  </si>
  <si>
    <t>1122-12074</t>
  </si>
  <si>
    <t>HRP CHIHUAHUA S DE RL DE CV</t>
  </si>
  <si>
    <t>1122-51028</t>
  </si>
  <si>
    <t>MIRIAM SUGEY SAENZ BENCOMO</t>
  </si>
  <si>
    <t>1122-51029</t>
  </si>
  <si>
    <t>ARMANDO VEGA DOMINGUEZ</t>
  </si>
  <si>
    <t>2112-1-000942</t>
  </si>
  <si>
    <t>2112-1-34901</t>
  </si>
  <si>
    <t>SERVICIOS FIN. BANC Y COMERCIALES</t>
  </si>
  <si>
    <t>2119-10030</t>
  </si>
  <si>
    <t>HILDA ESTELA GONZALEZ JURADO</t>
  </si>
  <si>
    <t>2151-11909</t>
  </si>
  <si>
    <t>2151-12046</t>
  </si>
  <si>
    <t>2151-12049</t>
  </si>
  <si>
    <t>4399-10002</t>
  </si>
  <si>
    <t>OTROS ING GRAVADOS</t>
  </si>
  <si>
    <t>5134-34901</t>
  </si>
  <si>
    <t>8120-79-02-10002</t>
  </si>
  <si>
    <t>8140-79-02-10002</t>
  </si>
  <si>
    <t>8150-79-02-10002</t>
  </si>
  <si>
    <t>8240-14898-0103-03-31301-1</t>
  </si>
  <si>
    <t>8240-14898-0103-04-31301-1</t>
  </si>
  <si>
    <t>8240-14898-0103-06-31301-1</t>
  </si>
  <si>
    <t>8240-14898-0201-01-34901-1</t>
  </si>
  <si>
    <t>8250-14898-0103-03-31301-1</t>
  </si>
  <si>
    <t>8250-14898-0103-04-31301-1</t>
  </si>
  <si>
    <t>8250-14898-0103-06-31301-1</t>
  </si>
  <si>
    <t>8250-14898-0201-01-34901-1</t>
  </si>
  <si>
    <t>8260-14898-0103-03-31301-1</t>
  </si>
  <si>
    <t>8260-14898-0103-04-31301-1</t>
  </si>
  <si>
    <t>8260-14898-0103-06-31301-1</t>
  </si>
  <si>
    <t>8260-14898-0201-01-34901-1</t>
  </si>
  <si>
    <t>8270-14898-0103-03-31301-1</t>
  </si>
  <si>
    <t>8270-14898-0103-04-31301-1</t>
  </si>
  <si>
    <t>8270-14898-0103-06-31301-1</t>
  </si>
  <si>
    <t>8270-14898-0201-01-34901-1</t>
  </si>
  <si>
    <t>Page 31</t>
  </si>
  <si>
    <t>Del 1 de enero al 30 de abril de 2021</t>
  </si>
  <si>
    <t>Al 30 de abril de 2021</t>
  </si>
  <si>
    <t>POZO N° 1 JMAS M-2 L 11B (COMPLEJO IND CHIH)</t>
  </si>
  <si>
    <t>POZO N° 8 JMAS M-7 L 9A-1 (COMPLEJO IND CHIH)</t>
  </si>
  <si>
    <t>POZO N° 4 JMAS M-9 L 13A (COMPLEJO IND CHIH)</t>
  </si>
  <si>
    <t>POZO N°  6  M-10 L-D (COMPLEJO IND CHIH)</t>
  </si>
  <si>
    <t>EDIFICIO SDI  M-14 L-15 (COMPLEJO IND CHIH)</t>
  </si>
  <si>
    <t>LEON TOLSTOI  M-14 L. 16 Y 17 (COMPLEJO IND CHIH)</t>
  </si>
  <si>
    <t>EST. LEON TOLSTOI  M-14 L-19 (COMPLEJO IND CHIH)</t>
  </si>
  <si>
    <t>SE MZNA 14 LOTE 20 (COMPLEJO IND CHIH)</t>
  </si>
  <si>
    <t>CANCHAS DEPORTIVAS M-15 L 1B (COMPLEJO IND CHIH)</t>
  </si>
  <si>
    <t>Atrás ADUANA (COMPLEJO IND CHIH)</t>
  </si>
  <si>
    <t>AVE. COLÓN (COMPLEJO INS CHIH)</t>
  </si>
  <si>
    <t>Oficinas PRODECH (COMPLEJO IND CHIH)</t>
  </si>
  <si>
    <t>PROYECTO 1 (PARQUE IND. CHIH SUR)</t>
  </si>
  <si>
    <t>PROYECTO 3 (PARQUE IND. CHIH. SUR)</t>
  </si>
  <si>
    <t>RESERVA T (PARQUE IND. CHIH. SUR)</t>
  </si>
  <si>
    <t>EQUIPAMIENTO (PARQUE IND. CHIH. SUR)</t>
  </si>
  <si>
    <t>AREA M (PARQUE IND. CHIH. SUR)</t>
  </si>
  <si>
    <t>PARCELAS 20,102,22,41,29,69,6,18,19 (PARQUE IND CHIH SUR)</t>
  </si>
  <si>
    <t>parcela 25Z-1 P-1/1 (PARQUE IND CHIH SUR)</t>
  </si>
  <si>
    <t>ADQ. JULIO ORNELAS (PARQUE IND CHIH SUR)</t>
  </si>
  <si>
    <t>DONACION DE MPIO. DE CHIH. entre parcelas 92 y 98 (PARUQE IND CHIH SUR)</t>
  </si>
  <si>
    <t>DONACION DE MPIO. DE CHIH. parcela 92 (PARQUE IND CHIH SUR)</t>
  </si>
  <si>
    <t>PARCELAS 297, 227, 228, 238, 237 (PARQUE IND CHIH SUR)</t>
  </si>
  <si>
    <t>PARCELAS 242 Z-2 P2/2) escritura 15,356 (PARQUE IND CHIH SUR)</t>
  </si>
  <si>
    <t>PARCELA 241Z-2 P2/2) escritura 15,356 (PARQUE IND CHIH SUR)</t>
  </si>
  <si>
    <t>PARCELA 212 (PARQUE IND CHIH SUR)</t>
  </si>
  <si>
    <t>PARCELA 62 SEGREGACION A (PARQUE IND CHIH SUR)</t>
  </si>
  <si>
    <t>PARCELA 62 (PARQUE IND CHIH SUR)</t>
  </si>
  <si>
    <t>PARCELA Compra a Agustín López Daumas (RESERVA AEROPUERTO CHIH)</t>
  </si>
  <si>
    <t>POZO 1 (CON OFICINA MOVIL)  MZNA 4 LOTE 3 (PARQUE IND AEROPUERTO JUAREZ)</t>
  </si>
  <si>
    <t>POZO 2 MZNA 7 Y 8 LOTE S/N (PARQUE IND AEROPUERTO JUAREZ)</t>
  </si>
  <si>
    <t>POLIGONO A INCLUYE CERESO (EL CANTON SAMALAYUCA)</t>
  </si>
  <si>
    <t>POLIGONO B (EL CANTON SAMALAYUCA)</t>
  </si>
  <si>
    <t>PROMOTORA DONADO SDUYE (RESERVA ZARAGOZA JUAREZ "YONQUEROS")</t>
  </si>
  <si>
    <t>(INM. SAN JERONIMO JUAREZ)</t>
  </si>
  <si>
    <t>PROMOTORA MZNA 1 L 1-B POZO 1 (PARQUE IND CUAUHTEMOC)</t>
  </si>
  <si>
    <t>SERVIDUMBRE MZNA 2 - L 7 Servidumbre (PARQUE IND CUAUHTEMOC)</t>
  </si>
  <si>
    <t>PROMOTORA MZNA 2 - L7A (PARQUE IND CUAUHTEMOC)</t>
  </si>
  <si>
    <t>PROMOTORA BEISBOL (Por desincorporar) MZNA 3-L 5 (PARQUE IND CUAUHTEMOC)</t>
  </si>
  <si>
    <t>PROMOTORA BEISBOL (Por desincorporar) MZNA 3-L 6 (PARQUE IND CUAUHTEMOC)</t>
  </si>
  <si>
    <t xml:space="preserve"> PROMOTORA BEISBOL (Por desincorporar) MZNA 3- L 7 (PARQUE IND CUAUHTEMOC)</t>
  </si>
  <si>
    <t>PROMOTORA BEISBOL (Por desincorporar) MZNA 3- L 8 (PARQUE IND CUAUHTEMOC)</t>
  </si>
  <si>
    <t>PROMOTORA BEISBOL (Por desincorporar) MZNA 3 - L 9 (PARQUE IND CUAUHTEMOC)</t>
  </si>
  <si>
    <t>POZO 2 MZNA4 L-4-A (PARQUE IND CUAUHTEMOC)</t>
  </si>
  <si>
    <t>MZNA 6 L-2-B (PARQUE IND CUAUHTEMOC)</t>
  </si>
  <si>
    <t>MZNA 6 L-3 (PARQUE IND CUAUHTEMOC)</t>
  </si>
  <si>
    <t>(com a Quiroproductos) MZNA 6 L-4 (PARQUE IND CUAUHTEMOC)</t>
  </si>
  <si>
    <t>OFICINAS PROMOTORA MZNA 6 L2-B (PARQUE IND CUAUHTEMOC)</t>
  </si>
  <si>
    <t>MZNA 7 L 5 (PARQUE IND CUAUHTEMOC)</t>
  </si>
  <si>
    <t>MZNA 7 L 6 (PARQUE IND CUAUHTEMOC)</t>
  </si>
  <si>
    <t>MZNA 7 L 7 (PARQUE IND CUAUHTEMOC)</t>
  </si>
  <si>
    <t>MZNA 7 L 8 (PARQUE IND CUAUHTEMOC)</t>
  </si>
  <si>
    <t>MZNA 7 L 9 (PARQUE IND CUAUHTEMOC)</t>
  </si>
  <si>
    <t>MZNA 8 L1 (PARQUE IND CUAUHTEMOC)</t>
  </si>
  <si>
    <t>MZNA 8 L 2 (PARQUE IND CUAUHTEMOC)</t>
  </si>
  <si>
    <t>PROMOTORA BEISBOL (Por desincorporar) MZNA 8 L 4 (PARQUE IND CUAUHTEMOC)</t>
  </si>
  <si>
    <t>PROMOTORA BEISBOL (Por desincorporar) MZNA 8 L 5 (PARQUE IND CUAUHTEMOC)</t>
  </si>
  <si>
    <t>TANQUE ELEVADO MZNA 8 L 5A (PARQUE IND CUAUHTEMOC)</t>
  </si>
  <si>
    <t>PROMOTORA M8 L 6 (PARQUE IND CUAUHTEMOC)</t>
  </si>
  <si>
    <t>PROMOTORA BEISBOL (Por desincorporar) M8 L 7 (PARQUE IND CUAUHTEMOC)</t>
  </si>
  <si>
    <t>Vialidad interna P. Beisbol Por desincorporar (PARQUE IND CUAUHTEMOC)</t>
  </si>
  <si>
    <t>Permuta Consejo Empresarial Cuauh. 2E (PARQUE IND CUAUHTEMOC)</t>
  </si>
  <si>
    <t>MZNA 5 L 7 (PARQUE IND PARRAL)</t>
  </si>
  <si>
    <t>MZNA 5 L 8 (PARQUE IND PARRAL)</t>
  </si>
  <si>
    <t>MZNA 5 L 9 (PARQUE IND PARRAL)</t>
  </si>
  <si>
    <t>MZNA 5 L 10 (PARQUE IND PARRAL)</t>
  </si>
  <si>
    <t>MZNA 6 L 1 (PARQUE IND PARRAL)</t>
  </si>
  <si>
    <t>MZNA 7 L 1-A OFICINA PROMOTORA (PARQUE IND PARRAL)</t>
  </si>
  <si>
    <t>MZNA 7 L 4 (PARQUE IND PARRAL9</t>
  </si>
  <si>
    <t>MZNA 7 L 6 (PARQUE IND PARRAL)</t>
  </si>
  <si>
    <t>MZNA 7 L 7 (PARQUE IND PARRAL)</t>
  </si>
  <si>
    <t>MZNA 7 L 8 (PARQUE IND PARRAL)</t>
  </si>
  <si>
    <t>MZNA 7 L 9 (PARQUE IND PARRAL)</t>
  </si>
  <si>
    <t>TANQUE DE ALMACENAMIENTO 2A ETAPA (PARQUE IND PARRAL)</t>
  </si>
  <si>
    <t>(PARQUE IND PARRAL)</t>
  </si>
  <si>
    <t>DACIÓN EN PAGO,PAGO EN ESPECIE IMPULSORA COMERCIAL EL CAMINO AVE. CENTAURO DEL NTE COL. INFONAVIT REAL VICTORIA, PARRAL CHIH</t>
  </si>
  <si>
    <t>POZO Y TANQUE MZNA 2 L2-A (PARQUE IND PAQUIME)</t>
  </si>
  <si>
    <t>MZNA 3 L 1 (PARQUE IND PAQUIME)</t>
  </si>
  <si>
    <t>MZNA 3 L 6 (PARQUE IND PAQUIME)</t>
  </si>
  <si>
    <t>MZNA 3 L 7 (PARQUE IND PAQUIME)</t>
  </si>
  <si>
    <t>MZNA 3 L 8 (PARQUE IND PAQUIME)</t>
  </si>
  <si>
    <t>MZNA 3 L 9 (PARQUE IND PAQUIME)</t>
  </si>
  <si>
    <t>MZNA 4 L 3 (PARQUE IND PAQUIME)</t>
  </si>
  <si>
    <t>MZNA 4 L 4 (PARQUE IND PAQUIME)</t>
  </si>
  <si>
    <t>MZNA 4 L 5 (PARQUE IND PAQUIME)</t>
  </si>
  <si>
    <t>MZNA 4 L 6-B (PARQUE IND PAQUIME)</t>
  </si>
  <si>
    <t>MZNA 4 L 8-B (PARQUE IND PAQUIME)</t>
  </si>
  <si>
    <t>MZNA 5 L 1 AL 8 (PARQUE IND PAQUIME)</t>
  </si>
  <si>
    <t>MZNA 6 L 1 (PARQUE IND PAQUIME)</t>
  </si>
  <si>
    <t>MZNA 6 L 2 (PARQUE IND PAQUIME)</t>
  </si>
  <si>
    <t>MZNA 6 L 3 (PARQUE IND PAQUIME)</t>
  </si>
  <si>
    <t>MZNA 7 L 1 (PARQUE IND PAQUIME)</t>
  </si>
  <si>
    <t>MZNA 7 L 2 (PARQUE IND PAQUIME)</t>
  </si>
  <si>
    <t>MZNA 7 L 3 (PARQUE IND PAQUIME)</t>
  </si>
  <si>
    <t>MZNA 7 L 4 (PARQUE IND PAQUIME)</t>
  </si>
  <si>
    <t>MZNA 8 L 1 (PARQUE IND PAQUIME)</t>
  </si>
  <si>
    <t>MZNA 9 L 1 (PARQUE IND PAQUIME)</t>
  </si>
  <si>
    <t>MZNA 9 L 2 (PARQUE IND PAQUIME)</t>
  </si>
  <si>
    <t>MZNA 9 L 3 (PARQUE IND PAQUIME)</t>
  </si>
  <si>
    <t>MZNA 9 L 4 (PARQUE IND PAQUIME)</t>
  </si>
  <si>
    <t>MZNA 9 L 5 (PARQUE IND PAQUIME)</t>
  </si>
  <si>
    <t>MZNA 9 L 6 (PARQUE IND PAQUIME)</t>
  </si>
  <si>
    <t>MZNA 9 L 7 (PARQUE IND PAQUIME)</t>
  </si>
  <si>
    <t>MZNA 9 L 8 (PARQUE IND PAQUIME)</t>
  </si>
  <si>
    <t>MZNA 11 L 1 (NVO CASAS GDES)</t>
  </si>
  <si>
    <t>MZNA 12-A L 1 (NVO CASAS GDES)</t>
  </si>
  <si>
    <t>LOTE 54 CON  SERVIDUMBRE (NAICA)</t>
  </si>
  <si>
    <t>DERECHO DE VÍA (NAICA)</t>
  </si>
  <si>
    <t>DERECHO DE VÍA DUCTOS (NAICA)</t>
  </si>
  <si>
    <t>(NAICA)</t>
  </si>
  <si>
    <t>ESQUINA HORTALIZAS (NAICA)</t>
  </si>
  <si>
    <t>Adquisiciones y permutas (RESERVA ANAHUAC)</t>
  </si>
  <si>
    <t>Hidroponicos Centauro (RESERVA ANAHUAC)</t>
  </si>
  <si>
    <t>reversion terreno ACM (RESERVA ANAHUAC)</t>
  </si>
  <si>
    <t>Gustavo Arenivar Romero parcela 450 Z-1 P1/1 (RESERVA ANAHUAC)</t>
  </si>
  <si>
    <t>Isabel López Márquez (RESERVA ANAHUAC)</t>
  </si>
  <si>
    <t>Enrique Aranda Castillo (RESERVA ANAHUAC)</t>
  </si>
  <si>
    <t>ALMA IRENE SANCHEZ PORRAS esc. 5078 (RESERVA PALOMAS CRUCES FRONTERIZOS)</t>
  </si>
  <si>
    <t>MANUEL FLORES ORTEGA esc. 5077 (RESERVA PALOMAS CRUCES FRONTETRIZOS)</t>
  </si>
  <si>
    <t>ARIANA APODACA YAÑEZ esc. 5070 (RESERVA PALOMAS CRUCES FRONTERIZOS)</t>
  </si>
  <si>
    <t>EJIDO PUERTO DE PALOMAS Y VADO DE FUSILES esc. 5076 (RESERVA PALOMAS CRUCES FRONTERIZOS)</t>
  </si>
  <si>
    <t>MARIA GUADALUPE ORTIZ ENRIQUEZ esc. 5079 (RESERVA PALOMAS CRUCES FRONTERIZOS)</t>
  </si>
  <si>
    <t>EJIDO PUERTO DE PALOMAS Y VADO DE FUSILES esc. 5094 (RESERVA PALOMAS CRUCES FRONTERIZOS)</t>
  </si>
  <si>
    <t>EJIDO PUERTA DE PALOMAS Y VADO DE FUSILES esc. 5096 (RESERVA PALOMAS CRUCES FRONTERIZOS)</t>
  </si>
  <si>
    <t>EJIDO PUERTO DE PALOMAS Y VADO DE FUSILES esc. 5095 (RESERVA PALOMAS CRUCES FRONTERIZOS)</t>
  </si>
  <si>
    <t>MARTIN FLORES URBINA esc. 5066 (RESERVA PALOMAS CRUCES FRONTERIZOS)</t>
  </si>
  <si>
    <t>MARÍA LOURDES MORALES esc. 5065 (RESERVA PALOMAS CRUCES FRONTERIZOS)</t>
  </si>
  <si>
    <t>EJIDO PUERTA DE PALOMAS Y VADO DE FUSILES (PARCELA 46 Z-9 P1/1) Esc 8950 (RESERVA PALOMAS CRUCES FRONTERIZOS)</t>
  </si>
  <si>
    <t>PARCELA 47 Z-9 P1/1 (RESERVA PALOMAS CRUCES FRONTERIZOS)</t>
  </si>
  <si>
    <t>EZZIO JAQUEZ QUINTANAEsc 6302 (RESERVA EL BERRENDO CRUCES FRONTERIZOS)</t>
  </si>
  <si>
    <t>parque Insurgentes (ALDAMA)</t>
  </si>
  <si>
    <t>PROMOTORA INMOBILIARIA SACRAMENTO ESC. 8,322 (ALDAMA)</t>
  </si>
  <si>
    <t>LA NOGALERA (CAMARGO)</t>
  </si>
  <si>
    <t>EL SOLDADO (CAMARGO)</t>
  </si>
  <si>
    <t>PROYECTO KOHLER ESCRITURA 2323 Z1 54 (PARQUE INS DELICIAS)</t>
  </si>
  <si>
    <t>PROYECTO KOHLER (PARQUE INS DELICIAS)</t>
  </si>
  <si>
    <t xml:space="preserve">PARQUE INDUSTRIAL DELICIAS escritura 770 (PARQUE INS DELICIAS) </t>
  </si>
  <si>
    <t>TERRENO HONEYWELL 20 has (PARQUE INS DELICIAS)</t>
  </si>
  <si>
    <t>RODOLFO PARRA GALLEGOS ESC. 2,863 (PARQUE INS DELICIAS)</t>
  </si>
  <si>
    <t>PARQUE INDUSTRIAL DELICIAS (escritura 2,421) MZNA 5 LOTE 1 FRACC A (PARQUE INS DELICIAS)</t>
  </si>
  <si>
    <t>ADQ.FCO. JAVIER GARCÍA AVILA (PARQUE INS DELICIAS)</t>
  </si>
  <si>
    <t>SERV. DE ADMON Y ENAJ. DE BIENES M2 L1 (PARQUE INS DELICIAS)</t>
  </si>
  <si>
    <t xml:space="preserve"> MZNA Z1 LOTE 54 (PARQUE INS DELICIAS)</t>
  </si>
  <si>
    <t>OSCAR HUMBERTO TERRAZAS CARRASCO P. Lacteos (MICRO PARQUE LACTEOS DELICIAS)</t>
  </si>
  <si>
    <t>ROSALES lote 22 Donacion Gob del Edo Chihuahua Distrito de Riego 05 (ROSALES CHIH)</t>
  </si>
  <si>
    <t>RELACIÓN DE SUPERFICIES DISPONIBLES EN TERRENOS ABRIL 2021</t>
  </si>
  <si>
    <t>DEL 1 DE ENERO AL 30 DE ABRIL DE 2021</t>
  </si>
  <si>
    <t>Hilda Estela González Jurado</t>
  </si>
  <si>
    <t>Quma Services México, S.A. de C.V.</t>
  </si>
  <si>
    <t>Coordinadora de Servicios Silver Star S.A. de C.v.</t>
  </si>
  <si>
    <t>Joisan SA de CV</t>
  </si>
  <si>
    <t>Evento de inauguración de edificio SPARK</t>
  </si>
  <si>
    <t>ABRIL DE 2021</t>
  </si>
  <si>
    <t>Fecha de actualización: 30 de abril de 2021</t>
  </si>
  <si>
    <t>Del 01/01/2018 al 30/04/2021</t>
  </si>
  <si>
    <t>96599 B</t>
  </si>
  <si>
    <t>96666 B</t>
  </si>
  <si>
    <t>96667 B</t>
  </si>
  <si>
    <t>96668 B</t>
  </si>
  <si>
    <t>96672 B</t>
  </si>
  <si>
    <t>96615 B</t>
  </si>
  <si>
    <t>96651 B</t>
  </si>
  <si>
    <t>96652 B</t>
  </si>
  <si>
    <t>96621 B</t>
  </si>
  <si>
    <t>96622 B</t>
  </si>
  <si>
    <t>96623 B</t>
  </si>
  <si>
    <t>96624 B</t>
  </si>
  <si>
    <t>96625 B</t>
  </si>
  <si>
    <t>96626 B</t>
  </si>
  <si>
    <t>96627 B</t>
  </si>
  <si>
    <t>26/04/2021</t>
  </si>
  <si>
    <t>96958 B</t>
  </si>
  <si>
    <t>96959 B</t>
  </si>
  <si>
    <t>96595 B</t>
  </si>
  <si>
    <t>96951 B</t>
  </si>
  <si>
    <t>96952 B</t>
  </si>
  <si>
    <t>VTC West S.A. de C.V.</t>
  </si>
  <si>
    <t>96639 B</t>
  </si>
  <si>
    <t>96953 B</t>
  </si>
  <si>
    <t>96954 B</t>
  </si>
  <si>
    <t>96935 B</t>
  </si>
  <si>
    <t>96542 B</t>
  </si>
  <si>
    <t>96543 B</t>
  </si>
  <si>
    <t>96596 B</t>
  </si>
  <si>
    <t>30/04/2021</t>
  </si>
  <si>
    <t>96969 B</t>
  </si>
  <si>
    <t>96970 B</t>
  </si>
  <si>
    <t>Viga y Lamina S.A. de C.V.</t>
  </si>
  <si>
    <t>96617 B</t>
  </si>
  <si>
    <t>96614 B</t>
  </si>
  <si>
    <t>96680 B</t>
  </si>
  <si>
    <t>96936 B</t>
  </si>
  <si>
    <t>96597 B</t>
  </si>
  <si>
    <t>96842 B</t>
  </si>
  <si>
    <t>96577 B</t>
  </si>
  <si>
    <t>96544 B</t>
  </si>
  <si>
    <t>96545 B</t>
  </si>
  <si>
    <t>96546 B</t>
  </si>
  <si>
    <t>96547 B</t>
  </si>
  <si>
    <t>96682 B</t>
  </si>
  <si>
    <t>96683 B</t>
  </si>
  <si>
    <t>96684 B</t>
  </si>
  <si>
    <t>96685 B</t>
  </si>
  <si>
    <t>96575 B</t>
  </si>
  <si>
    <t>96941 B</t>
  </si>
  <si>
    <t>16/04/2021</t>
  </si>
  <si>
    <t>96920 B</t>
  </si>
  <si>
    <t>96921 B</t>
  </si>
  <si>
    <t>96915 B</t>
  </si>
  <si>
    <t>96923 B</t>
  </si>
  <si>
    <t>96924 B</t>
  </si>
  <si>
    <t>96925 B</t>
  </si>
  <si>
    <t>96926 B</t>
  </si>
  <si>
    <t>96927 B</t>
  </si>
  <si>
    <t>96928 B</t>
  </si>
  <si>
    <t>96929 B</t>
  </si>
  <si>
    <t>96930 B</t>
  </si>
  <si>
    <t>19/04/2021</t>
  </si>
  <si>
    <t>96932 B</t>
  </si>
  <si>
    <t>96550 B</t>
  </si>
  <si>
    <t>96938 B</t>
  </si>
  <si>
    <t>96939 B</t>
  </si>
  <si>
    <t>96913 B</t>
  </si>
  <si>
    <t>96690 B</t>
  </si>
  <si>
    <t>96693 B</t>
  </si>
  <si>
    <t>96629 B</t>
  </si>
  <si>
    <t>96551 B</t>
  </si>
  <si>
    <t>96641 B</t>
  </si>
  <si>
    <t>96642 B</t>
  </si>
  <si>
    <t>96643 B</t>
  </si>
  <si>
    <t>96644 B</t>
  </si>
  <si>
    <t>96645 B</t>
  </si>
  <si>
    <t>96646 B</t>
  </si>
  <si>
    <t>96647 B</t>
  </si>
  <si>
    <t>96881 B</t>
  </si>
  <si>
    <t>96882 B</t>
  </si>
  <si>
    <t>96631 B</t>
  </si>
  <si>
    <t>96632 B</t>
  </si>
  <si>
    <t>96699 B</t>
  </si>
  <si>
    <t>96872 B</t>
  </si>
  <si>
    <t>Muelles y Suspensiones El Dragon</t>
  </si>
  <si>
    <t>96704 B</t>
  </si>
  <si>
    <t>96705 B</t>
  </si>
  <si>
    <t>96706 B</t>
  </si>
  <si>
    <t>96707 B</t>
  </si>
  <si>
    <t>96943 B</t>
  </si>
  <si>
    <t>96944 B</t>
  </si>
  <si>
    <t>CFS BRANDS PRODUCTOS DE MEXICO S DE RL DE CV</t>
  </si>
  <si>
    <t>96569 B</t>
  </si>
  <si>
    <t>96922 B</t>
  </si>
  <si>
    <t>96710 B</t>
  </si>
  <si>
    <t>96711 B</t>
  </si>
  <si>
    <t>96714 B</t>
  </si>
  <si>
    <t>96717 B</t>
  </si>
  <si>
    <t>96718 B</t>
  </si>
  <si>
    <t>96721 B</t>
  </si>
  <si>
    <t>96722 B</t>
  </si>
  <si>
    <t>96723 B</t>
  </si>
  <si>
    <t>SERVICIO INTERNACIONAL DE LOGISTICA Y TRANSPORTE</t>
  </si>
  <si>
    <t>96724 B</t>
  </si>
  <si>
    <t>96726 B</t>
  </si>
  <si>
    <t>96727 B</t>
  </si>
  <si>
    <t>96728 B</t>
  </si>
  <si>
    <t>96947 B</t>
  </si>
  <si>
    <t>96948 B</t>
  </si>
  <si>
    <t>96949 B</t>
  </si>
  <si>
    <t>96950 B</t>
  </si>
  <si>
    <t>96729 B</t>
  </si>
  <si>
    <t>96730 B</t>
  </si>
  <si>
    <t>Productos de Consumo Z S.A. de C.V.</t>
  </si>
  <si>
    <t>96733 B</t>
  </si>
  <si>
    <t>96570 B</t>
  </si>
  <si>
    <t>96571 B</t>
  </si>
  <si>
    <t>96528 B</t>
  </si>
  <si>
    <t>96633 B</t>
  </si>
  <si>
    <t>27/04/2021</t>
  </si>
  <si>
    <t>96968 B</t>
  </si>
  <si>
    <t>96603 B</t>
  </si>
  <si>
    <t>International Paper Mexico Company S de RL de CV</t>
  </si>
  <si>
    <t>96739 B</t>
  </si>
  <si>
    <t>96740 B</t>
  </si>
  <si>
    <t>96742 B</t>
  </si>
  <si>
    <t>96931 B</t>
  </si>
  <si>
    <t>96618 B</t>
  </si>
  <si>
    <t>96745 B</t>
  </si>
  <si>
    <t>96746 B</t>
  </si>
  <si>
    <t>96747 B</t>
  </si>
  <si>
    <t>96751 B</t>
  </si>
  <si>
    <t>96758 B</t>
  </si>
  <si>
    <t>96609 B</t>
  </si>
  <si>
    <t>96760 B</t>
  </si>
  <si>
    <t>96761 B</t>
  </si>
  <si>
    <t>Aceros Levinson S.A. de C.V.</t>
  </si>
  <si>
    <t>96763 B</t>
  </si>
  <si>
    <t>MELOONES BAR &amp; GRILL SA DE CV</t>
  </si>
  <si>
    <t>96764 B</t>
  </si>
  <si>
    <t>96765 B</t>
  </si>
  <si>
    <t>96766 B</t>
  </si>
  <si>
    <t>SAFRAN ELECTRICAL &amp; POWER CHIHUAHUA, SA DE CV</t>
  </si>
  <si>
    <t>96554 B</t>
  </si>
  <si>
    <t>96555 B</t>
  </si>
  <si>
    <t>DSV AIR &amp; SEA S.A. DE C.V.</t>
  </si>
  <si>
    <t>96770 B</t>
  </si>
  <si>
    <t>96771 B</t>
  </si>
  <si>
    <t>96773 B</t>
  </si>
  <si>
    <t>96580 B</t>
  </si>
  <si>
    <t>96777 B</t>
  </si>
  <si>
    <t>96942 B</t>
  </si>
  <si>
    <t>96635 B</t>
  </si>
  <si>
    <t>96636 B</t>
  </si>
  <si>
    <t>96900 B</t>
  </si>
  <si>
    <t>96788 B</t>
  </si>
  <si>
    <t>96916 B</t>
  </si>
  <si>
    <t>AFFA TRADE, S.A.P.I. DE C.V.</t>
  </si>
  <si>
    <t>96791 B</t>
  </si>
  <si>
    <t>96792 B</t>
  </si>
  <si>
    <t>96794 B</t>
  </si>
  <si>
    <t>96795 B</t>
  </si>
  <si>
    <t>FLETES BURA DE CHIHUAHUA, S.A. DE C.V.</t>
  </si>
  <si>
    <t>96799 B</t>
  </si>
  <si>
    <t>96613 B</t>
  </si>
  <si>
    <t>96902 B</t>
  </si>
  <si>
    <t>96801 B</t>
  </si>
  <si>
    <t>96802 B</t>
  </si>
  <si>
    <t>96578 B</t>
  </si>
  <si>
    <t>96843 B</t>
  </si>
  <si>
    <t>96967 B</t>
  </si>
  <si>
    <t>96804 B</t>
  </si>
  <si>
    <t>96808 B</t>
  </si>
  <si>
    <t>96864 B</t>
  </si>
  <si>
    <t>96945 B</t>
  </si>
  <si>
    <t>IRVING LUNA FRANCO</t>
  </si>
  <si>
    <t>96812 B</t>
  </si>
  <si>
    <t>Mercainstalación y Distribución SA de CV</t>
  </si>
  <si>
    <t>96813 B</t>
  </si>
  <si>
    <t>PRODUCTOS LACTEOS SANBUENA SA DE CV</t>
  </si>
  <si>
    <t>96815 B</t>
  </si>
  <si>
    <t>96817 B</t>
  </si>
  <si>
    <t>96818 B</t>
  </si>
  <si>
    <t>96819 B</t>
  </si>
  <si>
    <t>96822 B</t>
  </si>
  <si>
    <t>96879 B</t>
  </si>
  <si>
    <t>96866 B</t>
  </si>
  <si>
    <t>96871 B</t>
  </si>
  <si>
    <t>96823 B</t>
  </si>
  <si>
    <t>96858 B</t>
  </si>
  <si>
    <t>96897 B</t>
  </si>
  <si>
    <t>96865 B</t>
  </si>
  <si>
    <t>96859 B</t>
  </si>
  <si>
    <t>96961 B</t>
  </si>
  <si>
    <t>96962 B</t>
  </si>
  <si>
    <t>96899 B</t>
  </si>
  <si>
    <t>96860 B</t>
  </si>
  <si>
    <t>96861 B</t>
  </si>
  <si>
    <t>96830 B</t>
  </si>
  <si>
    <t>96887 B</t>
  </si>
  <si>
    <t>96834 B</t>
  </si>
  <si>
    <t>96940 B</t>
  </si>
  <si>
    <t>96594 B</t>
  </si>
  <si>
    <t>96832 B</t>
  </si>
  <si>
    <t>96831 B</t>
  </si>
  <si>
    <t>PARQUES AMERICAN INDUSTRIES SA DE CV</t>
  </si>
  <si>
    <t>96888 B</t>
  </si>
  <si>
    <t>96889 B</t>
  </si>
  <si>
    <t>96890 B</t>
  </si>
  <si>
    <t>96891 B</t>
  </si>
  <si>
    <t>96903 B</t>
  </si>
  <si>
    <t>96904 B</t>
  </si>
  <si>
    <t>96905 B</t>
  </si>
  <si>
    <t>96906 B</t>
  </si>
  <si>
    <t>96806 B</t>
  </si>
  <si>
    <t>96846 B</t>
  </si>
  <si>
    <t>Alquiladora de Casas SA De CV</t>
  </si>
  <si>
    <t>96828 B</t>
  </si>
  <si>
    <t>96845 B</t>
  </si>
  <si>
    <t>96896 B</t>
  </si>
  <si>
    <t>96946 B</t>
  </si>
  <si>
    <t>96583 B</t>
  </si>
  <si>
    <t>96584 B</t>
  </si>
  <si>
    <t>96585 B</t>
  </si>
  <si>
    <t>Repuestos Del Noroeste S.A. de C.V.</t>
  </si>
  <si>
    <t>96507 B</t>
  </si>
  <si>
    <t>Parque Industrial Internacional Mexicano S.A. de C.V.</t>
  </si>
  <si>
    <t>96880 B</t>
  </si>
  <si>
    <t>96955 B</t>
  </si>
  <si>
    <t>96956 B</t>
  </si>
  <si>
    <t>96957 B</t>
  </si>
  <si>
    <t>96917 B</t>
  </si>
  <si>
    <t>96518 B</t>
  </si>
  <si>
    <t>96519 B</t>
  </si>
  <si>
    <t>96520 B</t>
  </si>
  <si>
    <t>96521 B</t>
  </si>
  <si>
    <t>96527 B</t>
  </si>
  <si>
    <t>96522 B</t>
  </si>
  <si>
    <t>96838 B</t>
  </si>
  <si>
    <t>96839 B</t>
  </si>
  <si>
    <t>96837 B</t>
  </si>
  <si>
    <t>96840 B</t>
  </si>
  <si>
    <t>ABRIL.2021</t>
  </si>
  <si>
    <t xml:space="preserve">B96969     </t>
  </si>
  <si>
    <t xml:space="preserve">B96970     </t>
  </si>
  <si>
    <t xml:space="preserve">B96968     </t>
  </si>
  <si>
    <t xml:space="preserve">B96967     </t>
  </si>
  <si>
    <t xml:space="preserve">B96961     </t>
  </si>
  <si>
    <t xml:space="preserve">B96962     </t>
  </si>
  <si>
    <t xml:space="preserve">B96958     </t>
  </si>
  <si>
    <t xml:space="preserve">B96959     </t>
  </si>
  <si>
    <t xml:space="preserve">B96951     </t>
  </si>
  <si>
    <t xml:space="preserve">B96952     </t>
  </si>
  <si>
    <t xml:space="preserve">B96953     </t>
  </si>
  <si>
    <t xml:space="preserve">B96954     </t>
  </si>
  <si>
    <t xml:space="preserve">B96935     </t>
  </si>
  <si>
    <t xml:space="preserve">B96936     </t>
  </si>
  <si>
    <t xml:space="preserve">B96940     </t>
  </si>
  <si>
    <t xml:space="preserve">B96941     </t>
  </si>
  <si>
    <t xml:space="preserve">B96938     </t>
  </si>
  <si>
    <t xml:space="preserve">B96939     </t>
  </si>
  <si>
    <t xml:space="preserve">B96943     </t>
  </si>
  <si>
    <t xml:space="preserve">B96944     </t>
  </si>
  <si>
    <t xml:space="preserve">B96947     </t>
  </si>
  <si>
    <t xml:space="preserve">B96948     </t>
  </si>
  <si>
    <t xml:space="preserve">B96949     </t>
  </si>
  <si>
    <t xml:space="preserve">B96950     </t>
  </si>
  <si>
    <t xml:space="preserve">B96942     </t>
  </si>
  <si>
    <t xml:space="preserve">B96945     </t>
  </si>
  <si>
    <t xml:space="preserve">B96946     </t>
  </si>
  <si>
    <t xml:space="preserve">B96955     </t>
  </si>
  <si>
    <t xml:space="preserve">B96956     </t>
  </si>
  <si>
    <t xml:space="preserve">B96957     </t>
  </si>
  <si>
    <t xml:space="preserve">B96932     </t>
  </si>
  <si>
    <t xml:space="preserve">B96931     </t>
  </si>
  <si>
    <t xml:space="preserve">B96920     </t>
  </si>
  <si>
    <t xml:space="preserve">B96921     </t>
  </si>
  <si>
    <t xml:space="preserve">B96925     </t>
  </si>
  <si>
    <t xml:space="preserve">B96926     </t>
  </si>
  <si>
    <t xml:space="preserve">B96923     </t>
  </si>
  <si>
    <t xml:space="preserve">B96924     </t>
  </si>
  <si>
    <t xml:space="preserve">B96927     </t>
  </si>
  <si>
    <t xml:space="preserve">B96928     </t>
  </si>
  <si>
    <t xml:space="preserve">B96929     </t>
  </si>
  <si>
    <t xml:space="preserve">B96930     </t>
  </si>
  <si>
    <t xml:space="preserve">B96922     </t>
  </si>
  <si>
    <t xml:space="preserve">B96915     </t>
  </si>
  <si>
    <t xml:space="preserve">B96913     </t>
  </si>
  <si>
    <t xml:space="preserve">B96916     </t>
  </si>
  <si>
    <t xml:space="preserve">B96917     </t>
  </si>
  <si>
    <t>PAI0910303B2</t>
  </si>
  <si>
    <t xml:space="preserve">B96903     </t>
  </si>
  <si>
    <t xml:space="preserve">B96904     </t>
  </si>
  <si>
    <t xml:space="preserve">B96905     </t>
  </si>
  <si>
    <t xml:space="preserve">B96906     </t>
  </si>
  <si>
    <t xml:space="preserve">B96842     </t>
  </si>
  <si>
    <t xml:space="preserve">B96881     </t>
  </si>
  <si>
    <t xml:space="preserve">B96882     </t>
  </si>
  <si>
    <t xml:space="preserve">B96872     </t>
  </si>
  <si>
    <t xml:space="preserve">B96888     </t>
  </si>
  <si>
    <t xml:space="preserve">B96889     </t>
  </si>
  <si>
    <t xml:space="preserve">B96890     </t>
  </si>
  <si>
    <t xml:space="preserve">B96891     </t>
  </si>
  <si>
    <t xml:space="preserve">B96887     </t>
  </si>
  <si>
    <t xml:space="preserve">B96900     </t>
  </si>
  <si>
    <t xml:space="preserve">B96902     </t>
  </si>
  <si>
    <t xml:space="preserve">B96843     </t>
  </si>
  <si>
    <t xml:space="preserve">B96864     </t>
  </si>
  <si>
    <t xml:space="preserve">B96879     </t>
  </si>
  <si>
    <t xml:space="preserve">B96866     </t>
  </si>
  <si>
    <t xml:space="preserve">B96871     </t>
  </si>
  <si>
    <t xml:space="preserve">B96858     </t>
  </si>
  <si>
    <t xml:space="preserve">B96897     </t>
  </si>
  <si>
    <t xml:space="preserve">B96865     </t>
  </si>
  <si>
    <t xml:space="preserve">B96859     </t>
  </si>
  <si>
    <t xml:space="preserve">B96899     </t>
  </si>
  <si>
    <t xml:space="preserve">B96860     </t>
  </si>
  <si>
    <t xml:space="preserve">B96861     </t>
  </si>
  <si>
    <t xml:space="preserve">B96846     </t>
  </si>
  <si>
    <t xml:space="preserve">B96845     </t>
  </si>
  <si>
    <t xml:space="preserve">B96896     </t>
  </si>
  <si>
    <t xml:space="preserve">Parque Industrial Internacional Mexicano S.A. </t>
  </si>
  <si>
    <t>PII9008283P5</t>
  </si>
  <si>
    <t xml:space="preserve">B96880     </t>
  </si>
  <si>
    <t xml:space="preserve">B96834     </t>
  </si>
  <si>
    <t xml:space="preserve">B96830     </t>
  </si>
  <si>
    <t xml:space="preserve">B96832     </t>
  </si>
  <si>
    <t xml:space="preserve">B96831     </t>
  </si>
  <si>
    <t>SABM830222AY3</t>
  </si>
  <si>
    <t xml:space="preserve">B96838     </t>
  </si>
  <si>
    <t xml:space="preserve">B96839     </t>
  </si>
  <si>
    <t>VEDA790812RS1</t>
  </si>
  <si>
    <t xml:space="preserve">B96840     </t>
  </si>
  <si>
    <t xml:space="preserve">B96837     </t>
  </si>
  <si>
    <t xml:space="preserve">B96599     </t>
  </si>
  <si>
    <t xml:space="preserve">B96666     </t>
  </si>
  <si>
    <t xml:space="preserve">B96667     </t>
  </si>
  <si>
    <t xml:space="preserve">B96668     </t>
  </si>
  <si>
    <t xml:space="preserve">B96672     </t>
  </si>
  <si>
    <t xml:space="preserve">B96615     </t>
  </si>
  <si>
    <t xml:space="preserve">B96651     </t>
  </si>
  <si>
    <t xml:space="preserve">B96652     </t>
  </si>
  <si>
    <t xml:space="preserve">B96621     </t>
  </si>
  <si>
    <t xml:space="preserve">B96622     </t>
  </si>
  <si>
    <t xml:space="preserve">B96623     </t>
  </si>
  <si>
    <t xml:space="preserve">B96624     </t>
  </si>
  <si>
    <t xml:space="preserve">B96625     </t>
  </si>
  <si>
    <t xml:space="preserve">B96626     </t>
  </si>
  <si>
    <t xml:space="preserve">B96627     </t>
  </si>
  <si>
    <t xml:space="preserve">B96595     </t>
  </si>
  <si>
    <t>VWE941108R74</t>
  </si>
  <si>
    <t xml:space="preserve">B96639     </t>
  </si>
  <si>
    <t xml:space="preserve">B96542     </t>
  </si>
  <si>
    <t xml:space="preserve">B96543     </t>
  </si>
  <si>
    <t xml:space="preserve">B96596     </t>
  </si>
  <si>
    <t>Viga y Lamina SA De CV</t>
  </si>
  <si>
    <t>VLA861121DE9</t>
  </si>
  <si>
    <t xml:space="preserve">B96617     </t>
  </si>
  <si>
    <t xml:space="preserve">B96614     </t>
  </si>
  <si>
    <t xml:space="preserve">B96680     </t>
  </si>
  <si>
    <t xml:space="preserve">B96597     </t>
  </si>
  <si>
    <t xml:space="preserve">B96577     </t>
  </si>
  <si>
    <t xml:space="preserve">B96547     </t>
  </si>
  <si>
    <t xml:space="preserve">B96544     </t>
  </si>
  <si>
    <t xml:space="preserve">B96545     </t>
  </si>
  <si>
    <t xml:space="preserve">B96546     </t>
  </si>
  <si>
    <t>POML7606117U2</t>
  </si>
  <si>
    <t xml:space="preserve">B96682     </t>
  </si>
  <si>
    <t xml:space="preserve">B96683     </t>
  </si>
  <si>
    <t xml:space="preserve">B96684     </t>
  </si>
  <si>
    <t xml:space="preserve">B96685     </t>
  </si>
  <si>
    <t xml:space="preserve">B96575     </t>
  </si>
  <si>
    <t xml:space="preserve">B96550     </t>
  </si>
  <si>
    <t xml:space="preserve">B96690     </t>
  </si>
  <si>
    <t xml:space="preserve">B96693     </t>
  </si>
  <si>
    <t xml:space="preserve">B96629     </t>
  </si>
  <si>
    <t xml:space="preserve">B96551     </t>
  </si>
  <si>
    <t xml:space="preserve">B96641     </t>
  </si>
  <si>
    <t xml:space="preserve">B96642     </t>
  </si>
  <si>
    <t xml:space="preserve">B96643     </t>
  </si>
  <si>
    <t xml:space="preserve">B96644     </t>
  </si>
  <si>
    <t xml:space="preserve">B96645     </t>
  </si>
  <si>
    <t xml:space="preserve">B96646     </t>
  </si>
  <si>
    <t xml:space="preserve">B96647     </t>
  </si>
  <si>
    <t xml:space="preserve">B96594     </t>
  </si>
  <si>
    <t xml:space="preserve">B96631     </t>
  </si>
  <si>
    <t xml:space="preserve">B96632     </t>
  </si>
  <si>
    <t xml:space="preserve">B96699     </t>
  </si>
  <si>
    <t>Muelles y Suspensiones el Dragon S.A. de C.V.</t>
  </si>
  <si>
    <t>MSD881229NT5</t>
  </si>
  <si>
    <t xml:space="preserve">B96707     </t>
  </si>
  <si>
    <t xml:space="preserve">B96704     </t>
  </si>
  <si>
    <t xml:space="preserve">B96705     </t>
  </si>
  <si>
    <t xml:space="preserve">B96706     </t>
  </si>
  <si>
    <t>CPM001207441</t>
  </si>
  <si>
    <t xml:space="preserve">B96569     </t>
  </si>
  <si>
    <t xml:space="preserve">B96710     </t>
  </si>
  <si>
    <t xml:space="preserve">B96711     </t>
  </si>
  <si>
    <t xml:space="preserve">B96714     </t>
  </si>
  <si>
    <t xml:space="preserve">B96717     </t>
  </si>
  <si>
    <t xml:space="preserve">B96718     </t>
  </si>
  <si>
    <t xml:space="preserve">B96721     </t>
  </si>
  <si>
    <t xml:space="preserve">B96722     </t>
  </si>
  <si>
    <t xml:space="preserve">B96723     </t>
  </si>
  <si>
    <t>SERVICIO INTERNACIONAL DE LOGISTICA Y TRANSPOR</t>
  </si>
  <si>
    <t>SIL060814E52</t>
  </si>
  <si>
    <t xml:space="preserve">B96724     </t>
  </si>
  <si>
    <t xml:space="preserve">B96726     </t>
  </si>
  <si>
    <t xml:space="preserve">B96727     </t>
  </si>
  <si>
    <t xml:space="preserve">B96728     </t>
  </si>
  <si>
    <t xml:space="preserve">B96729     </t>
  </si>
  <si>
    <t xml:space="preserve">B96730     </t>
  </si>
  <si>
    <t>PCZ071128UM9</t>
  </si>
  <si>
    <t xml:space="preserve">B96733     </t>
  </si>
  <si>
    <t>MIN080527KE4</t>
  </si>
  <si>
    <t xml:space="preserve">B96570     </t>
  </si>
  <si>
    <t xml:space="preserve">B96571     </t>
  </si>
  <si>
    <t xml:space="preserve">B96528     </t>
  </si>
  <si>
    <t>SOU940317TG5</t>
  </si>
  <si>
    <t xml:space="preserve">B96633     </t>
  </si>
  <si>
    <t xml:space="preserve">B96603     </t>
  </si>
  <si>
    <t xml:space="preserve">International Paper Mexico Company S de RL de </t>
  </si>
  <si>
    <t>IPH140130GE7</t>
  </si>
  <si>
    <t xml:space="preserve">B96739     </t>
  </si>
  <si>
    <t xml:space="preserve">B96740     </t>
  </si>
  <si>
    <t xml:space="preserve">B96742     </t>
  </si>
  <si>
    <t xml:space="preserve">B96618     </t>
  </si>
  <si>
    <t xml:space="preserve">B96745     </t>
  </si>
  <si>
    <t xml:space="preserve">B96746     </t>
  </si>
  <si>
    <t xml:space="preserve">B96747     </t>
  </si>
  <si>
    <t xml:space="preserve">B96751     </t>
  </si>
  <si>
    <t xml:space="preserve">B96758     </t>
  </si>
  <si>
    <t xml:space="preserve">B96609     </t>
  </si>
  <si>
    <t xml:space="preserve">B96760     </t>
  </si>
  <si>
    <t xml:space="preserve">B96761     </t>
  </si>
  <si>
    <t>ALE870612DS8</t>
  </si>
  <si>
    <t xml:space="preserve">B96763     </t>
  </si>
  <si>
    <t>MBA1601258Y2</t>
  </si>
  <si>
    <t xml:space="preserve">B96764     </t>
  </si>
  <si>
    <t xml:space="preserve">B96765     </t>
  </si>
  <si>
    <t xml:space="preserve">B96766     </t>
  </si>
  <si>
    <t>LCI9710149W6</t>
  </si>
  <si>
    <t xml:space="preserve">B96555     </t>
  </si>
  <si>
    <t xml:space="preserve">B96554     </t>
  </si>
  <si>
    <t>DAA020218JY1</t>
  </si>
  <si>
    <t xml:space="preserve">B96770     </t>
  </si>
  <si>
    <t xml:space="preserve">B96771     </t>
  </si>
  <si>
    <t xml:space="preserve">B96773     </t>
  </si>
  <si>
    <t xml:space="preserve">B96580     </t>
  </si>
  <si>
    <t xml:space="preserve">B96777     </t>
  </si>
  <si>
    <t xml:space="preserve">B96635     </t>
  </si>
  <si>
    <t xml:space="preserve">B96636     </t>
  </si>
  <si>
    <t xml:space="preserve">B96788     </t>
  </si>
  <si>
    <t>ATR1701272Y1</t>
  </si>
  <si>
    <t xml:space="preserve">B96791     </t>
  </si>
  <si>
    <t xml:space="preserve">B96792     </t>
  </si>
  <si>
    <t xml:space="preserve">B96794     </t>
  </si>
  <si>
    <t xml:space="preserve">B96795     </t>
  </si>
  <si>
    <t>FBC140708HL1</t>
  </si>
  <si>
    <t xml:space="preserve">B96799     </t>
  </si>
  <si>
    <t xml:space="preserve">B96613     </t>
  </si>
  <si>
    <t xml:space="preserve">B96802     </t>
  </si>
  <si>
    <t xml:space="preserve">B96801     </t>
  </si>
  <si>
    <t xml:space="preserve">B96578     </t>
  </si>
  <si>
    <t>MARA7008279P3</t>
  </si>
  <si>
    <t xml:space="preserve">B96804     </t>
  </si>
  <si>
    <t>B96805</t>
  </si>
  <si>
    <t xml:space="preserve">B96806     </t>
  </si>
  <si>
    <t xml:space="preserve">B96808     </t>
  </si>
  <si>
    <t>LUFI831009CL3</t>
  </si>
  <si>
    <t xml:space="preserve">B96812     </t>
  </si>
  <si>
    <t>MDI110914GF5</t>
  </si>
  <si>
    <t xml:space="preserve">B96813     </t>
  </si>
  <si>
    <t>QFS970203EJ6</t>
  </si>
  <si>
    <t xml:space="preserve">B96815     </t>
  </si>
  <si>
    <t xml:space="preserve">B96817     </t>
  </si>
  <si>
    <t xml:space="preserve">B96818     </t>
  </si>
  <si>
    <t>CMM941219BG6</t>
  </si>
  <si>
    <t xml:space="preserve">B96819     </t>
  </si>
  <si>
    <t>ADU800131T10</t>
  </si>
  <si>
    <t xml:space="preserve">B96822     </t>
  </si>
  <si>
    <t xml:space="preserve">B96823     </t>
  </si>
  <si>
    <t>ACA431007V69</t>
  </si>
  <si>
    <t xml:space="preserve">B96828     </t>
  </si>
  <si>
    <t xml:space="preserve">B96583     </t>
  </si>
  <si>
    <t xml:space="preserve">B96584     </t>
  </si>
  <si>
    <t xml:space="preserve">B96585     </t>
  </si>
  <si>
    <t>RNO961002MWA</t>
  </si>
  <si>
    <t xml:space="preserve">B96507     </t>
  </si>
  <si>
    <t xml:space="preserve">B96520     </t>
  </si>
  <si>
    <t xml:space="preserve">B96518     </t>
  </si>
  <si>
    <t xml:space="preserve">B96519     </t>
  </si>
  <si>
    <t xml:space="preserve">B96521     </t>
  </si>
  <si>
    <t xml:space="preserve">B96527     </t>
  </si>
  <si>
    <t xml:space="preserve">B96522     </t>
  </si>
  <si>
    <t>B96320</t>
  </si>
  <si>
    <t>90 días</t>
  </si>
  <si>
    <t>B89236</t>
  </si>
  <si>
    <t>180 días</t>
  </si>
  <si>
    <t>360 días</t>
  </si>
  <si>
    <t>B82738</t>
  </si>
  <si>
    <t>Más de 360 días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</si>
</sst>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7" formatCode="&quot;$&quot;#,##0.00;\-&quot;$&quot;#,##0.00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(* #,##0_);_(* \(#,##0\);_(* &quot;-&quot;??_);_(@_)"/>
    <numFmt numFmtId="167" formatCode="_(&quot;$&quot;* #,##0_);_(&quot;$&quot;* \(#,##0\);_(&quot;$&quot;* &quot;-&quot;??_);_(@_)"/>
    <numFmt numFmtId="168" formatCode="_-* #,##0.0000_-;\-* #,##0.0000_-;_-* &quot;-&quot;????_-;_-@_-"/>
    <numFmt numFmtId="169" formatCode="_(* #,##0.0_);_(* \(#,##0.0\);_(* &quot;-&quot;??_);_(@_)"/>
    <numFmt numFmtId="170" formatCode="#,##0.00_ ;\-#,##0.00\ "/>
    <numFmt numFmtId="171" formatCode="0_ ;\-0\ "/>
    <numFmt numFmtId="172" formatCode="General_)"/>
    <numFmt numFmtId="173" formatCode="#,##0_ ;\-#,##0\ "/>
    <numFmt numFmtId="174" formatCode="_-* #,##0_-;\-* #,##0_-;_-* &quot;-&quot;??_-;_-@_-"/>
    <numFmt numFmtId="175" formatCode="&quot;$&quot;#,##0.00"/>
    <numFmt numFmtId="176" formatCode="_(* #,##0.0000_);_(* \(#,##0.0000\);_(* &quot;-&quot;??_);_(@_)"/>
    <numFmt numFmtId="177" formatCode="#,##0.00_ ;[Red]\-#,##0.00\ "/>
    <numFmt numFmtId="178" formatCode="_-* #,##0.0000_-;\-* #,##0.0000_-;_-* &quot;-&quot;??_-;_-@_-"/>
    <numFmt numFmtId="179" formatCode="0.0%"/>
    <numFmt numFmtId="180" formatCode="0.00000%"/>
  </numFmts>
  <fonts count="20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9"/>
      <color theme="0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0"/>
      <color theme="1"/>
      <name val="Arial"/>
      <family val="2"/>
    </font>
    <font>
      <b/>
      <sz val="11"/>
      <color theme="0"/>
      <name val="Arial"/>
      <family val="2"/>
    </font>
    <font>
      <b/>
      <sz val="8"/>
      <color theme="0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b/>
      <sz val="7"/>
      <name val="Arial"/>
      <family val="2"/>
    </font>
    <font>
      <sz val="7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9"/>
      <color theme="1"/>
      <name val="Arial"/>
      <family val="2"/>
    </font>
    <font>
      <sz val="7"/>
      <color theme="1"/>
      <name val="Arial"/>
      <family val="2"/>
    </font>
    <font>
      <sz val="9"/>
      <color theme="0"/>
      <name val="Arial"/>
      <family val="2"/>
    </font>
    <font>
      <b/>
      <sz val="7"/>
      <color theme="0"/>
      <name val="Arial"/>
      <family val="2"/>
    </font>
    <font>
      <b/>
      <i/>
      <sz val="9"/>
      <name val="Arial"/>
      <family val="2"/>
    </font>
    <font>
      <b/>
      <sz val="9"/>
      <color theme="1"/>
      <name val="Arial"/>
      <family val="2"/>
    </font>
    <font>
      <b/>
      <sz val="7"/>
      <color theme="1"/>
      <name val="Arial"/>
      <family val="2"/>
    </font>
    <font>
      <sz val="36"/>
      <color theme="0"/>
      <name val="Arial"/>
      <family val="2"/>
    </font>
    <font>
      <i/>
      <sz val="9"/>
      <name val="Arial"/>
      <family val="2"/>
    </font>
    <font>
      <sz val="9"/>
      <color rgb="FFFF0000"/>
      <name val="Arial"/>
      <family val="2"/>
    </font>
    <font>
      <b/>
      <sz val="9"/>
      <color theme="0" tint="-0.499984740745262"/>
      <name val="Arial"/>
      <family val="2"/>
    </font>
    <font>
      <b/>
      <i/>
      <sz val="9"/>
      <color theme="1"/>
      <name val="Arial"/>
      <family val="2"/>
    </font>
    <font>
      <sz val="16"/>
      <color rgb="FFFF0000"/>
      <name val="Arial"/>
      <family val="2"/>
    </font>
    <font>
      <sz val="22"/>
      <color rgb="FFFF0000"/>
      <name val="Arial"/>
      <family val="2"/>
    </font>
    <font>
      <b/>
      <sz val="9"/>
      <color theme="1" tint="0.34998626667073579"/>
      <name val="Arial"/>
      <family val="2"/>
    </font>
    <font>
      <sz val="14"/>
      <color rgb="FFFF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indexed="8"/>
      <name val="Arial"/>
      <family val="2"/>
    </font>
    <font>
      <sz val="8"/>
      <color rgb="FF000000"/>
      <name val="Arial"/>
      <family val="2"/>
    </font>
    <font>
      <b/>
      <sz val="8"/>
      <color indexed="8"/>
      <name val="Arial"/>
      <family val="2"/>
    </font>
    <font>
      <b/>
      <sz val="8"/>
      <color rgb="FF000000"/>
      <name val="Arial"/>
      <family val="2"/>
    </font>
    <font>
      <b/>
      <sz val="11"/>
      <color theme="1"/>
      <name val="Calibri"/>
      <family val="2"/>
      <scheme val="minor"/>
    </font>
    <font>
      <sz val="11"/>
      <color rgb="FFFF0000"/>
      <name val="Arial"/>
      <family val="2"/>
    </font>
    <font>
      <sz val="12"/>
      <color rgb="FFFF0000"/>
      <name val="Arial"/>
      <family val="2"/>
    </font>
    <font>
      <b/>
      <sz val="12"/>
      <color rgb="FFFF0000"/>
      <name val="Arial"/>
      <family val="2"/>
    </font>
    <font>
      <sz val="11"/>
      <color theme="1"/>
      <name val="Arial"/>
      <family val="2"/>
    </font>
    <font>
      <sz val="8"/>
      <color theme="0"/>
      <name val="Arial"/>
      <family val="2"/>
    </font>
    <font>
      <b/>
      <vertAlign val="superscript"/>
      <sz val="8"/>
      <color theme="0"/>
      <name val="Arial"/>
      <family val="2"/>
    </font>
    <font>
      <vertAlign val="superscript"/>
      <sz val="8"/>
      <color theme="1"/>
      <name val="Calibri"/>
      <family val="2"/>
    </font>
    <font>
      <vertAlign val="superscript"/>
      <sz val="8"/>
      <color theme="1"/>
      <name val="Arial"/>
      <family val="2"/>
    </font>
    <font>
      <i/>
      <sz val="9"/>
      <color theme="1"/>
      <name val="Arial"/>
      <family val="2"/>
    </font>
    <font>
      <sz val="10"/>
      <color indexed="8"/>
      <name val="MS Sans Serif"/>
      <family val="2"/>
    </font>
    <font>
      <b/>
      <sz val="9"/>
      <color theme="9" tint="-0.249977111117893"/>
      <name val="Arial"/>
      <family val="2"/>
    </font>
    <font>
      <b/>
      <sz val="8"/>
      <color theme="9" tint="-0.249977111117893"/>
      <name val="Arial"/>
      <family val="2"/>
    </font>
    <font>
      <sz val="8"/>
      <color theme="9" tint="-0.249977111117893"/>
      <name val="Arial"/>
      <family val="2"/>
    </font>
    <font>
      <sz val="8"/>
      <color rgb="FFFFFF0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MS Sans Serif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9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MS Sans Serif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MS Sans Serif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3"/>
      <color rgb="FF000000"/>
      <name val="Arial"/>
      <family val="2"/>
    </font>
    <font>
      <b/>
      <sz val="11"/>
      <color rgb="FF000000"/>
      <name val="Arial"/>
      <family val="2"/>
    </font>
    <font>
      <b/>
      <sz val="10"/>
      <color rgb="FF000000"/>
      <name val="Arial"/>
      <family val="2"/>
    </font>
    <font>
      <sz val="7"/>
      <color rgb="FF000000"/>
      <name val="Arial"/>
      <family val="2"/>
    </font>
    <font>
      <sz val="6"/>
      <color rgb="FF000000"/>
      <name val="Arial"/>
      <family val="2"/>
    </font>
    <font>
      <sz val="8"/>
      <color rgb="FF000000"/>
      <name val="Arial"/>
      <family val="2"/>
    </font>
    <font>
      <b/>
      <sz val="9"/>
      <color rgb="FF000000"/>
      <name val="Arial"/>
      <family val="2"/>
    </font>
    <font>
      <sz val="8"/>
      <color rgb="FF000000"/>
      <name val="Tahoma"/>
      <family val="2"/>
    </font>
    <font>
      <b/>
      <sz val="10"/>
      <color rgb="FF000000"/>
      <name val="Microsoft Sans Serif"/>
      <family val="2"/>
    </font>
    <font>
      <b/>
      <u/>
      <sz val="8"/>
      <color rgb="FF000000"/>
      <name val="Microsoft Sans Serif"/>
      <family val="2"/>
    </font>
    <font>
      <b/>
      <sz val="14"/>
      <color rgb="FF000000"/>
      <name val="Microsoft Sans Serif"/>
      <family val="2"/>
    </font>
    <font>
      <b/>
      <sz val="8"/>
      <color rgb="FF000000"/>
      <name val="Microsoft Sans Serif"/>
      <family val="2"/>
    </font>
    <font>
      <sz val="8"/>
      <color rgb="FF000000"/>
      <name val="Microsoft Sans Serif"/>
      <family val="2"/>
    </font>
    <font>
      <sz val="8"/>
      <color rgb="FFFF0000"/>
      <name val="Microsoft Sans Serif"/>
      <family val="2"/>
    </font>
    <font>
      <sz val="8"/>
      <color rgb="FF000000"/>
      <name val="Tahoma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8"/>
      <color rgb="FF000000"/>
      <name val="Tahoma"/>
      <family val="2"/>
    </font>
    <font>
      <b/>
      <sz val="8"/>
      <color theme="1"/>
      <name val="Microsoft Sans Serif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4"/>
      <color theme="0"/>
      <name val="Gotham Light"/>
    </font>
    <font>
      <sz val="14"/>
      <name val="Gotham Light"/>
    </font>
    <font>
      <b/>
      <i/>
      <u/>
      <sz val="11"/>
      <name val="Gotham Light"/>
    </font>
    <font>
      <b/>
      <sz val="11"/>
      <name val="Gotham Light"/>
    </font>
    <font>
      <sz val="11"/>
      <name val="Gotham Light"/>
    </font>
    <font>
      <b/>
      <sz val="14"/>
      <color rgb="FF0070C0"/>
      <name val="Gotham Bold"/>
    </font>
    <font>
      <b/>
      <sz val="11"/>
      <color indexed="17"/>
      <name val="Gotham Light"/>
    </font>
    <font>
      <sz val="11"/>
      <color theme="9" tint="-0.499984740745262"/>
      <name val="Gotham Light"/>
    </font>
    <font>
      <b/>
      <sz val="13"/>
      <color indexed="53"/>
      <name val="Gotham Light"/>
    </font>
    <font>
      <b/>
      <sz val="12"/>
      <color theme="0"/>
      <name val="Gotham Light"/>
    </font>
    <font>
      <b/>
      <sz val="11"/>
      <color indexed="53"/>
      <name val="Gotham Light"/>
    </font>
    <font>
      <sz val="11"/>
      <color indexed="12"/>
      <name val="Gotham Light"/>
    </font>
    <font>
      <b/>
      <sz val="11"/>
      <color indexed="12"/>
      <name val="Gotham Light"/>
    </font>
    <font>
      <sz val="13"/>
      <name val="Gotham Light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8"/>
      <color rgb="FF000000"/>
      <name val="Tahoma"/>
      <family val="2"/>
    </font>
    <font>
      <sz val="10"/>
      <color rgb="FF000000"/>
      <name val="Times New Roman"/>
      <family val="1"/>
    </font>
    <font>
      <b/>
      <sz val="12"/>
      <color theme="1"/>
      <name val="Arial"/>
      <family val="2"/>
    </font>
    <font>
      <b/>
      <sz val="10"/>
      <color indexed="8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u/>
      <sz val="9"/>
      <name val="Arial"/>
      <family val="2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"/>
      <color rgb="FF003192"/>
      <name val="Arial"/>
      <family val="2"/>
    </font>
    <font>
      <sz val="9"/>
      <name val="Calibri"/>
      <family val="2"/>
      <scheme val="minor"/>
    </font>
    <font>
      <b/>
      <sz val="9"/>
      <color rgb="FFFF0000"/>
      <name val="Arial"/>
      <family val="2"/>
    </font>
    <font>
      <sz val="9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sz val="9"/>
      <color rgb="FF000000"/>
      <name val="Arial"/>
      <family val="2"/>
    </font>
    <font>
      <b/>
      <sz val="9"/>
      <color rgb="FFC00000"/>
      <name val="Arial"/>
      <family val="2"/>
    </font>
    <font>
      <sz val="11"/>
      <color rgb="FF000000"/>
      <name val="Calibri"/>
      <family val="2"/>
    </font>
    <font>
      <b/>
      <sz val="9"/>
      <color rgb="FF00B0F0"/>
      <name val="Arial"/>
      <family val="2"/>
    </font>
    <font>
      <sz val="5"/>
      <color theme="1"/>
      <name val="Arial"/>
      <family val="2"/>
    </font>
    <font>
      <b/>
      <i/>
      <sz val="5"/>
      <color theme="1"/>
      <name val="Arial"/>
      <family val="2"/>
    </font>
    <font>
      <b/>
      <vertAlign val="superscript"/>
      <sz val="9"/>
      <color theme="1"/>
      <name val="Arial"/>
      <family val="2"/>
    </font>
    <font>
      <b/>
      <sz val="9"/>
      <color theme="1"/>
      <name val="Calibri"/>
      <family val="2"/>
      <scheme val="minor"/>
    </font>
    <font>
      <b/>
      <sz val="7"/>
      <color rgb="FF000000"/>
      <name val="Arial"/>
      <family val="2"/>
    </font>
    <font>
      <sz val="6.5"/>
      <color rgb="FF000000"/>
      <name val="Arial"/>
      <family val="2"/>
    </font>
    <font>
      <sz val="1"/>
      <color rgb="FF000000"/>
      <name val="Arial"/>
      <family val="2"/>
    </font>
    <font>
      <b/>
      <u/>
      <sz val="8"/>
      <color rgb="FF000000"/>
      <name val="Arial"/>
      <family val="2"/>
    </font>
    <font>
      <sz val="7"/>
      <color rgb="FFFF0000"/>
      <name val="Arial"/>
      <family val="2"/>
    </font>
    <font>
      <b/>
      <sz val="6"/>
      <name val="Arial"/>
      <family val="2"/>
    </font>
    <font>
      <sz val="7"/>
      <color indexed="21"/>
      <name val="Arial"/>
      <family val="2"/>
    </font>
    <font>
      <b/>
      <sz val="7"/>
      <color indexed="8"/>
      <name val="Arial"/>
      <family val="2"/>
    </font>
    <font>
      <sz val="7"/>
      <color indexed="12"/>
      <name val="Arial"/>
      <family val="2"/>
    </font>
    <font>
      <sz val="8"/>
      <color theme="1"/>
      <name val="Calibri"/>
      <family val="2"/>
      <scheme val="minor"/>
    </font>
    <font>
      <sz val="7"/>
      <color indexed="10"/>
      <name val="Arial"/>
      <family val="2"/>
    </font>
    <font>
      <b/>
      <sz val="7"/>
      <color indexed="10"/>
      <name val="Arial"/>
      <family val="2"/>
    </font>
  </fonts>
  <fills count="4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33993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7C3B0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FF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2060"/>
        <bgColor indexed="64"/>
      </patternFill>
    </fill>
  </fills>
  <borders count="7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theme="0" tint="-0.499984740745262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double">
        <color rgb="FF000000"/>
      </top>
      <bottom/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144">
    <xf numFmtId="0" fontId="0" fillId="0" borderId="0"/>
    <xf numFmtId="0" fontId="17" fillId="2" borderId="0" applyNumberFormat="0" applyBorder="0" applyAlignment="0" applyProtection="0"/>
    <xf numFmtId="0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5" borderId="0" applyNumberFormat="0" applyBorder="0" applyAlignment="0" applyProtection="0"/>
    <xf numFmtId="0" fontId="17" fillId="8" borderId="0" applyNumberFormat="0" applyBorder="0" applyAlignment="0" applyProtection="0"/>
    <xf numFmtId="0" fontId="17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9" fillId="4" borderId="0" applyNumberFormat="0" applyBorder="0" applyAlignment="0" applyProtection="0"/>
    <xf numFmtId="0" fontId="20" fillId="16" borderId="1" applyNumberFormat="0" applyAlignment="0" applyProtection="0"/>
    <xf numFmtId="0" fontId="21" fillId="17" borderId="2" applyNumberFormat="0" applyAlignment="0" applyProtection="0"/>
    <xf numFmtId="0" fontId="22" fillId="0" borderId="3" applyNumberFormat="0" applyFill="0" applyAlignment="0" applyProtection="0"/>
    <xf numFmtId="0" fontId="23" fillId="0" borderId="0" applyNumberFormat="0" applyFill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21" borderId="0" applyNumberFormat="0" applyBorder="0" applyAlignment="0" applyProtection="0"/>
    <xf numFmtId="0" fontId="24" fillId="7" borderId="1" applyNumberFormat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25" fillId="3" borderId="0" applyNumberFormat="0" applyBorder="0" applyAlignment="0" applyProtection="0"/>
    <xf numFmtId="165" fontId="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5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26" fillId="22" borderId="0" applyNumberFormat="0" applyBorder="0" applyAlignment="0" applyProtection="0"/>
    <xf numFmtId="0" fontId="9" fillId="0" borderId="0"/>
    <xf numFmtId="0" fontId="15" fillId="23" borderId="4" applyNumberFormat="0" applyFont="0" applyAlignment="0" applyProtection="0"/>
    <xf numFmtId="9" fontId="49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7" fillId="0" borderId="0" applyFont="0" applyFill="0" applyBorder="0" applyAlignment="0" applyProtection="0"/>
    <xf numFmtId="38" fontId="9" fillId="0" borderId="0"/>
    <xf numFmtId="0" fontId="27" fillId="16" borderId="5" applyNumberFormat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6" applyNumberFormat="0" applyFill="0" applyAlignment="0" applyProtection="0"/>
    <xf numFmtId="0" fontId="32" fillId="0" borderId="7" applyNumberFormat="0" applyFill="0" applyAlignment="0" applyProtection="0"/>
    <xf numFmtId="0" fontId="23" fillId="0" borderId="8" applyNumberFormat="0" applyFill="0" applyAlignment="0" applyProtection="0"/>
    <xf numFmtId="0" fontId="33" fillId="0" borderId="9" applyNumberFormat="0" applyFill="0" applyAlignment="0" applyProtection="0"/>
    <xf numFmtId="43" fontId="58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1" fillId="0" borderId="0" applyFont="0" applyFill="0" applyBorder="0" applyAlignment="0" applyProtection="0"/>
    <xf numFmtId="9" fontId="6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172" fontId="9" fillId="0" borderId="0"/>
    <xf numFmtId="0" fontId="7" fillId="0" borderId="0"/>
    <xf numFmtId="43" fontId="17" fillId="0" borderId="0" applyFont="0" applyFill="0" applyBorder="0" applyAlignment="0" applyProtection="0"/>
    <xf numFmtId="0" fontId="103" fillId="0" borderId="0"/>
    <xf numFmtId="43" fontId="108" fillId="0" borderId="0" applyFont="0" applyFill="0" applyBorder="0" applyAlignment="0" applyProtection="0"/>
    <xf numFmtId="9" fontId="108" fillId="0" borderId="0" applyFont="0" applyFill="0" applyBorder="0" applyAlignment="0" applyProtection="0"/>
    <xf numFmtId="43" fontId="109" fillId="0" borderId="0" applyFont="0" applyFill="0" applyBorder="0" applyAlignment="0" applyProtection="0"/>
    <xf numFmtId="9" fontId="109" fillId="0" borderId="0" applyFont="0" applyFill="0" applyBorder="0" applyAlignment="0" applyProtection="0"/>
    <xf numFmtId="0" fontId="110" fillId="0" borderId="0"/>
    <xf numFmtId="0" fontId="111" fillId="0" borderId="0">
      <alignment vertical="top"/>
    </xf>
    <xf numFmtId="43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0" fontId="113" fillId="0" borderId="0">
      <alignment vertical="top"/>
    </xf>
    <xf numFmtId="43" fontId="114" fillId="0" borderId="0" applyFont="0" applyFill="0" applyBorder="0" applyAlignment="0" applyProtection="0"/>
    <xf numFmtId="9" fontId="114" fillId="0" borderId="0" applyFont="0" applyFill="0" applyBorder="0" applyAlignment="0" applyProtection="0"/>
    <xf numFmtId="43" fontId="116" fillId="0" borderId="0" applyFont="0" applyFill="0" applyBorder="0" applyAlignment="0" applyProtection="0"/>
    <xf numFmtId="9" fontId="116" fillId="0" borderId="0" applyFont="0" applyFill="0" applyBorder="0" applyAlignment="0" applyProtection="0"/>
    <xf numFmtId="0" fontId="117" fillId="0" borderId="0">
      <alignment vertical="top"/>
    </xf>
    <xf numFmtId="0" fontId="118" fillId="0" borderId="0">
      <alignment vertical="top"/>
    </xf>
    <xf numFmtId="0" fontId="119" fillId="0" borderId="0"/>
    <xf numFmtId="0" fontId="120" fillId="0" borderId="0">
      <alignment vertical="top"/>
    </xf>
    <xf numFmtId="0" fontId="121" fillId="0" borderId="0">
      <alignment vertical="top"/>
    </xf>
    <xf numFmtId="0" fontId="6" fillId="0" borderId="0"/>
    <xf numFmtId="43" fontId="6" fillId="0" borderId="0" applyFont="0" applyFill="0" applyBorder="0" applyAlignment="0" applyProtection="0"/>
    <xf numFmtId="43" fontId="122" fillId="0" borderId="0" applyFont="0" applyFill="0" applyBorder="0" applyAlignment="0" applyProtection="0"/>
    <xf numFmtId="9" fontId="122" fillId="0" borderId="0" applyFont="0" applyFill="0" applyBorder="0" applyAlignment="0" applyProtection="0"/>
    <xf numFmtId="0" fontId="123" fillId="0" borderId="0">
      <alignment vertical="top"/>
    </xf>
    <xf numFmtId="0" fontId="124" fillId="0" borderId="0"/>
    <xf numFmtId="43" fontId="125" fillId="0" borderId="0" applyFont="0" applyFill="0" applyBorder="0" applyAlignment="0" applyProtection="0"/>
    <xf numFmtId="9" fontId="125" fillId="0" borderId="0" applyFont="0" applyFill="0" applyBorder="0" applyAlignment="0" applyProtection="0"/>
    <xf numFmtId="43" fontId="126" fillId="0" borderId="0" applyFont="0" applyFill="0" applyBorder="0" applyAlignment="0" applyProtection="0"/>
    <xf numFmtId="9" fontId="126" fillId="0" borderId="0" applyFont="0" applyFill="0" applyBorder="0" applyAlignment="0" applyProtection="0"/>
    <xf numFmtId="43" fontId="127" fillId="0" borderId="0" applyFont="0" applyFill="0" applyBorder="0" applyAlignment="0" applyProtection="0"/>
    <xf numFmtId="9" fontId="127" fillId="0" borderId="0" applyFont="0" applyFill="0" applyBorder="0" applyAlignment="0" applyProtection="0"/>
    <xf numFmtId="0" fontId="128" fillId="0" borderId="0">
      <alignment vertical="top"/>
    </xf>
    <xf numFmtId="0" fontId="129" fillId="0" borderId="0">
      <alignment vertical="top"/>
    </xf>
    <xf numFmtId="0" fontId="130" fillId="0" borderId="0">
      <alignment vertical="top"/>
    </xf>
    <xf numFmtId="0" fontId="131" fillId="0" borderId="0">
      <alignment vertical="top"/>
    </xf>
    <xf numFmtId="43" fontId="132" fillId="0" borderId="0" applyFont="0" applyFill="0" applyBorder="0" applyAlignment="0" applyProtection="0"/>
    <xf numFmtId="9" fontId="132" fillId="0" borderId="0" applyFont="0" applyFill="0" applyBorder="0" applyAlignment="0" applyProtection="0"/>
    <xf numFmtId="0" fontId="140" fillId="0" borderId="0"/>
    <xf numFmtId="0" fontId="3" fillId="0" borderId="0"/>
    <xf numFmtId="0" fontId="147" fillId="0" borderId="0"/>
    <xf numFmtId="0" fontId="148" fillId="0" borderId="0">
      <alignment vertical="top"/>
    </xf>
    <xf numFmtId="0" fontId="149" fillId="0" borderId="0">
      <alignment vertical="top"/>
    </xf>
    <xf numFmtId="0" fontId="150" fillId="0" borderId="0"/>
    <xf numFmtId="0" fontId="152" fillId="0" borderId="0">
      <alignment vertical="top"/>
    </xf>
    <xf numFmtId="0" fontId="153" fillId="0" borderId="0"/>
    <xf numFmtId="43" fontId="168" fillId="0" borderId="0" applyFont="0" applyFill="0" applyBorder="0" applyAlignment="0" applyProtection="0"/>
    <xf numFmtId="9" fontId="168" fillId="0" borderId="0" applyFont="0" applyFill="0" applyBorder="0" applyAlignment="0" applyProtection="0"/>
    <xf numFmtId="0" fontId="169" fillId="0" borderId="0">
      <alignment vertical="top"/>
    </xf>
    <xf numFmtId="0" fontId="170" fillId="0" borderId="0">
      <alignment vertical="top"/>
    </xf>
    <xf numFmtId="9" fontId="9" fillId="0" borderId="0" applyFont="0" applyFill="0" applyBorder="0" applyAlignment="0" applyProtection="0"/>
    <xf numFmtId="43" fontId="171" fillId="0" borderId="0" applyFont="0" applyFill="0" applyBorder="0" applyAlignment="0" applyProtection="0"/>
    <xf numFmtId="9" fontId="171" fillId="0" borderId="0" applyFont="0" applyFill="0" applyBorder="0" applyAlignment="0" applyProtection="0"/>
    <xf numFmtId="0" fontId="172" fillId="0" borderId="0"/>
    <xf numFmtId="0" fontId="173" fillId="0" borderId="0"/>
    <xf numFmtId="43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0" fontId="2" fillId="0" borderId="0"/>
  </cellStyleXfs>
  <cellXfs count="2042">
    <xf numFmtId="0" fontId="0" fillId="0" borderId="0" xfId="0"/>
    <xf numFmtId="0" fontId="10" fillId="0" borderId="0" xfId="0" applyFont="1"/>
    <xf numFmtId="0" fontId="12" fillId="0" borderId="0" xfId="0" applyFont="1"/>
    <xf numFmtId="0" fontId="11" fillId="0" borderId="0" xfId="0" applyFont="1"/>
    <xf numFmtId="165" fontId="0" fillId="0" borderId="0" xfId="33" applyFont="1"/>
    <xf numFmtId="166" fontId="10" fillId="0" borderId="0" xfId="33" applyNumberFormat="1" applyFont="1"/>
    <xf numFmtId="166" fontId="0" fillId="0" borderId="0" xfId="33" applyNumberFormat="1" applyFont="1"/>
    <xf numFmtId="0" fontId="15" fillId="0" borderId="0" xfId="0" applyFont="1"/>
    <xf numFmtId="0" fontId="12" fillId="0" borderId="0" xfId="0" applyFont="1" applyAlignment="1">
      <alignment horizontal="center"/>
    </xf>
    <xf numFmtId="166" fontId="12" fillId="0" borderId="0" xfId="33" applyNumberFormat="1" applyFont="1"/>
    <xf numFmtId="166" fontId="8" fillId="0" borderId="0" xfId="33" applyNumberFormat="1" applyFont="1"/>
    <xf numFmtId="166" fontId="12" fillId="0" borderId="0" xfId="33" applyNumberFormat="1" applyFont="1" applyAlignment="1">
      <alignment horizontal="center"/>
    </xf>
    <xf numFmtId="166" fontId="8" fillId="0" borderId="0" xfId="33" applyNumberFormat="1" applyFont="1" applyAlignment="1">
      <alignment horizontal="center"/>
    </xf>
    <xf numFmtId="166" fontId="9" fillId="0" borderId="0" xfId="33" applyNumberFormat="1"/>
    <xf numFmtId="166" fontId="15" fillId="0" borderId="0" xfId="33" applyNumberFormat="1" applyFont="1"/>
    <xf numFmtId="4" fontId="12" fillId="0" borderId="0" xfId="0" applyNumberFormat="1" applyFont="1"/>
    <xf numFmtId="0" fontId="0" fillId="0" borderId="10" xfId="0" applyBorder="1"/>
    <xf numFmtId="0" fontId="11" fillId="0" borderId="0" xfId="0" applyFont="1" applyAlignment="1">
      <alignment horizontal="center"/>
    </xf>
    <xf numFmtId="0" fontId="11" fillId="0" borderId="10" xfId="0" applyFont="1" applyBorder="1"/>
    <xf numFmtId="0" fontId="11" fillId="0" borderId="11" xfId="0" applyFont="1" applyBorder="1"/>
    <xf numFmtId="0" fontId="10" fillId="0" borderId="10" xfId="0" applyFont="1" applyBorder="1"/>
    <xf numFmtId="0" fontId="10" fillId="0" borderId="11" xfId="0" applyFont="1" applyBorder="1"/>
    <xf numFmtId="0" fontId="11" fillId="0" borderId="10" xfId="0" applyFont="1" applyBorder="1" applyAlignment="1">
      <alignment horizontal="left"/>
    </xf>
    <xf numFmtId="166" fontId="10" fillId="0" borderId="12" xfId="33" applyNumberFormat="1" applyFont="1" applyBorder="1"/>
    <xf numFmtId="0" fontId="12" fillId="0" borderId="13" xfId="0" applyFont="1" applyBorder="1"/>
    <xf numFmtId="0" fontId="12" fillId="0" borderId="14" xfId="0" applyFont="1" applyBorder="1"/>
    <xf numFmtId="4" fontId="15" fillId="0" borderId="0" xfId="0" applyNumberFormat="1" applyFont="1"/>
    <xf numFmtId="4" fontId="12" fillId="0" borderId="15" xfId="0" applyNumberFormat="1" applyFont="1" applyBorder="1"/>
    <xf numFmtId="0" fontId="12" fillId="0" borderId="10" xfId="0" applyFont="1" applyBorder="1" applyAlignment="1">
      <alignment horizontal="center"/>
    </xf>
    <xf numFmtId="0" fontId="12" fillId="0" borderId="11" xfId="0" applyFont="1" applyBorder="1" applyAlignment="1">
      <alignment horizontal="center"/>
    </xf>
    <xf numFmtId="0" fontId="15" fillId="0" borderId="11" xfId="0" applyFont="1" applyBorder="1"/>
    <xf numFmtId="0" fontId="12" fillId="0" borderId="15" xfId="0" applyFont="1" applyBorder="1"/>
    <xf numFmtId="0" fontId="15" fillId="0" borderId="10" xfId="0" applyFont="1" applyBorder="1"/>
    <xf numFmtId="4" fontId="15" fillId="0" borderId="11" xfId="0" applyNumberFormat="1" applyFont="1" applyBorder="1"/>
    <xf numFmtId="166" fontId="12" fillId="0" borderId="14" xfId="33" applyNumberFormat="1" applyFont="1" applyBorder="1"/>
    <xf numFmtId="0" fontId="12" fillId="0" borderId="10" xfId="0" applyFont="1" applyBorder="1"/>
    <xf numFmtId="166" fontId="11" fillId="0" borderId="0" xfId="33" applyNumberFormat="1" applyFont="1" applyAlignment="1">
      <alignment horizontal="center"/>
    </xf>
    <xf numFmtId="166" fontId="11" fillId="0" borderId="12" xfId="33" applyNumberFormat="1" applyFont="1" applyBorder="1"/>
    <xf numFmtId="166" fontId="11" fillId="0" borderId="0" xfId="33" applyNumberFormat="1" applyFont="1"/>
    <xf numFmtId="166" fontId="12" fillId="0" borderId="16" xfId="33" applyNumberFormat="1" applyFont="1" applyBorder="1"/>
    <xf numFmtId="166" fontId="12" fillId="0" borderId="17" xfId="33" applyNumberFormat="1" applyFont="1" applyBorder="1"/>
    <xf numFmtId="166" fontId="9" fillId="0" borderId="12" xfId="33" applyNumberFormat="1" applyBorder="1"/>
    <xf numFmtId="166" fontId="9" fillId="0" borderId="16" xfId="33" applyNumberFormat="1" applyBorder="1"/>
    <xf numFmtId="166" fontId="12" fillId="0" borderId="0" xfId="47" applyNumberFormat="1" applyFont="1"/>
    <xf numFmtId="166" fontId="12" fillId="0" borderId="0" xfId="0" applyNumberFormat="1" applyFont="1"/>
    <xf numFmtId="0" fontId="0" fillId="0" borderId="0" xfId="0" applyAlignment="1">
      <alignment horizontal="right"/>
    </xf>
    <xf numFmtId="4" fontId="0" fillId="0" borderId="0" xfId="0" applyNumberFormat="1" applyAlignment="1">
      <alignment horizontal="right"/>
    </xf>
    <xf numFmtId="0" fontId="12" fillId="24" borderId="13" xfId="0" applyFont="1" applyFill="1" applyBorder="1"/>
    <xf numFmtId="0" fontId="12" fillId="24" borderId="14" xfId="0" applyFont="1" applyFill="1" applyBorder="1"/>
    <xf numFmtId="166" fontId="15" fillId="0" borderId="16" xfId="33" applyNumberFormat="1" applyFont="1" applyBorder="1"/>
    <xf numFmtId="166" fontId="9" fillId="0" borderId="18" xfId="33" applyNumberFormat="1" applyBorder="1"/>
    <xf numFmtId="166" fontId="15" fillId="0" borderId="12" xfId="33" applyNumberFormat="1" applyFont="1" applyBorder="1"/>
    <xf numFmtId="0" fontId="13" fillId="24" borderId="13" xfId="0" applyFont="1" applyFill="1" applyBorder="1"/>
    <xf numFmtId="0" fontId="13" fillId="24" borderId="14" xfId="0" applyFont="1" applyFill="1" applyBorder="1"/>
    <xf numFmtId="0" fontId="13" fillId="24" borderId="15" xfId="0" applyFont="1" applyFill="1" applyBorder="1"/>
    <xf numFmtId="0" fontId="0" fillId="24" borderId="14" xfId="0" applyFill="1" applyBorder="1"/>
    <xf numFmtId="0" fontId="15" fillId="24" borderId="15" xfId="0" applyFont="1" applyFill="1" applyBorder="1"/>
    <xf numFmtId="166" fontId="0" fillId="0" borderId="0" xfId="33" applyNumberFormat="1" applyFont="1" applyAlignment="1">
      <alignment horizontal="right"/>
    </xf>
    <xf numFmtId="166" fontId="12" fillId="0" borderId="0" xfId="33" applyNumberFormat="1" applyFont="1" applyAlignment="1">
      <alignment horizontal="right"/>
    </xf>
    <xf numFmtId="166" fontId="12" fillId="24" borderId="15" xfId="33" applyNumberFormat="1" applyFont="1" applyFill="1" applyBorder="1"/>
    <xf numFmtId="0" fontId="12" fillId="24" borderId="17" xfId="0" applyFont="1" applyFill="1" applyBorder="1"/>
    <xf numFmtId="166" fontId="12" fillId="24" borderId="17" xfId="33" applyNumberFormat="1" applyFont="1" applyFill="1" applyBorder="1"/>
    <xf numFmtId="166" fontId="13" fillId="24" borderId="14" xfId="0" applyNumberFormat="1" applyFont="1" applyFill="1" applyBorder="1"/>
    <xf numFmtId="166" fontId="12" fillId="0" borderId="0" xfId="0" applyNumberFormat="1" applyFont="1" applyAlignment="1">
      <alignment horizontal="center"/>
    </xf>
    <xf numFmtId="166" fontId="15" fillId="0" borderId="0" xfId="33" applyNumberFormat="1" applyFont="1" applyAlignment="1">
      <alignment horizontal="center"/>
    </xf>
    <xf numFmtId="166" fontId="12" fillId="0" borderId="14" xfId="33" applyNumberFormat="1" applyFont="1" applyBorder="1" applyAlignment="1">
      <alignment horizontal="center"/>
    </xf>
    <xf numFmtId="166" fontId="12" fillId="0" borderId="14" xfId="47" applyNumberFormat="1" applyFont="1" applyBorder="1"/>
    <xf numFmtId="166" fontId="0" fillId="24" borderId="14" xfId="33" applyNumberFormat="1" applyFont="1" applyFill="1" applyBorder="1"/>
    <xf numFmtId="166" fontId="0" fillId="0" borderId="0" xfId="0" applyNumberFormat="1"/>
    <xf numFmtId="4" fontId="16" fillId="0" borderId="0" xfId="0" applyNumberFormat="1" applyFont="1" applyAlignment="1">
      <alignment horizontal="right"/>
    </xf>
    <xf numFmtId="0" fontId="13" fillId="0" borderId="0" xfId="0" applyFont="1"/>
    <xf numFmtId="167" fontId="12" fillId="0" borderId="17" xfId="47" applyNumberFormat="1" applyFont="1" applyBorder="1"/>
    <xf numFmtId="0" fontId="12" fillId="0" borderId="17" xfId="0" applyFont="1" applyBorder="1"/>
    <xf numFmtId="0" fontId="9" fillId="0" borderId="0" xfId="0" applyFont="1"/>
    <xf numFmtId="43" fontId="0" fillId="0" borderId="0" xfId="0" applyNumberFormat="1"/>
    <xf numFmtId="0" fontId="0" fillId="0" borderId="19" xfId="0" applyBorder="1"/>
    <xf numFmtId="0" fontId="0" fillId="0" borderId="20" xfId="0" applyBorder="1"/>
    <xf numFmtId="166" fontId="0" fillId="0" borderId="19" xfId="33" applyNumberFormat="1" applyFont="1" applyBorder="1"/>
    <xf numFmtId="0" fontId="15" fillId="0" borderId="0" xfId="0" applyFont="1" applyAlignment="1">
      <alignment horizontal="left"/>
    </xf>
    <xf numFmtId="0" fontId="9" fillId="0" borderId="10" xfId="0" applyFont="1" applyBorder="1"/>
    <xf numFmtId="166" fontId="12" fillId="0" borderId="12" xfId="0" applyNumberFormat="1" applyFont="1" applyBorder="1"/>
    <xf numFmtId="0" fontId="12" fillId="25" borderId="17" xfId="0" applyFont="1" applyFill="1" applyBorder="1" applyAlignment="1">
      <alignment horizontal="center"/>
    </xf>
    <xf numFmtId="0" fontId="12" fillId="25" borderId="13" xfId="0" applyFont="1" applyFill="1" applyBorder="1"/>
    <xf numFmtId="166" fontId="12" fillId="0" borderId="17" xfId="0" applyNumberFormat="1" applyFont="1" applyBorder="1"/>
    <xf numFmtId="0" fontId="0" fillId="0" borderId="12" xfId="0" applyBorder="1"/>
    <xf numFmtId="166" fontId="12" fillId="0" borderId="16" xfId="0" applyNumberFormat="1" applyFont="1" applyBorder="1"/>
    <xf numFmtId="0" fontId="9" fillId="0" borderId="11" xfId="0" applyFont="1" applyBorder="1"/>
    <xf numFmtId="166" fontId="9" fillId="0" borderId="0" xfId="33" applyNumberFormat="1" applyAlignment="1">
      <alignment horizontal="right"/>
    </xf>
    <xf numFmtId="166" fontId="13" fillId="0" borderId="0" xfId="33" applyNumberFormat="1" applyFont="1"/>
    <xf numFmtId="0" fontId="9" fillId="0" borderId="17" xfId="0" applyFont="1" applyBorder="1" applyAlignment="1">
      <alignment horizontal="center"/>
    </xf>
    <xf numFmtId="0" fontId="9" fillId="0" borderId="17" xfId="0" applyFont="1" applyBorder="1"/>
    <xf numFmtId="0" fontId="50" fillId="0" borderId="0" xfId="0" applyFont="1"/>
    <xf numFmtId="0" fontId="9" fillId="0" borderId="17" xfId="49" applyBorder="1"/>
    <xf numFmtId="166" fontId="9" fillId="0" borderId="17" xfId="33" applyNumberFormat="1" applyBorder="1"/>
    <xf numFmtId="0" fontId="9" fillId="26" borderId="17" xfId="0" applyFont="1" applyFill="1" applyBorder="1"/>
    <xf numFmtId="0" fontId="11" fillId="26" borderId="13" xfId="0" applyFont="1" applyFill="1" applyBorder="1" applyAlignment="1">
      <alignment horizontal="left"/>
    </xf>
    <xf numFmtId="0" fontId="11" fillId="26" borderId="15" xfId="0" applyFont="1" applyFill="1" applyBorder="1"/>
    <xf numFmtId="166" fontId="11" fillId="26" borderId="17" xfId="33" applyNumberFormat="1" applyFont="1" applyFill="1" applyBorder="1"/>
    <xf numFmtId="166" fontId="12" fillId="26" borderId="25" xfId="33" applyNumberFormat="1" applyFont="1" applyFill="1" applyBorder="1"/>
    <xf numFmtId="0" fontId="12" fillId="0" borderId="13" xfId="0" applyFont="1" applyBorder="1" applyAlignment="1">
      <alignment horizontal="left"/>
    </xf>
    <xf numFmtId="166" fontId="12" fillId="0" borderId="15" xfId="33" applyNumberFormat="1" applyFont="1" applyBorder="1"/>
    <xf numFmtId="0" fontId="13" fillId="26" borderId="26" xfId="0" applyFont="1" applyFill="1" applyBorder="1"/>
    <xf numFmtId="166" fontId="13" fillId="26" borderId="27" xfId="33" applyNumberFormat="1" applyFont="1" applyFill="1" applyBorder="1"/>
    <xf numFmtId="0" fontId="36" fillId="0" borderId="0" xfId="0" applyFont="1"/>
    <xf numFmtId="0" fontId="53" fillId="0" borderId="0" xfId="0" applyFont="1"/>
    <xf numFmtId="166" fontId="52" fillId="0" borderId="0" xfId="33" applyNumberFormat="1" applyFont="1" applyAlignment="1">
      <alignment horizontal="right"/>
    </xf>
    <xf numFmtId="0" fontId="9" fillId="0" borderId="16" xfId="0" applyFont="1" applyBorder="1" applyAlignment="1">
      <alignment horizontal="center"/>
    </xf>
    <xf numFmtId="0" fontId="9" fillId="0" borderId="16" xfId="0" applyFont="1" applyBorder="1"/>
    <xf numFmtId="0" fontId="9" fillId="0" borderId="18" xfId="0" applyFont="1" applyBorder="1" applyAlignment="1">
      <alignment horizontal="center"/>
    </xf>
    <xf numFmtId="0" fontId="9" fillId="0" borderId="18" xfId="0" applyFont="1" applyBorder="1"/>
    <xf numFmtId="0" fontId="9" fillId="26" borderId="17" xfId="0" applyFont="1" applyFill="1" applyBorder="1" applyAlignment="1">
      <alignment horizontal="center"/>
    </xf>
    <xf numFmtId="0" fontId="12" fillId="26" borderId="17" xfId="0" applyFont="1" applyFill="1" applyBorder="1" applyAlignment="1">
      <alignment horizontal="left"/>
    </xf>
    <xf numFmtId="0" fontId="50" fillId="26" borderId="17" xfId="0" applyFont="1" applyFill="1" applyBorder="1"/>
    <xf numFmtId="0" fontId="12" fillId="26" borderId="17" xfId="0" applyFont="1" applyFill="1" applyBorder="1"/>
    <xf numFmtId="0" fontId="9" fillId="0" borderId="0" xfId="0" applyFont="1" applyAlignment="1">
      <alignment horizontal="center"/>
    </xf>
    <xf numFmtId="0" fontId="12" fillId="0" borderId="0" xfId="0" applyFont="1" applyAlignment="1">
      <alignment horizontal="left"/>
    </xf>
    <xf numFmtId="0" fontId="12" fillId="26" borderId="17" xfId="0" applyFont="1" applyFill="1" applyBorder="1" applyAlignment="1">
      <alignment horizontal="center"/>
    </xf>
    <xf numFmtId="166" fontId="12" fillId="26" borderId="17" xfId="0" applyNumberFormat="1" applyFont="1" applyFill="1" applyBorder="1"/>
    <xf numFmtId="0" fontId="52" fillId="0" borderId="0" xfId="0" applyFont="1" applyAlignment="1">
      <alignment horizontal="left"/>
    </xf>
    <xf numFmtId="0" fontId="53" fillId="0" borderId="0" xfId="0" applyFont="1" applyAlignment="1">
      <alignment horizontal="center"/>
    </xf>
    <xf numFmtId="166" fontId="12" fillId="26" borderId="17" xfId="33" applyNumberFormat="1" applyFont="1" applyFill="1" applyBorder="1"/>
    <xf numFmtId="167" fontId="12" fillId="0" borderId="0" xfId="47" applyNumberFormat="1" applyFont="1"/>
    <xf numFmtId="166" fontId="53" fillId="0" borderId="0" xfId="33" applyNumberFormat="1" applyFont="1"/>
    <xf numFmtId="166" fontId="16" fillId="0" borderId="0" xfId="33" applyNumberFormat="1" applyFont="1"/>
    <xf numFmtId="166" fontId="9" fillId="0" borderId="0" xfId="0" applyNumberFormat="1" applyFont="1"/>
    <xf numFmtId="165" fontId="9" fillId="0" borderId="0" xfId="33"/>
    <xf numFmtId="0" fontId="0" fillId="0" borderId="17" xfId="0" applyBorder="1"/>
    <xf numFmtId="43" fontId="9" fillId="0" borderId="0" xfId="0" applyNumberFormat="1" applyFont="1"/>
    <xf numFmtId="0" fontId="9" fillId="0" borderId="0" xfId="0" applyFont="1" applyAlignment="1">
      <alignment horizontal="right"/>
    </xf>
    <xf numFmtId="166" fontId="0" fillId="0" borderId="11" xfId="33" applyNumberFormat="1" applyFont="1" applyBorder="1"/>
    <xf numFmtId="166" fontId="57" fillId="0" borderId="0" xfId="33" applyNumberFormat="1" applyFont="1"/>
    <xf numFmtId="166" fontId="8" fillId="26" borderId="17" xfId="33" applyNumberFormat="1" applyFont="1" applyFill="1" applyBorder="1"/>
    <xf numFmtId="0" fontId="8" fillId="25" borderId="17" xfId="0" applyFont="1" applyFill="1" applyBorder="1" applyAlignment="1">
      <alignment horizontal="center"/>
    </xf>
    <xf numFmtId="0" fontId="8" fillId="24" borderId="17" xfId="0" applyFont="1" applyFill="1" applyBorder="1"/>
    <xf numFmtId="0" fontId="8" fillId="0" borderId="13" xfId="0" applyFont="1" applyBorder="1"/>
    <xf numFmtId="0" fontId="8" fillId="0" borderId="0" xfId="0" applyFont="1"/>
    <xf numFmtId="0" fontId="8" fillId="26" borderId="13" xfId="49" applyFont="1" applyFill="1" applyBorder="1"/>
    <xf numFmtId="0" fontId="8" fillId="26" borderId="14" xfId="49" applyFont="1" applyFill="1" applyBorder="1"/>
    <xf numFmtId="166" fontId="8" fillId="26" borderId="17" xfId="33" applyNumberFormat="1" applyFont="1" applyFill="1" applyBorder="1" applyAlignment="1">
      <alignment horizontal="center"/>
    </xf>
    <xf numFmtId="0" fontId="8" fillId="0" borderId="17" xfId="0" applyFont="1" applyBorder="1"/>
    <xf numFmtId="166" fontId="8" fillId="0" borderId="17" xfId="33" applyNumberFormat="1" applyFont="1" applyBorder="1"/>
    <xf numFmtId="0" fontId="8" fillId="0" borderId="0" xfId="0" applyFont="1" applyAlignment="1">
      <alignment horizontal="center"/>
    </xf>
    <xf numFmtId="166" fontId="8" fillId="0" borderId="0" xfId="33" applyNumberFormat="1" applyFont="1" applyAlignment="1">
      <alignment horizontal="right"/>
    </xf>
    <xf numFmtId="0" fontId="0" fillId="0" borderId="0" xfId="0" applyAlignment="1">
      <alignment horizontal="center"/>
    </xf>
    <xf numFmtId="165" fontId="8" fillId="0" borderId="0" xfId="33" applyFont="1"/>
    <xf numFmtId="0" fontId="9" fillId="0" borderId="0" xfId="0" applyFont="1" applyAlignment="1">
      <alignment horizontal="left"/>
    </xf>
    <xf numFmtId="165" fontId="9" fillId="0" borderId="0" xfId="33" applyAlignment="1">
      <alignment horizontal="center"/>
    </xf>
    <xf numFmtId="3" fontId="8" fillId="0" borderId="0" xfId="0" applyNumberFormat="1" applyFont="1"/>
    <xf numFmtId="165" fontId="0" fillId="0" borderId="0" xfId="0" applyNumberFormat="1"/>
    <xf numFmtId="0" fontId="8" fillId="26" borderId="17" xfId="0" applyFont="1" applyFill="1" applyBorder="1"/>
    <xf numFmtId="166" fontId="8" fillId="26" borderId="17" xfId="0" applyNumberFormat="1" applyFont="1" applyFill="1" applyBorder="1"/>
    <xf numFmtId="167" fontId="0" fillId="0" borderId="17" xfId="47" applyNumberFormat="1" applyFont="1" applyBorder="1" applyAlignment="1">
      <alignment vertical="center"/>
    </xf>
    <xf numFmtId="10" fontId="0" fillId="0" borderId="17" xfId="70" applyNumberFormat="1" applyFont="1" applyBorder="1" applyAlignment="1">
      <alignment horizontal="center" vertical="center"/>
    </xf>
    <xf numFmtId="0" fontId="71" fillId="28" borderId="0" xfId="82" applyFont="1" applyFill="1" applyProtection="1">
      <protection locked="0"/>
    </xf>
    <xf numFmtId="0" fontId="71" fillId="28" borderId="0" xfId="82" applyFont="1" applyFill="1" applyAlignment="1" applyProtection="1">
      <alignment vertical="top"/>
      <protection locked="0"/>
    </xf>
    <xf numFmtId="0" fontId="72" fillId="28" borderId="0" xfId="82" applyFont="1" applyFill="1" applyAlignment="1" applyProtection="1">
      <alignment horizontal="right" vertical="top"/>
      <protection locked="0"/>
    </xf>
    <xf numFmtId="0" fontId="71" fillId="28" borderId="0" xfId="82" applyFont="1" applyFill="1" applyAlignment="1">
      <alignment vertical="top"/>
    </xf>
    <xf numFmtId="0" fontId="71" fillId="28" borderId="0" xfId="82" applyFont="1" applyFill="1"/>
    <xf numFmtId="0" fontId="72" fillId="28" borderId="0" xfId="82" applyFont="1" applyFill="1" applyAlignment="1">
      <alignment horizontal="right" vertical="top"/>
    </xf>
    <xf numFmtId="0" fontId="11" fillId="28" borderId="0" xfId="82" applyFont="1" applyFill="1"/>
    <xf numFmtId="0" fontId="11" fillId="28" borderId="0" xfId="84" applyNumberFormat="1" applyFont="1" applyFill="1" applyAlignment="1">
      <alignment vertical="center"/>
    </xf>
    <xf numFmtId="0" fontId="11" fillId="28" borderId="0" xfId="84" applyNumberFormat="1" applyFont="1" applyFill="1" applyAlignment="1">
      <alignment horizontal="centerContinuous" vertical="center"/>
    </xf>
    <xf numFmtId="0" fontId="11" fillId="28" borderId="0" xfId="82" applyFont="1" applyFill="1" applyAlignment="1">
      <alignment horizontal="right"/>
    </xf>
    <xf numFmtId="0" fontId="64" fillId="28" borderId="0" xfId="84" applyNumberFormat="1" applyFont="1" applyFill="1" applyAlignment="1">
      <alignment horizontal="right" vertical="top"/>
    </xf>
    <xf numFmtId="0" fontId="73" fillId="28" borderId="0" xfId="82" applyFont="1" applyFill="1" applyAlignment="1">
      <alignment vertical="top"/>
    </xf>
    <xf numFmtId="0" fontId="73" fillId="28" borderId="0" xfId="82" applyFont="1" applyFill="1"/>
    <xf numFmtId="0" fontId="11" fillId="28" borderId="10" xfId="84" applyNumberFormat="1" applyFont="1" applyFill="1" applyBorder="1" applyAlignment="1">
      <alignment vertical="center"/>
    </xf>
    <xf numFmtId="0" fontId="71" fillId="28" borderId="11" xfId="82" applyFont="1" applyFill="1" applyBorder="1"/>
    <xf numFmtId="0" fontId="71" fillId="28" borderId="10" xfId="82" applyFont="1" applyFill="1" applyBorder="1" applyAlignment="1">
      <alignment vertical="top"/>
    </xf>
    <xf numFmtId="173" fontId="10" fillId="28" borderId="0" xfId="83" applyNumberFormat="1" applyFont="1" applyFill="1" applyAlignment="1">
      <alignment vertical="top"/>
    </xf>
    <xf numFmtId="0" fontId="10" fillId="28" borderId="0" xfId="82" applyFont="1" applyFill="1" applyAlignment="1">
      <alignment vertical="top"/>
    </xf>
    <xf numFmtId="0" fontId="11" fillId="28" borderId="0" xfId="82" applyFont="1" applyFill="1" applyAlignment="1">
      <alignment vertical="top"/>
    </xf>
    <xf numFmtId="0" fontId="11" fillId="28" borderId="0" xfId="82" applyFont="1" applyFill="1" applyAlignment="1">
      <alignment vertical="top" wrapText="1"/>
    </xf>
    <xf numFmtId="3" fontId="10" fillId="28" borderId="0" xfId="82" applyNumberFormat="1" applyFont="1" applyFill="1" applyAlignment="1">
      <alignment vertical="top"/>
    </xf>
    <xf numFmtId="3" fontId="11" fillId="28" borderId="0" xfId="82" applyNumberFormat="1" applyFont="1" applyFill="1" applyAlignment="1">
      <alignment vertical="top"/>
    </xf>
    <xf numFmtId="0" fontId="75" fillId="28" borderId="0" xfId="82" applyFont="1" applyFill="1" applyAlignment="1">
      <alignment vertical="top" wrapText="1"/>
    </xf>
    <xf numFmtId="0" fontId="75" fillId="28" borderId="0" xfId="82" applyFont="1" applyFill="1" applyAlignment="1">
      <alignment vertical="top"/>
    </xf>
    <xf numFmtId="3" fontId="10" fillId="28" borderId="0" xfId="82" applyNumberFormat="1" applyFont="1" applyFill="1" applyAlignment="1" applyProtection="1">
      <alignment vertical="top"/>
      <protection locked="0"/>
    </xf>
    <xf numFmtId="0" fontId="10" fillId="28" borderId="0" xfId="82" applyFont="1" applyFill="1" applyAlignment="1">
      <alignment vertical="top" wrapText="1"/>
    </xf>
    <xf numFmtId="0" fontId="10" fillId="28" borderId="0" xfId="82" applyFont="1" applyFill="1" applyAlignment="1">
      <alignment horizontal="left" vertical="top" wrapText="1"/>
    </xf>
    <xf numFmtId="3" fontId="10" fillId="28" borderId="0" xfId="83" applyNumberFormat="1" applyFont="1" applyFill="1" applyAlignment="1">
      <alignment vertical="top"/>
    </xf>
    <xf numFmtId="0" fontId="76" fillId="28" borderId="10" xfId="82" applyFont="1" applyFill="1" applyBorder="1" applyAlignment="1">
      <alignment vertical="top"/>
    </xf>
    <xf numFmtId="0" fontId="77" fillId="28" borderId="0" xfId="82" applyFont="1" applyFill="1" applyAlignment="1">
      <alignment horizontal="right" vertical="top"/>
    </xf>
    <xf numFmtId="3" fontId="11" fillId="28" borderId="0" xfId="83" applyNumberFormat="1" applyFont="1" applyFill="1" applyAlignment="1">
      <alignment vertical="top"/>
    </xf>
    <xf numFmtId="0" fontId="11" fillId="28" borderId="0" xfId="82" applyFont="1" applyFill="1" applyAlignment="1">
      <alignment horizontal="left" vertical="top" wrapText="1"/>
    </xf>
    <xf numFmtId="0" fontId="71" fillId="28" borderId="0" xfId="82" applyFont="1" applyFill="1" applyAlignment="1">
      <alignment vertical="top" wrapText="1"/>
    </xf>
    <xf numFmtId="0" fontId="11" fillId="28" borderId="0" xfId="82" applyFont="1" applyFill="1" applyAlignment="1">
      <alignment horizontal="left" vertical="top"/>
    </xf>
    <xf numFmtId="3" fontId="79" fillId="28" borderId="0" xfId="83" applyNumberFormat="1" applyFont="1" applyFill="1" applyAlignment="1">
      <alignment vertical="top"/>
    </xf>
    <xf numFmtId="0" fontId="10" fillId="28" borderId="0" xfId="82" applyFont="1" applyFill="1" applyAlignment="1">
      <alignment horizontal="left" vertical="top"/>
    </xf>
    <xf numFmtId="0" fontId="71" fillId="28" borderId="20" xfId="82" applyFont="1" applyFill="1" applyBorder="1" applyAlignment="1">
      <alignment vertical="top"/>
    </xf>
    <xf numFmtId="0" fontId="71" fillId="28" borderId="19" xfId="82" applyFont="1" applyFill="1" applyBorder="1" applyAlignment="1">
      <alignment vertical="top"/>
    </xf>
    <xf numFmtId="0" fontId="72" fillId="28" borderId="19" xfId="82" applyFont="1" applyFill="1" applyBorder="1" applyAlignment="1">
      <alignment horizontal="right" vertical="top"/>
    </xf>
    <xf numFmtId="0" fontId="71" fillId="28" borderId="21" xfId="82" applyFont="1" applyFill="1" applyBorder="1"/>
    <xf numFmtId="0" fontId="10" fillId="28" borderId="0" xfId="82" applyFont="1" applyFill="1"/>
    <xf numFmtId="43" fontId="10" fillId="28" borderId="0" xfId="83" applyFont="1" applyFill="1"/>
    <xf numFmtId="0" fontId="10" fillId="28" borderId="0" xfId="82" applyFont="1" applyFill="1" applyAlignment="1">
      <alignment vertical="center"/>
    </xf>
    <xf numFmtId="0" fontId="71" fillId="28" borderId="19" xfId="82" applyFont="1" applyFill="1" applyBorder="1"/>
    <xf numFmtId="0" fontId="10" fillId="28" borderId="19" xfId="82" applyFont="1" applyFill="1" applyBorder="1" applyAlignment="1">
      <alignment vertical="top"/>
    </xf>
    <xf numFmtId="0" fontId="10" fillId="28" borderId="19" xfId="82" applyFont="1" applyFill="1" applyBorder="1"/>
    <xf numFmtId="43" fontId="10" fillId="28" borderId="19" xfId="83" applyFont="1" applyFill="1" applyBorder="1"/>
    <xf numFmtId="0" fontId="10" fillId="28" borderId="19" xfId="82" applyFont="1" applyFill="1" applyBorder="1" applyAlignment="1">
      <alignment vertical="center"/>
    </xf>
    <xf numFmtId="0" fontId="11" fillId="28" borderId="0" xfId="82" applyFont="1" applyFill="1" applyAlignment="1">
      <alignment horizontal="right" vertical="top"/>
    </xf>
    <xf numFmtId="43" fontId="65" fillId="28" borderId="0" xfId="83" applyFont="1" applyFill="1" applyAlignment="1">
      <alignment horizontal="right" vertical="top"/>
    </xf>
    <xf numFmtId="0" fontId="10" fillId="28" borderId="0" xfId="82" applyFont="1" applyFill="1" applyAlignment="1">
      <alignment horizontal="right"/>
    </xf>
    <xf numFmtId="43" fontId="10" fillId="28" borderId="0" xfId="83" applyFont="1" applyFill="1" applyAlignment="1">
      <alignment vertical="top"/>
    </xf>
    <xf numFmtId="0" fontId="71" fillId="28" borderId="0" xfId="82" applyFont="1" applyFill="1" applyAlignment="1" applyProtection="1">
      <alignment horizontal="right"/>
      <protection locked="0"/>
    </xf>
    <xf numFmtId="0" fontId="71" fillId="28" borderId="0" xfId="82" applyFont="1" applyFill="1" applyAlignment="1" applyProtection="1">
      <alignment wrapText="1"/>
      <protection locked="0"/>
    </xf>
    <xf numFmtId="0" fontId="71" fillId="28" borderId="0" xfId="82" applyFont="1" applyFill="1" applyAlignment="1">
      <alignment wrapText="1"/>
    </xf>
    <xf numFmtId="0" fontId="11" fillId="28" borderId="0" xfId="49" applyFont="1" applyFill="1"/>
    <xf numFmtId="0" fontId="76" fillId="28" borderId="0" xfId="82" applyFont="1" applyFill="1"/>
    <xf numFmtId="0" fontId="11" fillId="28" borderId="0" xfId="49" applyFont="1" applyFill="1" applyAlignment="1">
      <alignment horizontal="center"/>
    </xf>
    <xf numFmtId="0" fontId="11" fillId="28" borderId="0" xfId="49" applyFont="1" applyFill="1" applyAlignment="1">
      <alignment horizontal="centerContinuous"/>
    </xf>
    <xf numFmtId="0" fontId="76" fillId="28" borderId="0" xfId="82" applyFont="1" applyFill="1" applyAlignment="1">
      <alignment horizontal="center"/>
    </xf>
    <xf numFmtId="0" fontId="10" fillId="28" borderId="0" xfId="49" applyFont="1" applyFill="1" applyAlignment="1">
      <alignment horizontal="center" vertical="center"/>
    </xf>
    <xf numFmtId="0" fontId="10" fillId="28" borderId="0" xfId="49" applyFont="1" applyFill="1" applyAlignment="1">
      <alignment horizontal="center"/>
    </xf>
    <xf numFmtId="0" fontId="71" fillId="28" borderId="0" xfId="82" applyFont="1" applyFill="1" applyAlignment="1">
      <alignment horizontal="center"/>
    </xf>
    <xf numFmtId="0" fontId="71" fillId="28" borderId="10" xfId="82" applyFont="1" applyFill="1" applyBorder="1"/>
    <xf numFmtId="0" fontId="11" fillId="28" borderId="0" xfId="49" applyFont="1" applyFill="1" applyAlignment="1">
      <alignment vertical="center"/>
    </xf>
    <xf numFmtId="0" fontId="10" fillId="28" borderId="0" xfId="49" applyFont="1" applyFill="1"/>
    <xf numFmtId="0" fontId="11" fillId="28" borderId="0" xfId="49" applyFont="1" applyFill="1" applyAlignment="1">
      <alignment vertical="top"/>
    </xf>
    <xf numFmtId="0" fontId="81" fillId="28" borderId="0" xfId="49" applyFont="1" applyFill="1" applyAlignment="1">
      <alignment horizontal="center"/>
    </xf>
    <xf numFmtId="0" fontId="10" fillId="28" borderId="10" xfId="82" applyFont="1" applyFill="1" applyBorder="1" applyAlignment="1">
      <alignment horizontal="left" vertical="top"/>
    </xf>
    <xf numFmtId="3" fontId="11" fillId="28" borderId="0" xfId="82" applyNumberFormat="1" applyFont="1" applyFill="1" applyAlignment="1">
      <alignment horizontal="right" vertical="top"/>
    </xf>
    <xf numFmtId="0" fontId="11" fillId="28" borderId="10" xfId="82" applyFont="1" applyFill="1" applyBorder="1" applyAlignment="1">
      <alignment horizontal="left" vertical="top"/>
    </xf>
    <xf numFmtId="3" fontId="10" fillId="28" borderId="0" xfId="82" applyNumberFormat="1" applyFont="1" applyFill="1" applyAlignment="1">
      <alignment horizontal="right" vertical="top"/>
    </xf>
    <xf numFmtId="3" fontId="10" fillId="28" borderId="0" xfId="83" applyNumberFormat="1" applyFont="1" applyFill="1" applyAlignment="1">
      <alignment horizontal="right" vertical="top" wrapText="1"/>
    </xf>
    <xf numFmtId="0" fontId="10" fillId="28" borderId="20" xfId="82" applyFont="1" applyFill="1" applyBorder="1" applyAlignment="1">
      <alignment horizontal="left" vertical="top"/>
    </xf>
    <xf numFmtId="3" fontId="10" fillId="28" borderId="19" xfId="83" applyNumberFormat="1" applyFont="1" applyFill="1" applyBorder="1" applyAlignment="1">
      <alignment horizontal="right" vertical="top" wrapText="1"/>
    </xf>
    <xf numFmtId="0" fontId="71" fillId="28" borderId="14" xfId="82" applyFont="1" applyFill="1" applyBorder="1"/>
    <xf numFmtId="0" fontId="10" fillId="28" borderId="19" xfId="82" applyFont="1" applyFill="1" applyBorder="1" applyAlignment="1">
      <alignment vertical="center" wrapText="1"/>
    </xf>
    <xf numFmtId="0" fontId="10" fillId="28" borderId="0" xfId="82" applyFont="1" applyFill="1" applyAlignment="1">
      <alignment vertical="center" wrapText="1"/>
    </xf>
    <xf numFmtId="0" fontId="10" fillId="28" borderId="0" xfId="82" applyFont="1" applyFill="1" applyAlignment="1">
      <alignment wrapText="1"/>
    </xf>
    <xf numFmtId="0" fontId="10" fillId="28" borderId="0" xfId="82" applyFont="1" applyFill="1" applyProtection="1">
      <protection locked="0"/>
    </xf>
    <xf numFmtId="43" fontId="10" fillId="28" borderId="0" xfId="83" applyFont="1" applyFill="1" applyProtection="1">
      <protection locked="0"/>
    </xf>
    <xf numFmtId="0" fontId="10" fillId="28" borderId="0" xfId="82" applyFont="1" applyFill="1" applyAlignment="1" applyProtection="1">
      <alignment vertical="center"/>
      <protection locked="0"/>
    </xf>
    <xf numFmtId="0" fontId="10" fillId="28" borderId="0" xfId="82" applyFont="1" applyFill="1" applyAlignment="1" applyProtection="1">
      <alignment wrapText="1"/>
      <protection locked="0"/>
    </xf>
    <xf numFmtId="0" fontId="71" fillId="28" borderId="0" xfId="82" applyFont="1" applyFill="1" applyAlignment="1">
      <alignment horizontal="right"/>
    </xf>
    <xf numFmtId="0" fontId="51" fillId="28" borderId="0" xfId="82" applyFont="1" applyFill="1"/>
    <xf numFmtId="3" fontId="76" fillId="28" borderId="0" xfId="82" applyNumberFormat="1" applyFont="1" applyFill="1" applyAlignment="1">
      <alignment vertical="top"/>
    </xf>
    <xf numFmtId="0" fontId="76" fillId="28" borderId="11" xfId="82" applyFont="1" applyFill="1" applyBorder="1" applyAlignment="1">
      <alignment vertical="top"/>
    </xf>
    <xf numFmtId="0" fontId="76" fillId="28" borderId="0" xfId="82" applyFont="1" applyFill="1" applyAlignment="1">
      <alignment vertical="top"/>
    </xf>
    <xf numFmtId="0" fontId="82" fillId="28" borderId="10" xfId="82" applyFont="1" applyFill="1" applyBorder="1" applyAlignment="1">
      <alignment vertical="top"/>
    </xf>
    <xf numFmtId="3" fontId="76" fillId="28" borderId="0" xfId="83" applyNumberFormat="1" applyFont="1" applyFill="1" applyAlignment="1">
      <alignment vertical="top"/>
    </xf>
    <xf numFmtId="0" fontId="82" fillId="28" borderId="11" xfId="82" applyFont="1" applyFill="1" applyBorder="1" applyAlignment="1">
      <alignment vertical="top"/>
    </xf>
    <xf numFmtId="0" fontId="83" fillId="28" borderId="0" xfId="82" applyFont="1" applyFill="1"/>
    <xf numFmtId="3" fontId="71" fillId="28" borderId="0" xfId="82" applyNumberFormat="1" applyFont="1" applyFill="1" applyAlignment="1">
      <alignment vertical="top"/>
    </xf>
    <xf numFmtId="0" fontId="71" fillId="28" borderId="11" xfId="82" applyFont="1" applyFill="1" applyBorder="1" applyAlignment="1">
      <alignment vertical="top"/>
    </xf>
    <xf numFmtId="3" fontId="10" fillId="28" borderId="0" xfId="83" applyNumberFormat="1" applyFont="1" applyFill="1" applyAlignment="1" applyProtection="1">
      <alignment vertical="top"/>
      <protection locked="0"/>
    </xf>
    <xf numFmtId="0" fontId="71" fillId="28" borderId="0" xfId="82" applyFont="1" applyFill="1" applyAlignment="1">
      <alignment horizontal="left" vertical="top"/>
    </xf>
    <xf numFmtId="3" fontId="71" fillId="28" borderId="0" xfId="83" applyNumberFormat="1" applyFont="1" applyFill="1" applyAlignment="1">
      <alignment vertical="top"/>
    </xf>
    <xf numFmtId="0" fontId="71" fillId="28" borderId="0" xfId="82" applyFont="1" applyFill="1" applyAlignment="1">
      <alignment horizontal="left"/>
    </xf>
    <xf numFmtId="0" fontId="71" fillId="28" borderId="0" xfId="82" applyFont="1" applyFill="1" applyAlignment="1">
      <alignment vertical="center"/>
    </xf>
    <xf numFmtId="0" fontId="11" fillId="28" borderId="0" xfId="82" applyFont="1" applyFill="1" applyAlignment="1">
      <alignment horizontal="centerContinuous"/>
    </xf>
    <xf numFmtId="172" fontId="10" fillId="28" borderId="0" xfId="84" applyFont="1" applyFill="1"/>
    <xf numFmtId="0" fontId="11" fillId="28" borderId="10" xfId="84" applyNumberFormat="1" applyFont="1" applyFill="1" applyBorder="1" applyAlignment="1">
      <alignment horizontal="centerContinuous" vertical="center"/>
    </xf>
    <xf numFmtId="0" fontId="11" fillId="28" borderId="0" xfId="84" applyNumberFormat="1" applyFont="1" applyFill="1" applyAlignment="1">
      <alignment vertical="top"/>
    </xf>
    <xf numFmtId="0" fontId="11" fillId="28" borderId="11" xfId="84" applyNumberFormat="1" applyFont="1" applyFill="1" applyBorder="1" applyAlignment="1">
      <alignment vertical="top"/>
    </xf>
    <xf numFmtId="0" fontId="76" fillId="28" borderId="10" xfId="82" applyFont="1" applyFill="1" applyBorder="1"/>
    <xf numFmtId="0" fontId="11" fillId="28" borderId="11" xfId="82" applyFont="1" applyFill="1" applyBorder="1" applyAlignment="1">
      <alignment vertical="top"/>
    </xf>
    <xf numFmtId="3" fontId="11" fillId="28" borderId="0" xfId="82" applyNumberFormat="1" applyFont="1" applyFill="1" applyAlignment="1" applyProtection="1">
      <alignment horizontal="center" vertical="top"/>
      <protection locked="0"/>
    </xf>
    <xf numFmtId="0" fontId="81" fillId="28" borderId="0" xfId="82" applyFont="1" applyFill="1" applyAlignment="1">
      <alignment vertical="top"/>
    </xf>
    <xf numFmtId="3" fontId="10" fillId="28" borderId="0" xfId="82" applyNumberFormat="1" applyFont="1" applyFill="1" applyAlignment="1" applyProtection="1">
      <alignment horizontal="center" vertical="top"/>
      <protection locked="0"/>
    </xf>
    <xf numFmtId="3" fontId="10" fillId="28" borderId="0" xfId="82" applyNumberFormat="1" applyFont="1" applyFill="1" applyAlignment="1" applyProtection="1">
      <alignment horizontal="right" vertical="top"/>
      <protection locked="0"/>
    </xf>
    <xf numFmtId="0" fontId="11" fillId="28" borderId="0" xfId="82" applyFont="1" applyFill="1" applyAlignment="1" applyProtection="1">
      <alignment horizontal="center" vertical="top"/>
      <protection locked="0"/>
    </xf>
    <xf numFmtId="0" fontId="11" fillId="28" borderId="0" xfId="82" applyFont="1" applyFill="1" applyAlignment="1" applyProtection="1">
      <alignment horizontal="right" vertical="top"/>
      <protection locked="0"/>
    </xf>
    <xf numFmtId="0" fontId="10" fillId="28" borderId="0" xfId="82" applyFont="1" applyFill="1" applyAlignment="1" applyProtection="1">
      <alignment horizontal="right" vertical="top"/>
      <protection locked="0"/>
    </xf>
    <xf numFmtId="0" fontId="11" fillId="28" borderId="0" xfId="82" applyFont="1" applyFill="1" applyAlignment="1">
      <alignment horizontal="center" vertical="top"/>
    </xf>
    <xf numFmtId="0" fontId="82" fillId="28" borderId="10" xfId="82" applyFont="1" applyFill="1" applyBorder="1"/>
    <xf numFmtId="3" fontId="75" fillId="28" borderId="0" xfId="82" applyNumberFormat="1" applyFont="1" applyFill="1" applyAlignment="1" applyProtection="1">
      <alignment horizontal="center" vertical="top"/>
      <protection locked="0"/>
    </xf>
    <xf numFmtId="3" fontId="75" fillId="28" borderId="0" xfId="82" applyNumberFormat="1" applyFont="1" applyFill="1" applyAlignment="1">
      <alignment horizontal="right" vertical="top"/>
    </xf>
    <xf numFmtId="0" fontId="71" fillId="28" borderId="0" xfId="82" applyFont="1" applyFill="1" applyAlignment="1" applyProtection="1">
      <alignment horizontal="center" vertical="top"/>
      <protection locked="0"/>
    </xf>
    <xf numFmtId="3" fontId="75" fillId="28" borderId="0" xfId="82" applyNumberFormat="1" applyFont="1" applyFill="1" applyAlignment="1">
      <alignment horizontal="center" vertical="top"/>
    </xf>
    <xf numFmtId="3" fontId="11" fillId="28" borderId="0" xfId="82" applyNumberFormat="1" applyFont="1" applyFill="1" applyAlignment="1" applyProtection="1">
      <alignment horizontal="right" vertical="top"/>
      <protection locked="0"/>
    </xf>
    <xf numFmtId="0" fontId="82" fillId="28" borderId="20" xfId="82" applyFont="1" applyFill="1" applyBorder="1"/>
    <xf numFmtId="0" fontId="75" fillId="28" borderId="19" xfId="82" applyFont="1" applyFill="1" applyBorder="1" applyAlignment="1">
      <alignment vertical="top"/>
    </xf>
    <xf numFmtId="3" fontId="75" fillId="28" borderId="19" xfId="82" applyNumberFormat="1" applyFont="1" applyFill="1" applyBorder="1" applyAlignment="1">
      <alignment horizontal="center" vertical="top"/>
    </xf>
    <xf numFmtId="3" fontId="75" fillId="28" borderId="19" xfId="82" applyNumberFormat="1" applyFont="1" applyFill="1" applyBorder="1" applyAlignment="1">
      <alignment horizontal="right" vertical="top"/>
    </xf>
    <xf numFmtId="0" fontId="82" fillId="28" borderId="21" xfId="82" applyFont="1" applyFill="1" applyBorder="1" applyAlignment="1">
      <alignment vertical="top"/>
    </xf>
    <xf numFmtId="3" fontId="11" fillId="28" borderId="0" xfId="82" applyNumberFormat="1" applyFont="1" applyFill="1" applyAlignment="1">
      <alignment horizontal="center" vertical="center"/>
    </xf>
    <xf numFmtId="3" fontId="11" fillId="28" borderId="0" xfId="82" applyNumberFormat="1" applyFont="1" applyFill="1" applyAlignment="1">
      <alignment vertical="center"/>
    </xf>
    <xf numFmtId="0" fontId="84" fillId="28" borderId="0" xfId="82" applyFont="1" applyFill="1" applyAlignment="1">
      <alignment horizontal="right"/>
    </xf>
    <xf numFmtId="0" fontId="11" fillId="28" borderId="11" xfId="84" applyNumberFormat="1" applyFont="1" applyFill="1" applyBorder="1" applyAlignment="1">
      <alignment horizontal="centerContinuous" vertical="center"/>
    </xf>
    <xf numFmtId="0" fontId="85" fillId="28" borderId="0" xfId="82" applyFont="1" applyFill="1" applyAlignment="1">
      <alignment horizontal="left" vertical="top"/>
    </xf>
    <xf numFmtId="0" fontId="11" fillId="28" borderId="11" xfId="82" applyFont="1" applyFill="1" applyBorder="1" applyAlignment="1">
      <alignment vertical="top" wrapText="1"/>
    </xf>
    <xf numFmtId="3" fontId="76" fillId="28" borderId="0" xfId="82" applyNumberFormat="1" applyFont="1" applyFill="1" applyAlignment="1" applyProtection="1">
      <alignment horizontal="right" vertical="top"/>
      <protection locked="0"/>
    </xf>
    <xf numFmtId="0" fontId="76" fillId="28" borderId="0" xfId="82" applyFont="1" applyFill="1" applyAlignment="1">
      <alignment horizontal="left" vertical="top" wrapText="1"/>
    </xf>
    <xf numFmtId="3" fontId="71" fillId="28" borderId="0" xfId="82" applyNumberFormat="1" applyFont="1" applyFill="1" applyAlignment="1">
      <alignment horizontal="right" vertical="top"/>
    </xf>
    <xf numFmtId="3" fontId="76" fillId="28" borderId="0" xfId="82" applyNumberFormat="1" applyFont="1" applyFill="1" applyAlignment="1">
      <alignment horizontal="right" vertical="top"/>
    </xf>
    <xf numFmtId="3" fontId="71" fillId="28" borderId="0" xfId="82" applyNumberFormat="1" applyFont="1" applyFill="1" applyAlignment="1" applyProtection="1">
      <alignment horizontal="right" vertical="top"/>
      <protection locked="0"/>
    </xf>
    <xf numFmtId="3" fontId="76" fillId="28" borderId="37" xfId="82" applyNumberFormat="1" applyFont="1" applyFill="1" applyBorder="1" applyAlignment="1">
      <alignment horizontal="right" vertical="top"/>
    </xf>
    <xf numFmtId="0" fontId="86" fillId="28" borderId="0" xfId="82" applyFont="1" applyFill="1" applyAlignment="1">
      <alignment horizontal="center"/>
    </xf>
    <xf numFmtId="0" fontId="76" fillId="28" borderId="20" xfId="82" applyFont="1" applyFill="1" applyBorder="1" applyAlignment="1">
      <alignment vertical="top"/>
    </xf>
    <xf numFmtId="3" fontId="76" fillId="28" borderId="19" xfId="82" applyNumberFormat="1" applyFont="1" applyFill="1" applyBorder="1" applyAlignment="1">
      <alignment horizontal="right" vertical="top"/>
    </xf>
    <xf numFmtId="0" fontId="11" fillId="28" borderId="21" xfId="82" applyFont="1" applyFill="1" applyBorder="1" applyAlignment="1">
      <alignment vertical="top" wrapText="1"/>
    </xf>
    <xf numFmtId="0" fontId="71" fillId="28" borderId="14" xfId="82" applyFont="1" applyFill="1" applyBorder="1" applyAlignment="1">
      <alignment vertical="top"/>
    </xf>
    <xf numFmtId="0" fontId="11" fillId="28" borderId="14" xfId="82" applyFont="1" applyFill="1" applyBorder="1" applyAlignment="1">
      <alignment vertical="top" wrapText="1"/>
    </xf>
    <xf numFmtId="43" fontId="10" fillId="28" borderId="0" xfId="83" applyFont="1" applyFill="1" applyAlignment="1">
      <alignment horizontal="center"/>
    </xf>
    <xf numFmtId="0" fontId="71" fillId="28" borderId="0" xfId="82" applyFont="1" applyFill="1" applyAlignment="1">
      <alignment horizontal="centerContinuous"/>
    </xf>
    <xf numFmtId="0" fontId="11" fillId="28" borderId="0" xfId="49" applyFont="1" applyFill="1" applyAlignment="1">
      <alignment horizontal="center" vertical="top"/>
    </xf>
    <xf numFmtId="0" fontId="10" fillId="28" borderId="0" xfId="49" applyFont="1" applyFill="1" applyAlignment="1">
      <alignment horizontal="centerContinuous" vertical="center"/>
    </xf>
    <xf numFmtId="0" fontId="10" fillId="28" borderId="0" xfId="49" applyFont="1" applyFill="1" applyAlignment="1">
      <alignment horizontal="center" vertical="top"/>
    </xf>
    <xf numFmtId="0" fontId="73" fillId="29" borderId="13" xfId="82" applyFont="1" applyFill="1" applyBorder="1" applyAlignment="1">
      <alignment vertical="center"/>
    </xf>
    <xf numFmtId="0" fontId="10" fillId="28" borderId="0" xfId="49" applyFont="1" applyFill="1" applyAlignment="1">
      <alignment vertical="top"/>
    </xf>
    <xf numFmtId="3" fontId="10" fillId="28" borderId="0" xfId="49" applyNumberFormat="1" applyFont="1" applyFill="1" applyAlignment="1">
      <alignment vertical="top"/>
    </xf>
    <xf numFmtId="3" fontId="11" fillId="28" borderId="0" xfId="49" applyNumberFormat="1" applyFont="1" applyFill="1" applyAlignment="1">
      <alignment vertical="top"/>
    </xf>
    <xf numFmtId="3" fontId="10" fillId="28" borderId="0" xfId="49" applyNumberFormat="1" applyFont="1" applyFill="1" applyAlignment="1" applyProtection="1">
      <alignment vertical="top"/>
      <protection locked="0"/>
    </xf>
    <xf numFmtId="0" fontId="10" fillId="28" borderId="0" xfId="49" applyFont="1" applyFill="1" applyAlignment="1">
      <alignment horizontal="left" vertical="top"/>
    </xf>
    <xf numFmtId="0" fontId="11" fillId="28" borderId="0" xfId="49" applyFont="1" applyFill="1" applyAlignment="1">
      <alignment horizontal="left" vertical="top"/>
    </xf>
    <xf numFmtId="3" fontId="11" fillId="28" borderId="0" xfId="49" applyNumberFormat="1" applyFont="1" applyFill="1" applyAlignment="1">
      <alignment horizontal="right" vertical="top" wrapText="1"/>
    </xf>
    <xf numFmtId="0" fontId="71" fillId="28" borderId="10" xfId="82" applyFont="1" applyFill="1" applyBorder="1" applyAlignment="1">
      <alignment horizontal="left" vertical="top" wrapText="1"/>
    </xf>
    <xf numFmtId="0" fontId="71" fillId="28" borderId="0" xfId="82" applyFont="1" applyFill="1" applyAlignment="1">
      <alignment horizontal="left" vertical="top" wrapText="1"/>
    </xf>
    <xf numFmtId="0" fontId="71" fillId="28" borderId="11" xfId="82" applyFont="1" applyFill="1" applyBorder="1" applyAlignment="1">
      <alignment horizontal="left" wrapText="1"/>
    </xf>
    <xf numFmtId="0" fontId="71" fillId="28" borderId="0" xfId="82" applyFont="1" applyFill="1" applyAlignment="1">
      <alignment horizontal="left" wrapText="1"/>
    </xf>
    <xf numFmtId="0" fontId="11" fillId="28" borderId="19" xfId="49" applyFont="1" applyFill="1" applyBorder="1" applyAlignment="1">
      <alignment vertical="top"/>
    </xf>
    <xf numFmtId="3" fontId="10" fillId="28" borderId="19" xfId="49" applyNumberFormat="1" applyFont="1" applyFill="1" applyBorder="1" applyAlignment="1">
      <alignment vertical="top"/>
    </xf>
    <xf numFmtId="43" fontId="10" fillId="28" borderId="19" xfId="83" applyFont="1" applyFill="1" applyBorder="1" applyProtection="1">
      <protection locked="0"/>
    </xf>
    <xf numFmtId="0" fontId="71" fillId="28" borderId="19" xfId="82" applyFont="1" applyFill="1" applyBorder="1" applyProtection="1">
      <protection locked="0"/>
    </xf>
    <xf numFmtId="0" fontId="87" fillId="28" borderId="0" xfId="82" applyFont="1" applyFill="1"/>
    <xf numFmtId="0" fontId="88" fillId="28" borderId="0" xfId="85" applyFont="1" applyFill="1"/>
    <xf numFmtId="0" fontId="88" fillId="28" borderId="0" xfId="85" applyFont="1" applyFill="1" applyAlignment="1">
      <alignment horizontal="center"/>
    </xf>
    <xf numFmtId="0" fontId="87" fillId="28" borderId="0" xfId="85" applyFont="1" applyFill="1"/>
    <xf numFmtId="0" fontId="89" fillId="28" borderId="22" xfId="85" applyFont="1" applyFill="1" applyBorder="1"/>
    <xf numFmtId="0" fontId="89" fillId="28" borderId="24" xfId="85" applyFont="1" applyFill="1" applyBorder="1"/>
    <xf numFmtId="0" fontId="89" fillId="28" borderId="23" xfId="85" applyFont="1" applyFill="1" applyBorder="1"/>
    <xf numFmtId="0" fontId="89" fillId="28" borderId="23" xfId="85" applyFont="1" applyFill="1" applyBorder="1" applyAlignment="1">
      <alignment horizontal="center"/>
    </xf>
    <xf numFmtId="0" fontId="89" fillId="28" borderId="16" xfId="85" applyFont="1" applyFill="1" applyBorder="1" applyAlignment="1">
      <alignment horizontal="center"/>
    </xf>
    <xf numFmtId="0" fontId="90" fillId="28" borderId="12" xfId="82" applyFont="1" applyFill="1" applyBorder="1" applyAlignment="1">
      <alignment vertical="center" wrapText="1"/>
    </xf>
    <xf numFmtId="0" fontId="89" fillId="28" borderId="10" xfId="85" applyFont="1" applyFill="1" applyBorder="1" applyAlignment="1">
      <alignment horizontal="center" vertical="center"/>
    </xf>
    <xf numFmtId="174" fontId="90" fillId="28" borderId="12" xfId="83" applyNumberFormat="1" applyFont="1" applyFill="1" applyBorder="1" applyAlignment="1">
      <alignment vertical="center" wrapText="1"/>
    </xf>
    <xf numFmtId="0" fontId="91" fillId="28" borderId="0" xfId="85" applyFont="1" applyFill="1"/>
    <xf numFmtId="0" fontId="89" fillId="28" borderId="20" xfId="85" applyFont="1" applyFill="1" applyBorder="1" applyAlignment="1">
      <alignment horizontal="center" vertical="center"/>
    </xf>
    <xf numFmtId="0" fontId="89" fillId="28" borderId="19" xfId="85" applyFont="1" applyFill="1" applyBorder="1" applyAlignment="1">
      <alignment horizontal="center" vertical="center"/>
    </xf>
    <xf numFmtId="0" fontId="89" fillId="28" borderId="21" xfId="85" applyFont="1" applyFill="1" applyBorder="1" applyAlignment="1">
      <alignment wrapText="1"/>
    </xf>
    <xf numFmtId="174" fontId="89" fillId="28" borderId="21" xfId="86" applyNumberFormat="1" applyFont="1" applyFill="1" applyBorder="1" applyAlignment="1">
      <alignment horizontal="center"/>
    </xf>
    <xf numFmtId="174" fontId="89" fillId="28" borderId="18" xfId="86" applyNumberFormat="1" applyFont="1" applyFill="1" applyBorder="1" applyAlignment="1">
      <alignment horizontal="center"/>
    </xf>
    <xf numFmtId="0" fontId="91" fillId="28" borderId="13" xfId="85" applyFont="1" applyFill="1" applyBorder="1" applyAlignment="1">
      <alignment horizontal="centerContinuous"/>
    </xf>
    <xf numFmtId="0" fontId="91" fillId="28" borderId="14" xfId="85" applyFont="1" applyFill="1" applyBorder="1" applyAlignment="1">
      <alignment horizontal="centerContinuous"/>
    </xf>
    <xf numFmtId="0" fontId="91" fillId="28" borderId="15" xfId="85" applyFont="1" applyFill="1" applyBorder="1" applyAlignment="1">
      <alignment horizontal="left" wrapText="1"/>
    </xf>
    <xf numFmtId="0" fontId="14" fillId="28" borderId="24" xfId="82" applyFont="1" applyFill="1" applyBorder="1" applyAlignment="1">
      <alignment vertical="top" wrapText="1"/>
    </xf>
    <xf numFmtId="0" fontId="91" fillId="28" borderId="10" xfId="85" applyFont="1" applyFill="1" applyBorder="1" applyAlignment="1">
      <alignment horizontal="left"/>
    </xf>
    <xf numFmtId="0" fontId="91" fillId="28" borderId="0" xfId="85" applyFont="1" applyFill="1" applyAlignment="1">
      <alignment horizontal="left"/>
    </xf>
    <xf numFmtId="0" fontId="87" fillId="28" borderId="11" xfId="82" applyFont="1" applyFill="1" applyBorder="1"/>
    <xf numFmtId="0" fontId="92" fillId="28" borderId="12" xfId="82" applyFont="1" applyFill="1" applyBorder="1" applyAlignment="1">
      <alignment vertical="center" wrapText="1"/>
    </xf>
    <xf numFmtId="0" fontId="90" fillId="28" borderId="11" xfId="82" applyFont="1" applyFill="1" applyBorder="1" applyAlignment="1">
      <alignment vertical="center" wrapText="1"/>
    </xf>
    <xf numFmtId="174" fontId="89" fillId="28" borderId="12" xfId="86" applyNumberFormat="1" applyFont="1" applyFill="1" applyBorder="1" applyAlignment="1">
      <alignment horizontal="center"/>
    </xf>
    <xf numFmtId="174" fontId="92" fillId="28" borderId="12" xfId="83" applyNumberFormat="1" applyFont="1" applyFill="1" applyBorder="1" applyAlignment="1">
      <alignment vertical="center" wrapText="1"/>
    </xf>
    <xf numFmtId="0" fontId="87" fillId="0" borderId="0" xfId="82" applyFont="1"/>
    <xf numFmtId="0" fontId="91" fillId="28" borderId="10" xfId="85" applyFont="1" applyFill="1" applyBorder="1" applyAlignment="1">
      <alignment horizontal="center" vertical="center"/>
    </xf>
    <xf numFmtId="0" fontId="88" fillId="28" borderId="0" xfId="82" applyFont="1" applyFill="1"/>
    <xf numFmtId="0" fontId="88" fillId="28" borderId="11" xfId="82" applyFont="1" applyFill="1" applyBorder="1"/>
    <xf numFmtId="174" fontId="91" fillId="28" borderId="12" xfId="83" applyNumberFormat="1" applyFont="1" applyFill="1" applyBorder="1" applyAlignment="1">
      <alignment horizontal="center"/>
    </xf>
    <xf numFmtId="0" fontId="88" fillId="0" borderId="0" xfId="82" applyFont="1"/>
    <xf numFmtId="0" fontId="89" fillId="28" borderId="0" xfId="85" applyFont="1" applyFill="1" applyAlignment="1">
      <alignment horizontal="center" vertical="center"/>
    </xf>
    <xf numFmtId="0" fontId="91" fillId="28" borderId="15" xfId="85" applyFont="1" applyFill="1" applyBorder="1" applyAlignment="1">
      <alignment horizontal="left" wrapText="1" indent="1"/>
    </xf>
    <xf numFmtId="0" fontId="7" fillId="28" borderId="0" xfId="82" applyFill="1"/>
    <xf numFmtId="0" fontId="87" fillId="28" borderId="10" xfId="82" applyFont="1" applyFill="1" applyBorder="1" applyAlignment="1">
      <alignment horizontal="justify" vertical="center" wrapText="1"/>
    </xf>
    <xf numFmtId="0" fontId="87" fillId="28" borderId="11" xfId="82" applyFont="1" applyFill="1" applyBorder="1" applyAlignment="1">
      <alignment horizontal="justify" vertical="center" wrapText="1"/>
    </xf>
    <xf numFmtId="0" fontId="87" fillId="28" borderId="12" xfId="82" applyFont="1" applyFill="1" applyBorder="1" applyAlignment="1">
      <alignment horizontal="justify" vertical="center" wrapText="1"/>
    </xf>
    <xf numFmtId="0" fontId="87" fillId="28" borderId="10" xfId="82" applyFont="1" applyFill="1" applyBorder="1" applyAlignment="1">
      <alignment horizontal="justify" vertical="top" wrapText="1"/>
    </xf>
    <xf numFmtId="0" fontId="87" fillId="28" borderId="11" xfId="82" applyFont="1" applyFill="1" applyBorder="1" applyAlignment="1">
      <alignment horizontal="justify" vertical="top" wrapText="1"/>
    </xf>
    <xf numFmtId="174" fontId="87" fillId="28" borderId="12" xfId="83" applyNumberFormat="1" applyFont="1" applyFill="1" applyBorder="1" applyAlignment="1">
      <alignment horizontal="right" vertical="top" wrapText="1"/>
    </xf>
    <xf numFmtId="0" fontId="7" fillId="0" borderId="0" xfId="82"/>
    <xf numFmtId="0" fontId="87" fillId="28" borderId="20" xfId="82" applyFont="1" applyFill="1" applyBorder="1" applyAlignment="1">
      <alignment horizontal="justify" vertical="top" wrapText="1"/>
    </xf>
    <xf numFmtId="0" fontId="87" fillId="28" borderId="21" xfId="82" applyFont="1" applyFill="1" applyBorder="1" applyAlignment="1">
      <alignment horizontal="justify" vertical="top" wrapText="1"/>
    </xf>
    <xf numFmtId="174" fontId="87" fillId="28" borderId="18" xfId="83" applyNumberFormat="1" applyFont="1" applyFill="1" applyBorder="1" applyAlignment="1">
      <alignment horizontal="justify" vertical="top" wrapText="1"/>
    </xf>
    <xf numFmtId="0" fontId="93" fillId="28" borderId="0" xfId="82" applyFont="1" applyFill="1"/>
    <xf numFmtId="0" fontId="88" fillId="28" borderId="20" xfId="82" applyFont="1" applyFill="1" applyBorder="1" applyAlignment="1">
      <alignment horizontal="justify" vertical="top" wrapText="1"/>
    </xf>
    <xf numFmtId="0" fontId="88" fillId="28" borderId="21" xfId="82" applyFont="1" applyFill="1" applyBorder="1" applyAlignment="1">
      <alignment horizontal="justify" vertical="top" wrapText="1"/>
    </xf>
    <xf numFmtId="174" fontId="88" fillId="28" borderId="18" xfId="83" applyNumberFormat="1" applyFont="1" applyFill="1" applyBorder="1" applyAlignment="1">
      <alignment horizontal="right" vertical="top" wrapText="1"/>
    </xf>
    <xf numFmtId="0" fontId="93" fillId="0" borderId="0" xfId="82" applyFont="1"/>
    <xf numFmtId="0" fontId="87" fillId="28" borderId="22" xfId="82" applyFont="1" applyFill="1" applyBorder="1" applyAlignment="1">
      <alignment horizontal="justify" vertical="center" wrapText="1"/>
    </xf>
    <xf numFmtId="0" fontId="87" fillId="28" borderId="23" xfId="82" applyFont="1" applyFill="1" applyBorder="1" applyAlignment="1">
      <alignment horizontal="justify" vertical="center" wrapText="1"/>
    </xf>
    <xf numFmtId="0" fontId="87" fillId="28" borderId="16" xfId="82" applyFont="1" applyFill="1" applyBorder="1" applyAlignment="1">
      <alignment horizontal="justify" vertical="center" wrapText="1"/>
    </xf>
    <xf numFmtId="0" fontId="88" fillId="28" borderId="11" xfId="82" applyFont="1" applyFill="1" applyBorder="1" applyAlignment="1">
      <alignment horizontal="justify" vertical="center" wrapText="1"/>
    </xf>
    <xf numFmtId="174" fontId="87" fillId="28" borderId="12" xfId="83" applyNumberFormat="1" applyFont="1" applyFill="1" applyBorder="1" applyAlignment="1">
      <alignment horizontal="right" vertical="center" wrapText="1"/>
    </xf>
    <xf numFmtId="0" fontId="88" fillId="28" borderId="10" xfId="82" applyFont="1" applyFill="1" applyBorder="1" applyAlignment="1">
      <alignment horizontal="justify" vertical="center" wrapText="1"/>
    </xf>
    <xf numFmtId="0" fontId="88" fillId="28" borderId="20" xfId="82" applyFont="1" applyFill="1" applyBorder="1" applyAlignment="1">
      <alignment horizontal="justify" vertical="center" wrapText="1"/>
    </xf>
    <xf numFmtId="0" fontId="88" fillId="28" borderId="21" xfId="82" applyFont="1" applyFill="1" applyBorder="1" applyAlignment="1">
      <alignment horizontal="justify" vertical="center" wrapText="1"/>
    </xf>
    <xf numFmtId="174" fontId="87" fillId="28" borderId="18" xfId="83" applyNumberFormat="1" applyFont="1" applyFill="1" applyBorder="1" applyAlignment="1">
      <alignment horizontal="justify" vertical="center" wrapText="1"/>
    </xf>
    <xf numFmtId="174" fontId="88" fillId="28" borderId="18" xfId="83" applyNumberFormat="1" applyFont="1" applyFill="1" applyBorder="1" applyAlignment="1">
      <alignment horizontal="right" vertical="center" wrapText="1"/>
    </xf>
    <xf numFmtId="0" fontId="94" fillId="0" borderId="0" xfId="82" applyFont="1" applyAlignment="1">
      <alignment horizontal="center"/>
    </xf>
    <xf numFmtId="174" fontId="88" fillId="28" borderId="12" xfId="83" applyNumberFormat="1" applyFont="1" applyFill="1" applyBorder="1" applyAlignment="1">
      <alignment horizontal="right" vertical="center" wrapText="1"/>
    </xf>
    <xf numFmtId="0" fontId="90" fillId="28" borderId="10" xfId="82" applyFont="1" applyFill="1" applyBorder="1" applyAlignment="1">
      <alignment horizontal="center" vertical="center" wrapText="1"/>
    </xf>
    <xf numFmtId="0" fontId="90" fillId="28" borderId="0" xfId="82" applyFont="1" applyFill="1" applyAlignment="1">
      <alignment vertical="center" wrapText="1"/>
    </xf>
    <xf numFmtId="0" fontId="88" fillId="28" borderId="13" xfId="82" applyFont="1" applyFill="1" applyBorder="1" applyAlignment="1">
      <alignment horizontal="justify" vertical="center" wrapText="1"/>
    </xf>
    <xf numFmtId="0" fontId="88" fillId="28" borderId="15" xfId="82" applyFont="1" applyFill="1" applyBorder="1" applyAlignment="1">
      <alignment horizontal="justify" vertical="center" wrapText="1"/>
    </xf>
    <xf numFmtId="174" fontId="88" fillId="28" borderId="17" xfId="83" applyNumberFormat="1" applyFont="1" applyFill="1" applyBorder="1" applyAlignment="1">
      <alignment vertical="center" wrapText="1"/>
    </xf>
    <xf numFmtId="0" fontId="95" fillId="0" borderId="0" xfId="82" applyFont="1" applyAlignment="1">
      <alignment horizontal="center"/>
    </xf>
    <xf numFmtId="0" fontId="87" fillId="28" borderId="22" xfId="82" applyFont="1" applyFill="1" applyBorder="1" applyAlignment="1">
      <alignment horizontal="left" vertical="center" wrapText="1"/>
    </xf>
    <xf numFmtId="0" fontId="7" fillId="28" borderId="0" xfId="82" applyFill="1" applyAlignment="1">
      <alignment vertical="top"/>
    </xf>
    <xf numFmtId="174" fontId="88" fillId="28" borderId="12" xfId="83" applyNumberFormat="1" applyFont="1" applyFill="1" applyBorder="1" applyAlignment="1">
      <alignment horizontal="right" vertical="top" wrapText="1"/>
    </xf>
    <xf numFmtId="0" fontId="7" fillId="0" borderId="0" xfId="82" applyAlignment="1">
      <alignment vertical="top"/>
    </xf>
    <xf numFmtId="0" fontId="87" fillId="28" borderId="10" xfId="82" applyFont="1" applyFill="1" applyBorder="1" applyAlignment="1">
      <alignment horizontal="left" vertical="top"/>
    </xf>
    <xf numFmtId="0" fontId="87" fillId="28" borderId="11" xfId="82" applyFont="1" applyFill="1" applyBorder="1" applyAlignment="1">
      <alignment horizontal="justify" vertical="top"/>
    </xf>
    <xf numFmtId="0" fontId="93" fillId="28" borderId="0" xfId="82" applyFont="1" applyFill="1" applyAlignment="1">
      <alignment vertical="top"/>
    </xf>
    <xf numFmtId="0" fontId="93" fillId="0" borderId="0" xfId="82" applyFont="1" applyAlignment="1">
      <alignment vertical="top"/>
    </xf>
    <xf numFmtId="174" fontId="87" fillId="28" borderId="12" xfId="83" applyNumberFormat="1" applyFont="1" applyFill="1" applyBorder="1" applyAlignment="1">
      <alignment horizontal="right" vertical="top"/>
    </xf>
    <xf numFmtId="174" fontId="88" fillId="28" borderId="12" xfId="83" applyNumberFormat="1" applyFont="1" applyFill="1" applyBorder="1" applyAlignment="1">
      <alignment horizontal="right" vertical="top"/>
    </xf>
    <xf numFmtId="0" fontId="87" fillId="28" borderId="20" xfId="82" applyFont="1" applyFill="1" applyBorder="1" applyAlignment="1">
      <alignment horizontal="left" vertical="top"/>
    </xf>
    <xf numFmtId="0" fontId="87" fillId="28" borderId="21" xfId="82" applyFont="1" applyFill="1" applyBorder="1" applyAlignment="1">
      <alignment vertical="top"/>
    </xf>
    <xf numFmtId="174" fontId="87" fillId="28" borderId="18" xfId="83" applyNumberFormat="1" applyFont="1" applyFill="1" applyBorder="1" applyAlignment="1">
      <alignment horizontal="right" vertical="top"/>
    </xf>
    <xf numFmtId="0" fontId="88" fillId="28" borderId="20" xfId="82" applyFont="1" applyFill="1" applyBorder="1" applyAlignment="1">
      <alignment horizontal="left" vertical="top"/>
    </xf>
    <xf numFmtId="0" fontId="88" fillId="28" borderId="21" xfId="82" applyFont="1" applyFill="1" applyBorder="1" applyAlignment="1">
      <alignment vertical="top"/>
    </xf>
    <xf numFmtId="174" fontId="88" fillId="28" borderId="18" xfId="83" applyNumberFormat="1" applyFont="1" applyFill="1" applyBorder="1" applyAlignment="1">
      <alignment horizontal="right" vertical="top"/>
    </xf>
    <xf numFmtId="0" fontId="96" fillId="0" borderId="0" xfId="82" applyFont="1" applyAlignment="1">
      <alignment horizontal="center"/>
    </xf>
    <xf numFmtId="0" fontId="87" fillId="0" borderId="0" xfId="82" applyFont="1" applyAlignment="1">
      <alignment horizontal="left"/>
    </xf>
    <xf numFmtId="0" fontId="97" fillId="28" borderId="0" xfId="82" applyFont="1" applyFill="1"/>
    <xf numFmtId="0" fontId="97" fillId="0" borderId="0" xfId="82" applyFont="1"/>
    <xf numFmtId="0" fontId="87" fillId="28" borderId="11" xfId="82" applyFont="1" applyFill="1" applyBorder="1" applyAlignment="1">
      <alignment horizontal="right" vertical="center" wrapText="1"/>
    </xf>
    <xf numFmtId="0" fontId="87" fillId="28" borderId="12" xfId="82" applyFont="1" applyFill="1" applyBorder="1" applyAlignment="1">
      <alignment horizontal="right" vertical="center" wrapText="1"/>
    </xf>
    <xf numFmtId="174" fontId="88" fillId="28" borderId="11" xfId="83" applyNumberFormat="1" applyFont="1" applyFill="1" applyBorder="1" applyAlignment="1">
      <alignment horizontal="right" vertical="center" wrapText="1"/>
    </xf>
    <xf numFmtId="0" fontId="87" fillId="28" borderId="0" xfId="82" applyFont="1" applyFill="1" applyAlignment="1">
      <alignment horizontal="justify" vertical="center" wrapText="1"/>
    </xf>
    <xf numFmtId="174" fontId="87" fillId="28" borderId="11" xfId="83" applyNumberFormat="1" applyFont="1" applyFill="1" applyBorder="1" applyAlignment="1">
      <alignment horizontal="right" vertical="center" wrapText="1"/>
    </xf>
    <xf numFmtId="0" fontId="87" fillId="28" borderId="20" xfId="82" applyFont="1" applyFill="1" applyBorder="1" applyAlignment="1">
      <alignment horizontal="justify" vertical="center" wrapText="1"/>
    </xf>
    <xf numFmtId="0" fontId="87" fillId="28" borderId="19" xfId="82" applyFont="1" applyFill="1" applyBorder="1" applyAlignment="1">
      <alignment horizontal="justify" vertical="center" wrapText="1"/>
    </xf>
    <xf numFmtId="0" fontId="87" fillId="28" borderId="21" xfId="82" applyFont="1" applyFill="1" applyBorder="1" applyAlignment="1">
      <alignment horizontal="justify" vertical="center" wrapText="1"/>
    </xf>
    <xf numFmtId="174" fontId="87" fillId="28" borderId="21" xfId="83" applyNumberFormat="1" applyFont="1" applyFill="1" applyBorder="1" applyAlignment="1">
      <alignment horizontal="right" vertical="center" wrapText="1"/>
    </xf>
    <xf numFmtId="174" fontId="87" fillId="28" borderId="18" xfId="83" applyNumberFormat="1" applyFont="1" applyFill="1" applyBorder="1" applyAlignment="1">
      <alignment horizontal="right" vertical="center" wrapText="1"/>
    </xf>
    <xf numFmtId="0" fontId="87" fillId="28" borderId="26" xfId="82" applyFont="1" applyFill="1" applyBorder="1" applyAlignment="1">
      <alignment horizontal="justify" vertical="center" wrapText="1"/>
    </xf>
    <xf numFmtId="0" fontId="88" fillId="28" borderId="38" xfId="82" applyFont="1" applyFill="1" applyBorder="1" applyAlignment="1">
      <alignment horizontal="justify" vertical="center" wrapText="1"/>
    </xf>
    <xf numFmtId="174" fontId="87" fillId="28" borderId="39" xfId="83" applyNumberFormat="1" applyFont="1" applyFill="1" applyBorder="1" applyAlignment="1">
      <alignment horizontal="right" vertical="center" wrapText="1"/>
    </xf>
    <xf numFmtId="174" fontId="87" fillId="28" borderId="17" xfId="83" applyNumberFormat="1" applyFont="1" applyFill="1" applyBorder="1" applyAlignment="1">
      <alignment horizontal="right" vertical="center" wrapText="1"/>
    </xf>
    <xf numFmtId="0" fontId="88" fillId="28" borderId="26" xfId="82" applyFont="1" applyFill="1" applyBorder="1" applyAlignment="1">
      <alignment horizontal="justify" vertical="center" wrapText="1"/>
    </xf>
    <xf numFmtId="174" fontId="87" fillId="28" borderId="0" xfId="83" applyNumberFormat="1" applyFont="1" applyFill="1"/>
    <xf numFmtId="174" fontId="87" fillId="28" borderId="16" xfId="83" applyNumberFormat="1" applyFont="1" applyFill="1" applyBorder="1" applyAlignment="1">
      <alignment horizontal="justify" vertical="center" wrapText="1"/>
    </xf>
    <xf numFmtId="174" fontId="88" fillId="28" borderId="39" xfId="83" applyNumberFormat="1" applyFont="1" applyFill="1" applyBorder="1" applyAlignment="1">
      <alignment horizontal="right" vertical="center" wrapText="1"/>
    </xf>
    <xf numFmtId="0" fontId="10" fillId="28" borderId="0" xfId="82" applyFont="1" applyFill="1" applyAlignment="1" applyProtection="1">
      <alignment vertical="top" wrapText="1"/>
      <protection locked="0"/>
    </xf>
    <xf numFmtId="0" fontId="71" fillId="28" borderId="52" xfId="82" applyFont="1" applyFill="1" applyBorder="1" applyAlignment="1">
      <alignment horizontal="center" vertical="center" wrapText="1"/>
    </xf>
    <xf numFmtId="0" fontId="71" fillId="28" borderId="53" xfId="82" applyFont="1" applyFill="1" applyBorder="1" applyAlignment="1">
      <alignment horizontal="center" vertical="center" wrapText="1"/>
    </xf>
    <xf numFmtId="0" fontId="71" fillId="28" borderId="18" xfId="82" applyFont="1" applyFill="1" applyBorder="1" applyAlignment="1">
      <alignment horizontal="center" vertical="center" wrapText="1"/>
    </xf>
    <xf numFmtId="0" fontId="71" fillId="28" borderId="18" xfId="82" quotePrefix="1" applyFont="1" applyFill="1" applyBorder="1" applyAlignment="1">
      <alignment horizontal="center" vertical="center" wrapText="1"/>
    </xf>
    <xf numFmtId="0" fontId="71" fillId="28" borderId="17" xfId="82" applyFont="1" applyFill="1" applyBorder="1" applyAlignment="1">
      <alignment horizontal="center" vertical="center" wrapText="1"/>
    </xf>
    <xf numFmtId="0" fontId="71" fillId="28" borderId="17" xfId="82" quotePrefix="1" applyFont="1" applyFill="1" applyBorder="1" applyAlignment="1">
      <alignment horizontal="center" vertical="center" wrapText="1"/>
    </xf>
    <xf numFmtId="0" fontId="71" fillId="28" borderId="17" xfId="82" applyFont="1" applyFill="1" applyBorder="1" applyAlignment="1">
      <alignment horizontal="justify" vertical="center" wrapText="1"/>
    </xf>
    <xf numFmtId="0" fontId="71" fillId="0" borderId="0" xfId="82" applyFont="1"/>
    <xf numFmtId="0" fontId="73" fillId="28" borderId="0" xfId="82" applyFont="1" applyFill="1" applyAlignment="1">
      <alignment horizontal="center"/>
    </xf>
    <xf numFmtId="0" fontId="11" fillId="28" borderId="10" xfId="82" applyFont="1" applyFill="1" applyBorder="1"/>
    <xf numFmtId="3" fontId="79" fillId="28" borderId="0" xfId="82" applyNumberFormat="1" applyFont="1" applyFill="1" applyAlignment="1">
      <alignment vertical="top"/>
    </xf>
    <xf numFmtId="0" fontId="75" fillId="28" borderId="10" xfId="82" applyFont="1" applyFill="1" applyBorder="1" applyAlignment="1">
      <alignment horizontal="left" vertical="top"/>
    </xf>
    <xf numFmtId="3" fontId="75" fillId="28" borderId="0" xfId="82" applyNumberFormat="1" applyFont="1" applyFill="1" applyAlignment="1">
      <alignment vertical="top"/>
    </xf>
    <xf numFmtId="0" fontId="102" fillId="28" borderId="0" xfId="82" applyFont="1" applyFill="1" applyAlignment="1">
      <alignment vertical="top"/>
    </xf>
    <xf numFmtId="3" fontId="75" fillId="28" borderId="0" xfId="83" applyNumberFormat="1" applyFont="1" applyFill="1" applyAlignment="1">
      <alignment vertical="top"/>
    </xf>
    <xf numFmtId="0" fontId="102" fillId="28" borderId="11" xfId="82" applyFont="1" applyFill="1" applyBorder="1" applyAlignment="1">
      <alignment vertical="top"/>
    </xf>
    <xf numFmtId="0" fontId="71" fillId="28" borderId="20" xfId="82" applyFont="1" applyFill="1" applyBorder="1"/>
    <xf numFmtId="0" fontId="10" fillId="28" borderId="19" xfId="82" applyFont="1" applyFill="1" applyBorder="1" applyProtection="1">
      <protection locked="0"/>
    </xf>
    <xf numFmtId="0" fontId="10" fillId="28" borderId="19" xfId="82" applyFont="1" applyFill="1" applyBorder="1" applyAlignment="1" applyProtection="1">
      <alignment vertical="center"/>
      <protection locked="0"/>
    </xf>
    <xf numFmtId="0" fontId="10" fillId="28" borderId="19" xfId="82" applyFont="1" applyFill="1" applyBorder="1" applyAlignment="1" applyProtection="1">
      <alignment vertical="top"/>
      <protection locked="0"/>
    </xf>
    <xf numFmtId="0" fontId="10" fillId="28" borderId="0" xfId="82" applyFont="1" applyFill="1" applyAlignment="1" applyProtection="1">
      <alignment vertical="top"/>
      <protection locked="0"/>
    </xf>
    <xf numFmtId="3" fontId="80" fillId="28" borderId="0" xfId="82" applyNumberFormat="1" applyFont="1" applyFill="1"/>
    <xf numFmtId="0" fontId="80" fillId="28" borderId="0" xfId="82" applyFont="1" applyFill="1"/>
    <xf numFmtId="0" fontId="104" fillId="28" borderId="0" xfId="82" applyFont="1" applyFill="1"/>
    <xf numFmtId="0" fontId="105" fillId="28" borderId="0" xfId="82" applyFont="1" applyFill="1"/>
    <xf numFmtId="0" fontId="106" fillId="28" borderId="0" xfId="82" applyFont="1" applyFill="1"/>
    <xf numFmtId="0" fontId="105" fillId="28" borderId="0" xfId="49" applyFont="1" applyFill="1"/>
    <xf numFmtId="0" fontId="105" fillId="28" borderId="0" xfId="85" applyFont="1" applyFill="1"/>
    <xf numFmtId="0" fontId="87" fillId="28" borderId="13" xfId="82" applyFont="1" applyFill="1" applyBorder="1"/>
    <xf numFmtId="0" fontId="87" fillId="28" borderId="15" xfId="82" applyFont="1" applyFill="1" applyBorder="1"/>
    <xf numFmtId="0" fontId="87" fillId="28" borderId="13" xfId="82" applyFont="1" applyFill="1" applyBorder="1" applyAlignment="1">
      <alignment vertical="center" wrapText="1"/>
    </xf>
    <xf numFmtId="0" fontId="87" fillId="28" borderId="15" xfId="82" applyFont="1" applyFill="1" applyBorder="1" applyAlignment="1">
      <alignment vertical="center" wrapText="1"/>
    </xf>
    <xf numFmtId="165" fontId="87" fillId="28" borderId="15" xfId="33" applyFont="1" applyFill="1" applyBorder="1"/>
    <xf numFmtId="165" fontId="98" fillId="28" borderId="17" xfId="33" applyFont="1" applyFill="1" applyBorder="1"/>
    <xf numFmtId="165" fontId="87" fillId="28" borderId="17" xfId="33" applyFont="1" applyFill="1" applyBorder="1"/>
    <xf numFmtId="165" fontId="87" fillId="28" borderId="17" xfId="33" applyFont="1" applyFill="1" applyBorder="1" applyAlignment="1">
      <alignment horizontal="right"/>
    </xf>
    <xf numFmtId="0" fontId="9" fillId="0" borderId="22" xfId="0" applyFont="1" applyBorder="1"/>
    <xf numFmtId="0" fontId="9" fillId="0" borderId="20" xfId="0" applyFont="1" applyBorder="1"/>
    <xf numFmtId="0" fontId="8" fillId="25" borderId="13" xfId="0" applyFont="1" applyFill="1" applyBorder="1"/>
    <xf numFmtId="0" fontId="8" fillId="25" borderId="14" xfId="0" applyFont="1" applyFill="1" applyBorder="1" applyAlignment="1">
      <alignment horizontal="center" vertical="center" wrapText="1"/>
    </xf>
    <xf numFmtId="0" fontId="8" fillId="25" borderId="14" xfId="0" applyFont="1" applyFill="1" applyBorder="1" applyAlignment="1">
      <alignment horizontal="center" wrapText="1"/>
    </xf>
    <xf numFmtId="0" fontId="8" fillId="25" borderId="15" xfId="0" applyFont="1" applyFill="1" applyBorder="1" applyAlignment="1">
      <alignment horizontal="center" wrapText="1"/>
    </xf>
    <xf numFmtId="166" fontId="0" fillId="0" borderId="24" xfId="33" applyNumberFormat="1" applyFont="1" applyBorder="1"/>
    <xf numFmtId="0" fontId="9" fillId="0" borderId="24" xfId="0" applyFont="1" applyBorder="1" applyAlignment="1">
      <alignment horizontal="center"/>
    </xf>
    <xf numFmtId="0" fontId="9" fillId="0" borderId="23" xfId="0" applyFont="1" applyBorder="1" applyAlignment="1">
      <alignment horizontal="center"/>
    </xf>
    <xf numFmtId="9" fontId="0" fillId="0" borderId="11" xfId="81" applyFont="1" applyBorder="1" applyAlignment="1">
      <alignment horizontal="center"/>
    </xf>
    <xf numFmtId="165" fontId="9" fillId="0" borderId="11" xfId="33" applyBorder="1" applyAlignment="1">
      <alignment horizontal="center"/>
    </xf>
    <xf numFmtId="9" fontId="0" fillId="0" borderId="21" xfId="81" applyFont="1" applyBorder="1" applyAlignment="1">
      <alignment horizontal="center"/>
    </xf>
    <xf numFmtId="0" fontId="0" fillId="0" borderId="22" xfId="0" applyBorder="1"/>
    <xf numFmtId="166" fontId="0" fillId="0" borderId="23" xfId="33" applyNumberFormat="1" applyFont="1" applyBorder="1"/>
    <xf numFmtId="166" fontId="0" fillId="0" borderId="21" xfId="33" applyNumberFormat="1" applyFont="1" applyBorder="1"/>
    <xf numFmtId="0" fontId="0" fillId="0" borderId="13" xfId="0" applyBorder="1"/>
    <xf numFmtId="166" fontId="0" fillId="0" borderId="14" xfId="33" applyNumberFormat="1" applyFont="1" applyBorder="1"/>
    <xf numFmtId="166" fontId="0" fillId="0" borderId="15" xfId="33" applyNumberFormat="1" applyFont="1" applyBorder="1"/>
    <xf numFmtId="0" fontId="8" fillId="25" borderId="14" xfId="0" applyFont="1" applyFill="1" applyBorder="1"/>
    <xf numFmtId="0" fontId="8" fillId="25" borderId="15" xfId="0" applyFont="1" applyFill="1" applyBorder="1"/>
    <xf numFmtId="4" fontId="57" fillId="0" borderId="0" xfId="0" applyNumberFormat="1" applyFont="1"/>
    <xf numFmtId="0" fontId="0" fillId="0" borderId="15" xfId="0" applyBorder="1"/>
    <xf numFmtId="0" fontId="9" fillId="0" borderId="13" xfId="0" applyFont="1" applyBorder="1"/>
    <xf numFmtId="166" fontId="0" fillId="0" borderId="14" xfId="0" applyNumberFormat="1" applyBorder="1"/>
    <xf numFmtId="0" fontId="0" fillId="25" borderId="15" xfId="0" applyFill="1" applyBorder="1"/>
    <xf numFmtId="0" fontId="57" fillId="0" borderId="0" xfId="0" applyFont="1"/>
    <xf numFmtId="0" fontId="57" fillId="0" borderId="0" xfId="0" applyFont="1" applyAlignment="1">
      <alignment horizontal="right"/>
    </xf>
    <xf numFmtId="3" fontId="9" fillId="0" borderId="0" xfId="0" applyNumberFormat="1" applyFont="1"/>
    <xf numFmtId="0" fontId="9" fillId="0" borderId="15" xfId="0" applyFont="1" applyBorder="1"/>
    <xf numFmtId="3" fontId="0" fillId="0" borderId="17" xfId="0" applyNumberFormat="1" applyBorder="1"/>
    <xf numFmtId="166" fontId="0" fillId="0" borderId="17" xfId="33" applyNumberFormat="1" applyFont="1" applyBorder="1"/>
    <xf numFmtId="0" fontId="9" fillId="25" borderId="13" xfId="0" applyFont="1" applyFill="1" applyBorder="1"/>
    <xf numFmtId="166" fontId="0" fillId="25" borderId="17" xfId="33" applyNumberFormat="1" applyFont="1" applyFill="1" applyBorder="1"/>
    <xf numFmtId="3" fontId="0" fillId="25" borderId="17" xfId="0" applyNumberFormat="1" applyFill="1" applyBorder="1"/>
    <xf numFmtId="9" fontId="0" fillId="0" borderId="17" xfId="81" applyFont="1" applyBorder="1"/>
    <xf numFmtId="0" fontId="0" fillId="26" borderId="17" xfId="0" applyFill="1" applyBorder="1" applyAlignment="1">
      <alignment vertical="center"/>
    </xf>
    <xf numFmtId="0" fontId="0" fillId="26" borderId="17" xfId="0" applyFill="1" applyBorder="1" applyAlignment="1">
      <alignment horizontal="center" vertical="center"/>
    </xf>
    <xf numFmtId="0" fontId="0" fillId="26" borderId="17" xfId="0" applyFill="1" applyBorder="1" applyAlignment="1">
      <alignment horizontal="center" vertical="center" wrapText="1"/>
    </xf>
    <xf numFmtId="0" fontId="0" fillId="0" borderId="17" xfId="0" applyBorder="1" applyAlignment="1">
      <alignment horizontal="center"/>
    </xf>
    <xf numFmtId="0" fontId="8" fillId="30" borderId="17" xfId="0" applyFont="1" applyFill="1" applyBorder="1"/>
    <xf numFmtId="0" fontId="8" fillId="30" borderId="17" xfId="0" applyFont="1" applyFill="1" applyBorder="1" applyAlignment="1">
      <alignment horizontal="center"/>
    </xf>
    <xf numFmtId="0" fontId="9" fillId="25" borderId="17" xfId="0" applyFont="1" applyFill="1" applyBorder="1"/>
    <xf numFmtId="0" fontId="13" fillId="0" borderId="0" xfId="0" applyFont="1" applyAlignment="1">
      <alignment horizontal="center"/>
    </xf>
    <xf numFmtId="0" fontId="98" fillId="0" borderId="0" xfId="82" applyFont="1"/>
    <xf numFmtId="0" fontId="107" fillId="0" borderId="0" xfId="82" applyFont="1"/>
    <xf numFmtId="0" fontId="9" fillId="0" borderId="21" xfId="0" applyFont="1" applyBorder="1" applyAlignment="1">
      <alignment wrapText="1"/>
    </xf>
    <xf numFmtId="174" fontId="90" fillId="0" borderId="12" xfId="83" applyNumberFormat="1" applyFont="1" applyBorder="1" applyAlignment="1">
      <alignment vertical="center" wrapText="1"/>
    </xf>
    <xf numFmtId="166" fontId="57" fillId="0" borderId="0" xfId="0" applyNumberFormat="1" applyFont="1"/>
    <xf numFmtId="0" fontId="9" fillId="0" borderId="0" xfId="0" applyFont="1" applyAlignment="1">
      <alignment horizontal="left" vertical="center" wrapText="1"/>
    </xf>
    <xf numFmtId="166" fontId="9" fillId="0" borderId="12" xfId="33" applyNumberFormat="1" applyBorder="1" applyAlignment="1">
      <alignment vertical="center"/>
    </xf>
    <xf numFmtId="166" fontId="90" fillId="28" borderId="12" xfId="33" applyNumberFormat="1" applyFont="1" applyFill="1" applyBorder="1" applyAlignment="1">
      <alignment vertical="center" wrapText="1"/>
    </xf>
    <xf numFmtId="166" fontId="90" fillId="28" borderId="12" xfId="82" applyNumberFormat="1" applyFont="1" applyFill="1" applyBorder="1" applyAlignment="1">
      <alignment vertical="center" wrapText="1"/>
    </xf>
    <xf numFmtId="0" fontId="8" fillId="24" borderId="13" xfId="0" applyFont="1" applyFill="1" applyBorder="1"/>
    <xf numFmtId="0" fontId="11" fillId="0" borderId="0" xfId="82" applyFont="1"/>
    <xf numFmtId="0" fontId="54" fillId="0" borderId="18" xfId="0" applyFont="1" applyBorder="1"/>
    <xf numFmtId="0" fontId="51" fillId="31" borderId="22" xfId="49" applyFont="1" applyFill="1" applyBorder="1" applyAlignment="1">
      <alignment horizontal="center" vertical="center" wrapText="1"/>
    </xf>
    <xf numFmtId="0" fontId="51" fillId="31" borderId="20" xfId="49" applyFont="1" applyFill="1" applyBorder="1" applyAlignment="1">
      <alignment horizontal="center" vertical="center" wrapText="1"/>
    </xf>
    <xf numFmtId="0" fontId="9" fillId="0" borderId="31" xfId="106" applyFont="1" applyBorder="1"/>
    <xf numFmtId="0" fontId="8" fillId="0" borderId="32" xfId="106" applyFont="1" applyBorder="1" applyAlignment="1">
      <alignment horizontal="center"/>
    </xf>
    <xf numFmtId="0" fontId="8" fillId="0" borderId="30" xfId="106" applyFont="1" applyBorder="1" applyAlignment="1">
      <alignment horizontal="center"/>
    </xf>
    <xf numFmtId="0" fontId="8" fillId="0" borderId="31" xfId="106" applyFont="1" applyBorder="1" applyAlignment="1">
      <alignment horizontal="center"/>
    </xf>
    <xf numFmtId="0" fontId="8" fillId="0" borderId="33" xfId="106" applyFont="1" applyBorder="1" applyAlignment="1">
      <alignment horizontal="center"/>
    </xf>
    <xf numFmtId="0" fontId="8" fillId="26" borderId="32" xfId="106" applyFont="1" applyFill="1" applyBorder="1" applyAlignment="1">
      <alignment horizontal="center"/>
    </xf>
    <xf numFmtId="0" fontId="8" fillId="26" borderId="33" xfId="106" applyFont="1" applyFill="1" applyBorder="1" applyAlignment="1">
      <alignment horizontal="center"/>
    </xf>
    <xf numFmtId="0" fontId="9" fillId="0" borderId="33" xfId="106" applyFont="1" applyBorder="1"/>
    <xf numFmtId="0" fontId="115" fillId="0" borderId="32" xfId="106" applyFont="1" applyBorder="1" applyAlignment="1">
      <alignment horizontal="center" vertical="top" wrapText="1"/>
    </xf>
    <xf numFmtId="0" fontId="115" fillId="0" borderId="33" xfId="106" applyFont="1" applyBorder="1" applyAlignment="1">
      <alignment horizontal="center" vertical="top" wrapText="1"/>
    </xf>
    <xf numFmtId="0" fontId="8" fillId="0" borderId="34" xfId="106" applyFont="1" applyBorder="1" applyAlignment="1">
      <alignment horizontal="center"/>
    </xf>
    <xf numFmtId="0" fontId="8" fillId="0" borderId="35" xfId="106" applyFont="1" applyBorder="1" applyAlignment="1">
      <alignment horizontal="center"/>
    </xf>
    <xf numFmtId="0" fontId="8" fillId="25" borderId="26" xfId="106" applyFont="1" applyFill="1" applyBorder="1" applyAlignment="1">
      <alignment horizontal="center"/>
    </xf>
    <xf numFmtId="0" fontId="8" fillId="25" borderId="29" xfId="106" applyFont="1" applyFill="1" applyBorder="1" applyAlignment="1">
      <alignment horizontal="center"/>
    </xf>
    <xf numFmtId="0" fontId="8" fillId="25" borderId="26" xfId="106" applyFont="1" applyFill="1" applyBorder="1" applyAlignment="1">
      <alignment horizontal="center" vertical="center" wrapText="1"/>
    </xf>
    <xf numFmtId="0" fontId="8" fillId="25" borderId="29" xfId="106" applyFont="1" applyFill="1" applyBorder="1" applyAlignment="1">
      <alignment horizontal="center" vertical="center" wrapText="1"/>
    </xf>
    <xf numFmtId="0" fontId="8" fillId="25" borderId="28" xfId="106" applyFont="1" applyFill="1" applyBorder="1" applyAlignment="1">
      <alignment horizontal="center" vertical="center" wrapText="1"/>
    </xf>
    <xf numFmtId="0" fontId="8" fillId="0" borderId="19" xfId="106" applyFont="1" applyBorder="1" applyAlignment="1">
      <alignment horizontal="center"/>
    </xf>
    <xf numFmtId="0" fontId="8" fillId="0" borderId="14" xfId="106" applyFont="1" applyBorder="1" applyAlignment="1">
      <alignment horizontal="center"/>
    </xf>
    <xf numFmtId="0" fontId="115" fillId="0" borderId="14" xfId="106" applyFont="1" applyBorder="1" applyAlignment="1">
      <alignment horizontal="center" vertical="top" wrapText="1"/>
    </xf>
    <xf numFmtId="0" fontId="9" fillId="0" borderId="54" xfId="106" applyFont="1" applyBorder="1"/>
    <xf numFmtId="0" fontId="8" fillId="0" borderId="55" xfId="106" applyFont="1" applyBorder="1" applyAlignment="1">
      <alignment horizontal="center"/>
    </xf>
    <xf numFmtId="0" fontId="8" fillId="0" borderId="56" xfId="106" applyFont="1" applyBorder="1" applyAlignment="1">
      <alignment horizontal="center"/>
    </xf>
    <xf numFmtId="0" fontId="8" fillId="25" borderId="26" xfId="106" applyFont="1" applyFill="1" applyBorder="1" applyAlignment="1">
      <alignment horizontal="center" vertical="center"/>
    </xf>
    <xf numFmtId="0" fontId="8" fillId="25" borderId="26" xfId="106" applyFont="1" applyFill="1" applyBorder="1"/>
    <xf numFmtId="0" fontId="93" fillId="25" borderId="26" xfId="106" applyFont="1" applyFill="1" applyBorder="1" applyAlignment="1">
      <alignment horizontal="center"/>
    </xf>
    <xf numFmtId="0" fontId="93" fillId="25" borderId="29" xfId="106" applyFont="1" applyFill="1" applyBorder="1" applyAlignment="1">
      <alignment horizontal="center"/>
    </xf>
    <xf numFmtId="0" fontId="93" fillId="32" borderId="0" xfId="106" applyFont="1" applyFill="1"/>
    <xf numFmtId="174" fontId="93" fillId="32" borderId="0" xfId="106" applyNumberFormat="1" applyFont="1" applyFill="1"/>
    <xf numFmtId="166" fontId="9" fillId="0" borderId="0" xfId="33" applyNumberFormat="1" applyAlignment="1">
      <alignment horizontal="center"/>
    </xf>
    <xf numFmtId="165" fontId="9" fillId="0" borderId="0" xfId="0" applyNumberFormat="1" applyFont="1"/>
    <xf numFmtId="0" fontId="5" fillId="0" borderId="0" xfId="82" applyFont="1"/>
    <xf numFmtId="0" fontId="8" fillId="26" borderId="25" xfId="0" applyFont="1" applyFill="1" applyBorder="1"/>
    <xf numFmtId="0" fontId="4" fillId="0" borderId="0" xfId="82" applyFont="1"/>
    <xf numFmtId="0" fontId="75" fillId="28" borderId="0" xfId="82" applyFont="1" applyFill="1" applyAlignment="1">
      <alignment horizontal="left" vertical="top" wrapText="1"/>
    </xf>
    <xf numFmtId="0" fontId="10" fillId="28" borderId="0" xfId="82" applyFont="1" applyFill="1" applyAlignment="1">
      <alignment horizontal="justify" vertical="top" wrapText="1"/>
    </xf>
    <xf numFmtId="0" fontId="78" fillId="28" borderId="0" xfId="82" applyFont="1" applyFill="1" applyAlignment="1">
      <alignment vertical="center" wrapText="1"/>
    </xf>
    <xf numFmtId="0" fontId="10" fillId="28" borderId="0" xfId="82" applyFont="1" applyFill="1" applyAlignment="1" applyProtection="1">
      <alignment horizontal="center" vertical="top" wrapText="1"/>
      <protection locked="0"/>
    </xf>
    <xf numFmtId="0" fontId="71" fillId="28" borderId="24" xfId="82" applyFont="1" applyFill="1" applyBorder="1" applyAlignment="1" applyProtection="1">
      <alignment horizontal="center"/>
      <protection locked="0"/>
    </xf>
    <xf numFmtId="38" fontId="9" fillId="0" borderId="17" xfId="33" applyNumberFormat="1" applyBorder="1"/>
    <xf numFmtId="0" fontId="0" fillId="0" borderId="33" xfId="106" applyFont="1" applyBorder="1"/>
    <xf numFmtId="0" fontId="87" fillId="0" borderId="0" xfId="82" applyFont="1" applyAlignment="1">
      <alignment horizontal="center"/>
    </xf>
    <xf numFmtId="0" fontId="87" fillId="0" borderId="19" xfId="82" applyFont="1" applyBorder="1"/>
    <xf numFmtId="0" fontId="8" fillId="26" borderId="17" xfId="0" applyFont="1" applyFill="1" applyBorder="1" applyAlignment="1">
      <alignment horizontal="left"/>
    </xf>
    <xf numFmtId="175" fontId="8" fillId="25" borderId="29" xfId="106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right"/>
    </xf>
    <xf numFmtId="10" fontId="8" fillId="33" borderId="0" xfId="81" applyNumberFormat="1" applyFont="1" applyFill="1"/>
    <xf numFmtId="176" fontId="0" fillId="0" borderId="0" xfId="33" applyNumberFormat="1" applyFont="1" applyAlignment="1">
      <alignment horizontal="right"/>
    </xf>
    <xf numFmtId="10" fontId="8" fillId="0" borderId="0" xfId="81" applyNumberFormat="1" applyFont="1"/>
    <xf numFmtId="0" fontId="52" fillId="0" borderId="0" xfId="0" applyFont="1"/>
    <xf numFmtId="0" fontId="10" fillId="0" borderId="16" xfId="0" applyFont="1" applyBorder="1"/>
    <xf numFmtId="166" fontId="11" fillId="0" borderId="12" xfId="0" applyNumberFormat="1" applyFont="1" applyBorder="1"/>
    <xf numFmtId="166" fontId="10" fillId="0" borderId="12" xfId="0" applyNumberFormat="1" applyFont="1" applyBorder="1"/>
    <xf numFmtId="166" fontId="11" fillId="25" borderId="17" xfId="0" applyNumberFormat="1" applyFont="1" applyFill="1" applyBorder="1"/>
    <xf numFmtId="0" fontId="52" fillId="30" borderId="17" xfId="0" applyFont="1" applyFill="1" applyBorder="1" applyAlignment="1">
      <alignment horizontal="center"/>
    </xf>
    <xf numFmtId="0" fontId="52" fillId="30" borderId="17" xfId="0" applyFont="1" applyFill="1" applyBorder="1"/>
    <xf numFmtId="0" fontId="52" fillId="30" borderId="17" xfId="0" applyFont="1" applyFill="1" applyBorder="1" applyAlignment="1">
      <alignment horizontal="left"/>
    </xf>
    <xf numFmtId="0" fontId="53" fillId="30" borderId="17" xfId="0" applyFont="1" applyFill="1" applyBorder="1" applyAlignment="1">
      <alignment horizontal="center"/>
    </xf>
    <xf numFmtId="0" fontId="53" fillId="30" borderId="17" xfId="0" applyFont="1" applyFill="1" applyBorder="1"/>
    <xf numFmtId="0" fontId="52" fillId="30" borderId="12" xfId="0" applyFont="1" applyFill="1" applyBorder="1" applyAlignment="1">
      <alignment horizontal="left"/>
    </xf>
    <xf numFmtId="0" fontId="53" fillId="30" borderId="12" xfId="0" applyFont="1" applyFill="1" applyBorder="1" applyAlignment="1">
      <alignment horizontal="center"/>
    </xf>
    <xf numFmtId="0" fontId="53" fillId="30" borderId="12" xfId="0" applyFont="1" applyFill="1" applyBorder="1"/>
    <xf numFmtId="0" fontId="55" fillId="30" borderId="17" xfId="0" applyFont="1" applyFill="1" applyBorder="1"/>
    <xf numFmtId="166" fontId="55" fillId="30" borderId="17" xfId="0" applyNumberFormat="1" applyFont="1" applyFill="1" applyBorder="1"/>
    <xf numFmtId="0" fontId="48" fillId="30" borderId="17" xfId="0" applyFont="1" applyFill="1" applyBorder="1" applyAlignment="1">
      <alignment horizontal="center"/>
    </xf>
    <xf numFmtId="37" fontId="56" fillId="30" borderId="17" xfId="85" applyNumberFormat="1" applyFont="1" applyFill="1" applyBorder="1" applyAlignment="1">
      <alignment horizontal="center" vertical="center"/>
    </xf>
    <xf numFmtId="37" fontId="56" fillId="30" borderId="17" xfId="85" applyNumberFormat="1" applyFont="1" applyFill="1" applyBorder="1" applyAlignment="1">
      <alignment horizontal="center" wrapText="1"/>
    </xf>
    <xf numFmtId="0" fontId="8" fillId="26" borderId="17" xfId="0" applyFont="1" applyFill="1" applyBorder="1" applyAlignment="1">
      <alignment horizontal="center"/>
    </xf>
    <xf numFmtId="0" fontId="8" fillId="0" borderId="17" xfId="0" applyFont="1" applyBorder="1" applyAlignment="1">
      <alignment horizontal="center"/>
    </xf>
    <xf numFmtId="0" fontId="50" fillId="0" borderId="17" xfId="0" applyFont="1" applyBorder="1"/>
    <xf numFmtId="0" fontId="9" fillId="34" borderId="0" xfId="0" applyFont="1" applyFill="1"/>
    <xf numFmtId="166" fontId="8" fillId="25" borderId="17" xfId="33" applyNumberFormat="1" applyFont="1" applyFill="1" applyBorder="1"/>
    <xf numFmtId="0" fontId="0" fillId="34" borderId="13" xfId="0" applyFill="1" applyBorder="1"/>
    <xf numFmtId="166" fontId="12" fillId="34" borderId="14" xfId="33" applyNumberFormat="1" applyFont="1" applyFill="1" applyBorder="1" applyAlignment="1">
      <alignment horizontal="right"/>
    </xf>
    <xf numFmtId="166" fontId="40" fillId="34" borderId="15" xfId="33" applyNumberFormat="1" applyFont="1" applyFill="1" applyBorder="1"/>
    <xf numFmtId="0" fontId="52" fillId="34" borderId="13" xfId="0" applyFont="1" applyFill="1" applyBorder="1"/>
    <xf numFmtId="166" fontId="52" fillId="34" borderId="14" xfId="33" applyNumberFormat="1" applyFont="1" applyFill="1" applyBorder="1" applyAlignment="1">
      <alignment horizontal="center"/>
    </xf>
    <xf numFmtId="166" fontId="52" fillId="34" borderId="15" xfId="33" applyNumberFormat="1" applyFont="1" applyFill="1" applyBorder="1" applyAlignment="1">
      <alignment horizontal="center"/>
    </xf>
    <xf numFmtId="0" fontId="51" fillId="34" borderId="22" xfId="0" applyFont="1" applyFill="1" applyBorder="1"/>
    <xf numFmtId="0" fontId="51" fillId="34" borderId="23" xfId="0" applyFont="1" applyFill="1" applyBorder="1"/>
    <xf numFmtId="166" fontId="51" fillId="34" borderId="16" xfId="33" applyNumberFormat="1" applyFont="1" applyFill="1" applyBorder="1" applyAlignment="1">
      <alignment horizontal="center"/>
    </xf>
    <xf numFmtId="166" fontId="51" fillId="34" borderId="24" xfId="33" applyNumberFormat="1" applyFont="1" applyFill="1" applyBorder="1" applyAlignment="1">
      <alignment horizontal="center"/>
    </xf>
    <xf numFmtId="166" fontId="51" fillId="34" borderId="16" xfId="33" applyNumberFormat="1" applyFont="1" applyFill="1" applyBorder="1"/>
    <xf numFmtId="0" fontId="51" fillId="34" borderId="20" xfId="0" applyFont="1" applyFill="1" applyBorder="1"/>
    <xf numFmtId="0" fontId="51" fillId="34" borderId="21" xfId="0" applyFont="1" applyFill="1" applyBorder="1"/>
    <xf numFmtId="166" fontId="51" fillId="34" borderId="18" xfId="33" applyNumberFormat="1" applyFont="1" applyFill="1" applyBorder="1" applyAlignment="1">
      <alignment horizontal="center"/>
    </xf>
    <xf numFmtId="166" fontId="51" fillId="34" borderId="19" xfId="33" applyNumberFormat="1" applyFont="1" applyFill="1" applyBorder="1" applyAlignment="1">
      <alignment horizontal="center"/>
    </xf>
    <xf numFmtId="0" fontId="52" fillId="34" borderId="17" xfId="0" applyFont="1" applyFill="1" applyBorder="1" applyAlignment="1">
      <alignment horizontal="center"/>
    </xf>
    <xf numFmtId="0" fontId="52" fillId="34" borderId="17" xfId="0" applyFont="1" applyFill="1" applyBorder="1"/>
    <xf numFmtId="166" fontId="52" fillId="34" borderId="17" xfId="33" applyNumberFormat="1" applyFont="1" applyFill="1" applyBorder="1" applyAlignment="1">
      <alignment horizontal="right"/>
    </xf>
    <xf numFmtId="0" fontId="52" fillId="34" borderId="17" xfId="0" applyFont="1" applyFill="1" applyBorder="1" applyAlignment="1">
      <alignment horizontal="left"/>
    </xf>
    <xf numFmtId="0" fontId="53" fillId="34" borderId="17" xfId="0" applyFont="1" applyFill="1" applyBorder="1" applyAlignment="1">
      <alignment horizontal="center"/>
    </xf>
    <xf numFmtId="0" fontId="53" fillId="34" borderId="17" xfId="0" applyFont="1" applyFill="1" applyBorder="1"/>
    <xf numFmtId="0" fontId="52" fillId="34" borderId="12" xfId="0" applyFont="1" applyFill="1" applyBorder="1" applyAlignment="1">
      <alignment horizontal="left"/>
    </xf>
    <xf numFmtId="0" fontId="53" fillId="34" borderId="12" xfId="0" applyFont="1" applyFill="1" applyBorder="1" applyAlignment="1">
      <alignment horizontal="center"/>
    </xf>
    <xf numFmtId="0" fontId="53" fillId="34" borderId="12" xfId="0" applyFont="1" applyFill="1" applyBorder="1"/>
    <xf numFmtId="0" fontId="55" fillId="34" borderId="17" xfId="0" applyFont="1" applyFill="1" applyBorder="1"/>
    <xf numFmtId="166" fontId="55" fillId="34" borderId="17" xfId="0" applyNumberFormat="1" applyFont="1" applyFill="1" applyBorder="1"/>
    <xf numFmtId="0" fontId="55" fillId="34" borderId="13" xfId="0" applyFont="1" applyFill="1" applyBorder="1"/>
    <xf numFmtId="0" fontId="55" fillId="34" borderId="14" xfId="0" applyFont="1" applyFill="1" applyBorder="1"/>
    <xf numFmtId="0" fontId="55" fillId="34" borderId="17" xfId="0" applyFont="1" applyFill="1" applyBorder="1" applyAlignment="1">
      <alignment horizontal="center"/>
    </xf>
    <xf numFmtId="0" fontId="55" fillId="34" borderId="0" xfId="0" applyFont="1" applyFill="1" applyAlignment="1">
      <alignment horizontal="center"/>
    </xf>
    <xf numFmtId="0" fontId="0" fillId="34" borderId="14" xfId="0" applyFill="1" applyBorder="1"/>
    <xf numFmtId="166" fontId="9" fillId="34" borderId="15" xfId="33" applyNumberFormat="1" applyFill="1" applyBorder="1"/>
    <xf numFmtId="0" fontId="9" fillId="34" borderId="13" xfId="0" applyFont="1" applyFill="1" applyBorder="1"/>
    <xf numFmtId="0" fontId="9" fillId="34" borderId="14" xfId="0" applyFont="1" applyFill="1" applyBorder="1"/>
    <xf numFmtId="0" fontId="9" fillId="34" borderId="15" xfId="0" applyFont="1" applyFill="1" applyBorder="1"/>
    <xf numFmtId="166" fontId="0" fillId="34" borderId="14" xfId="33" applyNumberFormat="1" applyFont="1" applyFill="1" applyBorder="1"/>
    <xf numFmtId="0" fontId="15" fillId="34" borderId="15" xfId="0" applyFont="1" applyFill="1" applyBorder="1"/>
    <xf numFmtId="0" fontId="73" fillId="34" borderId="13" xfId="82" applyFont="1" applyFill="1" applyBorder="1" applyAlignment="1">
      <alignment horizontal="center" vertical="center"/>
    </xf>
    <xf numFmtId="0" fontId="51" fillId="34" borderId="14" xfId="49" applyFont="1" applyFill="1" applyBorder="1" applyAlignment="1">
      <alignment horizontal="center" vertical="center"/>
    </xf>
    <xf numFmtId="0" fontId="51" fillId="34" borderId="15" xfId="49" applyFont="1" applyFill="1" applyBorder="1" applyAlignment="1">
      <alignment horizontal="center" vertical="center"/>
    </xf>
    <xf numFmtId="0" fontId="51" fillId="34" borderId="24" xfId="82" applyFont="1" applyFill="1" applyBorder="1" applyAlignment="1">
      <alignment horizontal="centerContinuous"/>
    </xf>
    <xf numFmtId="0" fontId="73" fillId="34" borderId="23" xfId="82" applyFont="1" applyFill="1" applyBorder="1"/>
    <xf numFmtId="0" fontId="73" fillId="34" borderId="11" xfId="82" applyFont="1" applyFill="1" applyBorder="1"/>
    <xf numFmtId="0" fontId="80" fillId="34" borderId="13" xfId="82" applyFont="1" applyFill="1" applyBorder="1" applyAlignment="1">
      <alignment horizontal="center" vertical="center"/>
    </xf>
    <xf numFmtId="0" fontId="51" fillId="34" borderId="24" xfId="82" applyFont="1" applyFill="1" applyBorder="1" applyAlignment="1">
      <alignment horizontal="center" vertical="center" wrapText="1"/>
    </xf>
    <xf numFmtId="0" fontId="51" fillId="34" borderId="24" xfId="49" applyFont="1" applyFill="1" applyBorder="1" applyAlignment="1">
      <alignment horizontal="center" vertical="center" wrapText="1"/>
    </xf>
    <xf numFmtId="0" fontId="51" fillId="34" borderId="23" xfId="49" applyFont="1" applyFill="1" applyBorder="1" applyAlignment="1">
      <alignment horizontal="center" vertical="center" wrapText="1"/>
    </xf>
    <xf numFmtId="0" fontId="51" fillId="34" borderId="19" xfId="82" applyFont="1" applyFill="1" applyBorder="1" applyAlignment="1">
      <alignment horizontal="center" vertical="center" wrapText="1"/>
    </xf>
    <xf numFmtId="0" fontId="51" fillId="34" borderId="19" xfId="49" applyFont="1" applyFill="1" applyBorder="1" applyAlignment="1">
      <alignment horizontal="center" vertical="center" wrapText="1"/>
    </xf>
    <xf numFmtId="0" fontId="51" fillId="34" borderId="21" xfId="49" applyFont="1" applyFill="1" applyBorder="1" applyAlignment="1">
      <alignment horizontal="center" vertical="center" wrapText="1"/>
    </xf>
    <xf numFmtId="0" fontId="51" fillId="34" borderId="13" xfId="49" applyFont="1" applyFill="1" applyBorder="1" applyAlignment="1">
      <alignment horizontal="center" vertical="center" wrapText="1"/>
    </xf>
    <xf numFmtId="0" fontId="51" fillId="34" borderId="14" xfId="49" applyFont="1" applyFill="1" applyBorder="1" applyAlignment="1">
      <alignment horizontal="center" vertical="center" wrapText="1"/>
    </xf>
    <xf numFmtId="0" fontId="51" fillId="34" borderId="14" xfId="82" applyFont="1" applyFill="1" applyBorder="1" applyAlignment="1">
      <alignment horizontal="center" vertical="center" wrapText="1"/>
    </xf>
    <xf numFmtId="0" fontId="51" fillId="34" borderId="15" xfId="49" applyFont="1" applyFill="1" applyBorder="1" applyAlignment="1">
      <alignment horizontal="center" vertical="center" wrapText="1"/>
    </xf>
    <xf numFmtId="171" fontId="51" fillId="34" borderId="13" xfId="83" applyNumberFormat="1" applyFont="1" applyFill="1" applyBorder="1" applyAlignment="1">
      <alignment horizontal="center" vertical="center" wrapText="1"/>
    </xf>
    <xf numFmtId="171" fontId="51" fillId="34" borderId="14" xfId="83" applyNumberFormat="1" applyFont="1" applyFill="1" applyBorder="1" applyAlignment="1">
      <alignment horizontal="center" vertical="center" wrapText="1"/>
    </xf>
    <xf numFmtId="171" fontId="51" fillId="34" borderId="15" xfId="83" applyNumberFormat="1" applyFont="1" applyFill="1" applyBorder="1" applyAlignment="1">
      <alignment horizontal="center" vertical="center" wrapText="1"/>
    </xf>
    <xf numFmtId="0" fontId="73" fillId="34" borderId="14" xfId="82" applyFont="1" applyFill="1" applyBorder="1" applyAlignment="1">
      <alignment vertical="center"/>
    </xf>
    <xf numFmtId="0" fontId="73" fillId="34" borderId="15" xfId="82" applyFont="1" applyFill="1" applyBorder="1"/>
    <xf numFmtId="37" fontId="56" fillId="34" borderId="17" xfId="85" applyNumberFormat="1" applyFont="1" applyFill="1" applyBorder="1" applyAlignment="1">
      <alignment horizontal="center" vertical="center"/>
    </xf>
    <xf numFmtId="37" fontId="56" fillId="34" borderId="17" xfId="85" applyNumberFormat="1" applyFont="1" applyFill="1" applyBorder="1" applyAlignment="1">
      <alignment horizontal="center" wrapText="1"/>
    </xf>
    <xf numFmtId="0" fontId="56" fillId="34" borderId="17" xfId="82" applyFont="1" applyFill="1" applyBorder="1" applyAlignment="1">
      <alignment horizontal="center" vertical="center" wrapText="1"/>
    </xf>
    <xf numFmtId="174" fontId="56" fillId="34" borderId="17" xfId="83" applyNumberFormat="1" applyFont="1" applyFill="1" applyBorder="1" applyAlignment="1">
      <alignment horizontal="center" vertical="center" wrapText="1"/>
    </xf>
    <xf numFmtId="0" fontId="52" fillId="34" borderId="0" xfId="0" applyFont="1" applyFill="1"/>
    <xf numFmtId="0" fontId="53" fillId="34" borderId="0" xfId="0" applyFont="1" applyFill="1"/>
    <xf numFmtId="0" fontId="8" fillId="0" borderId="0" xfId="0" applyFont="1" applyAlignment="1">
      <alignment horizontal="left"/>
    </xf>
    <xf numFmtId="166" fontId="8" fillId="0" borderId="0" xfId="0" applyNumberFormat="1" applyFont="1"/>
    <xf numFmtId="166" fontId="52" fillId="34" borderId="17" xfId="33" applyNumberFormat="1" applyFont="1" applyFill="1" applyBorder="1" applyAlignment="1">
      <alignment horizontal="center"/>
    </xf>
    <xf numFmtId="171" fontId="51" fillId="34" borderId="14" xfId="83" applyNumberFormat="1" applyFont="1" applyFill="1" applyBorder="1" applyAlignment="1">
      <alignment horizontal="right" vertical="center"/>
    </xf>
    <xf numFmtId="171" fontId="51" fillId="34" borderId="0" xfId="83" applyNumberFormat="1" applyFont="1" applyFill="1" applyAlignment="1">
      <alignment horizontal="right"/>
    </xf>
    <xf numFmtId="0" fontId="51" fillId="34" borderId="24" xfId="82" applyFont="1" applyFill="1" applyBorder="1"/>
    <xf numFmtId="0" fontId="52" fillId="34" borderId="17" xfId="0" applyFont="1" applyFill="1" applyBorder="1" applyAlignment="1">
      <alignment horizontal="center" vertical="center"/>
    </xf>
    <xf numFmtId="167" fontId="8" fillId="26" borderId="17" xfId="47" applyNumberFormat="1" applyFont="1" applyFill="1" applyBorder="1" applyAlignment="1">
      <alignment horizontal="center" vertical="center" wrapText="1"/>
    </xf>
    <xf numFmtId="0" fontId="8" fillId="26" borderId="17" xfId="0" applyFont="1" applyFill="1" applyBorder="1" applyAlignment="1">
      <alignment horizontal="center" vertical="center" wrapText="1"/>
    </xf>
    <xf numFmtId="0" fontId="0" fillId="0" borderId="17" xfId="33" applyNumberFormat="1" applyFont="1" applyBorder="1" applyAlignment="1">
      <alignment horizontal="center" vertical="center"/>
    </xf>
    <xf numFmtId="9" fontId="0" fillId="0" borderId="17" xfId="81" applyFont="1" applyBorder="1" applyAlignment="1">
      <alignment horizontal="center" vertical="center"/>
    </xf>
    <xf numFmtId="0" fontId="0" fillId="35" borderId="0" xfId="0" applyFill="1" applyAlignment="1">
      <alignment horizontal="left" vertical="top" wrapText="1"/>
    </xf>
    <xf numFmtId="0" fontId="136" fillId="35" borderId="0" xfId="0" applyFont="1" applyFill="1" applyAlignment="1">
      <alignment horizontal="right" vertical="center" wrapText="1"/>
    </xf>
    <xf numFmtId="0" fontId="137" fillId="35" borderId="0" xfId="0" applyFont="1" applyFill="1" applyAlignment="1">
      <alignment horizontal="left" wrapText="1"/>
    </xf>
    <xf numFmtId="0" fontId="139" fillId="35" borderId="0" xfId="0" applyFont="1" applyFill="1" applyAlignment="1">
      <alignment horizontal="center" vertical="center" wrapText="1"/>
    </xf>
    <xf numFmtId="0" fontId="139" fillId="35" borderId="0" xfId="0" applyFont="1" applyFill="1" applyAlignment="1">
      <alignment horizontal="right" wrapText="1"/>
    </xf>
    <xf numFmtId="0" fontId="139" fillId="35" borderId="0" xfId="0" applyFont="1" applyFill="1" applyAlignment="1">
      <alignment horizontal="right" vertical="center" wrapText="1"/>
    </xf>
    <xf numFmtId="7" fontId="142" fillId="35" borderId="0" xfId="0" applyNumberFormat="1" applyFont="1" applyFill="1" applyAlignment="1">
      <alignment horizontal="right" wrapText="1"/>
    </xf>
    <xf numFmtId="0" fontId="143" fillId="35" borderId="0" xfId="0" applyFont="1" applyFill="1" applyAlignment="1">
      <alignment horizontal="left" vertical="top" wrapText="1"/>
    </xf>
    <xf numFmtId="7" fontId="144" fillId="35" borderId="0" xfId="0" applyNumberFormat="1" applyFont="1" applyFill="1" applyAlignment="1">
      <alignment horizontal="right" wrapText="1"/>
    </xf>
    <xf numFmtId="7" fontId="145" fillId="35" borderId="0" xfId="0" applyNumberFormat="1" applyFont="1" applyFill="1" applyAlignment="1">
      <alignment horizontal="right" wrapText="1"/>
    </xf>
    <xf numFmtId="0" fontId="144" fillId="35" borderId="0" xfId="0" applyFont="1" applyFill="1" applyAlignment="1">
      <alignment horizontal="left" vertical="top" wrapText="1"/>
    </xf>
    <xf numFmtId="7" fontId="146" fillId="35" borderId="0" xfId="0" applyNumberFormat="1" applyFont="1" applyFill="1" applyAlignment="1">
      <alignment horizontal="right" wrapText="1"/>
    </xf>
    <xf numFmtId="165" fontId="8" fillId="0" borderId="0" xfId="33" applyFont="1" applyAlignment="1">
      <alignment horizontal="center"/>
    </xf>
    <xf numFmtId="165" fontId="0" fillId="0" borderId="17" xfId="33" applyFont="1" applyBorder="1"/>
    <xf numFmtId="17" fontId="9" fillId="0" borderId="0" xfId="0" applyNumberFormat="1" applyFont="1"/>
    <xf numFmtId="165" fontId="8" fillId="0" borderId="0" xfId="0" applyNumberFormat="1" applyFont="1"/>
    <xf numFmtId="3" fontId="86" fillId="28" borderId="0" xfId="82" applyNumberFormat="1" applyFont="1" applyFill="1" applyAlignment="1">
      <alignment horizontal="center"/>
    </xf>
    <xf numFmtId="0" fontId="145" fillId="35" borderId="0" xfId="0" applyFont="1" applyFill="1" applyAlignment="1">
      <alignment horizontal="left" wrapText="1"/>
    </xf>
    <xf numFmtId="0" fontId="155" fillId="0" borderId="0" xfId="131" applyFont="1"/>
    <xf numFmtId="0" fontId="156" fillId="0" borderId="0" xfId="131" applyFont="1" applyAlignment="1">
      <alignment horizontal="centerContinuous" wrapText="1"/>
    </xf>
    <xf numFmtId="0" fontId="157" fillId="0" borderId="0" xfId="131" applyFont="1" applyAlignment="1">
      <alignment horizontal="centerContinuous" wrapText="1"/>
    </xf>
    <xf numFmtId="177" fontId="157" fillId="0" borderId="0" xfId="131" applyNumberFormat="1" applyFont="1" applyAlignment="1">
      <alignment horizontal="centerContinuous" wrapText="1"/>
    </xf>
    <xf numFmtId="0" fontId="158" fillId="0" borderId="0" xfId="131" applyFont="1"/>
    <xf numFmtId="0" fontId="160" fillId="0" borderId="0" xfId="131" applyFont="1" applyAlignment="1">
      <alignment horizontal="center"/>
    </xf>
    <xf numFmtId="177" fontId="157" fillId="0" borderId="0" xfId="131" applyNumberFormat="1" applyFont="1" applyAlignment="1">
      <alignment horizontal="center"/>
    </xf>
    <xf numFmtId="0" fontId="157" fillId="0" borderId="0" xfId="131" applyFont="1" applyAlignment="1">
      <alignment horizontal="center"/>
    </xf>
    <xf numFmtId="0" fontId="159" fillId="0" borderId="0" xfId="131" applyFont="1" applyAlignment="1">
      <alignment horizontal="center" vertical="center" wrapText="1"/>
    </xf>
    <xf numFmtId="0" fontId="159" fillId="0" borderId="0" xfId="131" applyFont="1" applyAlignment="1">
      <alignment vertical="center" wrapText="1"/>
    </xf>
    <xf numFmtId="177" fontId="158" fillId="0" borderId="0" xfId="131" applyNumberFormat="1" applyFont="1"/>
    <xf numFmtId="4" fontId="158" fillId="0" borderId="0" xfId="131" applyNumberFormat="1" applyFont="1"/>
    <xf numFmtId="0" fontId="157" fillId="0" borderId="0" xfId="131" applyFont="1"/>
    <xf numFmtId="0" fontId="158" fillId="0" borderId="0" xfId="131" applyFont="1" applyAlignment="1">
      <alignment wrapText="1"/>
    </xf>
    <xf numFmtId="0" fontId="161" fillId="0" borderId="0" xfId="131" applyFont="1"/>
    <xf numFmtId="177" fontId="161" fillId="0" borderId="0" xfId="131" applyNumberFormat="1" applyFont="1"/>
    <xf numFmtId="4" fontId="161" fillId="0" borderId="0" xfId="131" applyNumberFormat="1" applyFont="1"/>
    <xf numFmtId="177" fontId="158" fillId="0" borderId="19" xfId="131" applyNumberFormat="1" applyFont="1" applyBorder="1"/>
    <xf numFmtId="177" fontId="157" fillId="0" borderId="0" xfId="131" applyNumberFormat="1" applyFont="1"/>
    <xf numFmtId="4" fontId="157" fillId="0" borderId="0" xfId="131" applyNumberFormat="1" applyFont="1"/>
    <xf numFmtId="177" fontId="157" fillId="0" borderId="24" xfId="131" applyNumberFormat="1" applyFont="1" applyBorder="1"/>
    <xf numFmtId="0" fontId="154" fillId="0" borderId="0" xfId="131" applyFont="1" applyAlignment="1">
      <alignment vertical="center"/>
    </xf>
    <xf numFmtId="0" fontId="162" fillId="0" borderId="0" xfId="131" applyFont="1" applyAlignment="1">
      <alignment horizontal="center" vertical="center"/>
    </xf>
    <xf numFmtId="4" fontId="163" fillId="36" borderId="58" xfId="131" applyNumberFormat="1" applyFont="1" applyFill="1" applyBorder="1" applyAlignment="1">
      <alignment vertical="center"/>
    </xf>
    <xf numFmtId="0" fontId="157" fillId="0" borderId="0" xfId="131" applyFont="1" applyAlignment="1">
      <alignment vertical="center"/>
    </xf>
    <xf numFmtId="4" fontId="162" fillId="0" borderId="0" xfId="131" applyNumberFormat="1" applyFont="1" applyAlignment="1">
      <alignment vertical="center"/>
    </xf>
    <xf numFmtId="0" fontId="157" fillId="0" borderId="0" xfId="131" applyFont="1" applyAlignment="1">
      <alignment horizontal="center" vertical="center"/>
    </xf>
    <xf numFmtId="0" fontId="164" fillId="0" borderId="0" xfId="131" applyFont="1" applyAlignment="1">
      <alignment horizontal="center"/>
    </xf>
    <xf numFmtId="0" fontId="158" fillId="0" borderId="0" xfId="131" applyFont="1" applyAlignment="1">
      <alignment horizontal="left"/>
    </xf>
    <xf numFmtId="4" fontId="164" fillId="0" borderId="0" xfId="131" applyNumberFormat="1" applyFont="1"/>
    <xf numFmtId="0" fontId="165" fillId="0" borderId="0" xfId="131" applyFont="1"/>
    <xf numFmtId="177" fontId="165" fillId="0" borderId="0" xfId="131" applyNumberFormat="1" applyFont="1"/>
    <xf numFmtId="177" fontId="165" fillId="0" borderId="19" xfId="131" applyNumberFormat="1" applyFont="1" applyBorder="1"/>
    <xf numFmtId="0" fontId="166" fillId="0" borderId="0" xfId="131" applyFont="1"/>
    <xf numFmtId="177" fontId="166" fillId="0" borderId="58" xfId="131" applyNumberFormat="1" applyFont="1" applyBorder="1"/>
    <xf numFmtId="0" fontId="167" fillId="0" borderId="0" xfId="131" applyFont="1" applyAlignment="1">
      <alignment vertical="center"/>
    </xf>
    <xf numFmtId="177" fontId="166" fillId="0" borderId="0" xfId="131" applyNumberFormat="1" applyFont="1"/>
    <xf numFmtId="4" fontId="165" fillId="0" borderId="0" xfId="131" applyNumberFormat="1" applyFont="1"/>
    <xf numFmtId="0" fontId="8" fillId="32" borderId="0" xfId="0" applyFont="1" applyFill="1"/>
    <xf numFmtId="0" fontId="36" fillId="32" borderId="0" xfId="0" applyFont="1" applyFill="1"/>
    <xf numFmtId="0" fontId="12" fillId="0" borderId="17" xfId="0" applyFont="1" applyBorder="1" applyAlignment="1">
      <alignment horizontal="left"/>
    </xf>
    <xf numFmtId="178" fontId="9" fillId="0" borderId="0" xfId="0" applyNumberFormat="1" applyFont="1"/>
    <xf numFmtId="10" fontId="0" fillId="0" borderId="17" xfId="81" applyNumberFormat="1" applyFont="1" applyBorder="1" applyAlignment="1">
      <alignment horizontal="center" vertical="center"/>
    </xf>
    <xf numFmtId="166" fontId="9" fillId="0" borderId="17" xfId="0" applyNumberFormat="1" applyFont="1" applyBorder="1"/>
    <xf numFmtId="0" fontId="97" fillId="0" borderId="0" xfId="82" applyFont="1" applyFill="1"/>
    <xf numFmtId="0" fontId="71" fillId="28" borderId="18" xfId="82" applyFont="1" applyFill="1" applyBorder="1" applyAlignment="1">
      <alignment horizontal="center" vertical="center" wrapText="1"/>
    </xf>
    <xf numFmtId="0" fontId="0" fillId="0" borderId="0" xfId="0" applyFill="1"/>
    <xf numFmtId="165" fontId="9" fillId="0" borderId="0" xfId="33" applyFont="1"/>
    <xf numFmtId="165" fontId="13" fillId="0" borderId="0" xfId="33" applyFont="1"/>
    <xf numFmtId="165" fontId="12" fillId="0" borderId="0" xfId="33" applyFont="1"/>
    <xf numFmtId="0" fontId="8" fillId="0" borderId="0" xfId="106" applyFont="1" applyAlignment="1">
      <alignment horizontal="center"/>
    </xf>
    <xf numFmtId="0" fontId="93" fillId="0" borderId="0" xfId="106" applyFont="1" applyAlignment="1">
      <alignment horizontal="center"/>
    </xf>
    <xf numFmtId="0" fontId="153" fillId="0" borderId="0" xfId="131"/>
    <xf numFmtId="0" fontId="6" fillId="0" borderId="30" xfId="106" applyBorder="1"/>
    <xf numFmtId="0" fontId="8" fillId="0" borderId="21" xfId="106" applyFont="1" applyBorder="1" applyAlignment="1">
      <alignment horizontal="center"/>
    </xf>
    <xf numFmtId="0" fontId="8" fillId="0" borderId="18" xfId="106" applyFont="1" applyBorder="1" applyAlignment="1">
      <alignment horizontal="center"/>
    </xf>
    <xf numFmtId="0" fontId="9" fillId="0" borderId="30" xfId="106" applyFont="1" applyBorder="1"/>
    <xf numFmtId="0" fontId="8" fillId="0" borderId="59" xfId="106" applyFont="1" applyBorder="1" applyAlignment="1">
      <alignment horizontal="center"/>
    </xf>
    <xf numFmtId="0" fontId="6" fillId="0" borderId="32" xfId="106" applyBorder="1"/>
    <xf numFmtId="0" fontId="8" fillId="0" borderId="60" xfId="106" applyFont="1" applyBorder="1" applyAlignment="1">
      <alignment horizontal="center"/>
    </xf>
    <xf numFmtId="0" fontId="9" fillId="0" borderId="32" xfId="106" applyFont="1" applyBorder="1"/>
    <xf numFmtId="175" fontId="8" fillId="0" borderId="60" xfId="106" applyNumberFormat="1" applyFont="1" applyBorder="1" applyAlignment="1">
      <alignment horizontal="center" vertical="center" wrapText="1"/>
    </xf>
    <xf numFmtId="175" fontId="8" fillId="0" borderId="33" xfId="106" applyNumberFormat="1" applyFont="1" applyBorder="1" applyAlignment="1">
      <alignment horizontal="center" vertical="center" wrapText="1"/>
    </xf>
    <xf numFmtId="0" fontId="0" fillId="0" borderId="32" xfId="106" applyFont="1" applyBorder="1"/>
    <xf numFmtId="0" fontId="8" fillId="26" borderId="60" xfId="106" applyFont="1" applyFill="1" applyBorder="1" applyAlignment="1">
      <alignment horizontal="center"/>
    </xf>
    <xf numFmtId="0" fontId="115" fillId="0" borderId="60" xfId="106" applyFont="1" applyBorder="1" applyAlignment="1">
      <alignment horizontal="center" vertical="top" wrapText="1"/>
    </xf>
    <xf numFmtId="0" fontId="6" fillId="0" borderId="34" xfId="106" applyBorder="1"/>
    <xf numFmtId="0" fontId="8" fillId="0" borderId="61" xfId="106" applyFont="1" applyBorder="1" applyAlignment="1">
      <alignment horizontal="center"/>
    </xf>
    <xf numFmtId="174" fontId="8" fillId="25" borderId="27" xfId="107" applyNumberFormat="1" applyFont="1" applyFill="1" applyBorder="1" applyAlignment="1">
      <alignment horizontal="center"/>
    </xf>
    <xf numFmtId="174" fontId="8" fillId="0" borderId="0" xfId="107" applyNumberFormat="1" applyFont="1" applyAlignment="1">
      <alignment horizontal="center"/>
    </xf>
    <xf numFmtId="0" fontId="6" fillId="0" borderId="0" xfId="106"/>
    <xf numFmtId="0" fontId="6" fillId="0" borderId="31" xfId="106" applyBorder="1"/>
    <xf numFmtId="0" fontId="6" fillId="0" borderId="30" xfId="106" applyBorder="1" applyAlignment="1">
      <alignment horizontal="center"/>
    </xf>
    <xf numFmtId="0" fontId="6" fillId="0" borderId="33" xfId="106" applyBorder="1"/>
    <xf numFmtId="0" fontId="0" fillId="0" borderId="32" xfId="106" applyFont="1" applyBorder="1" applyAlignment="1">
      <alignment horizontal="center"/>
    </xf>
    <xf numFmtId="0" fontId="6" fillId="0" borderId="32" xfId="106" applyBorder="1" applyAlignment="1">
      <alignment horizontal="center"/>
    </xf>
    <xf numFmtId="0" fontId="6" fillId="0" borderId="54" xfId="106" applyBorder="1"/>
    <xf numFmtId="0" fontId="6" fillId="0" borderId="55" xfId="106" applyBorder="1" applyAlignment="1">
      <alignment horizontal="center"/>
    </xf>
    <xf numFmtId="0" fontId="6" fillId="0" borderId="35" xfId="106" applyBorder="1"/>
    <xf numFmtId="0" fontId="6" fillId="0" borderId="34" xfId="106" applyBorder="1" applyAlignment="1">
      <alignment horizontal="center"/>
    </xf>
    <xf numFmtId="17" fontId="8" fillId="0" borderId="0" xfId="0" applyNumberFormat="1" applyFont="1" applyAlignment="1">
      <alignment horizontal="left"/>
    </xf>
    <xf numFmtId="4" fontId="0" fillId="0" borderId="0" xfId="0" applyNumberFormat="1"/>
    <xf numFmtId="4" fontId="8" fillId="0" borderId="0" xfId="0" applyNumberFormat="1" applyFont="1"/>
    <xf numFmtId="4" fontId="8" fillId="26" borderId="29" xfId="0" applyNumberFormat="1" applyFont="1" applyFill="1" applyBorder="1"/>
    <xf numFmtId="4" fontId="9" fillId="0" borderId="0" xfId="0" applyNumberFormat="1" applyFont="1"/>
    <xf numFmtId="0" fontId="176" fillId="0" borderId="0" xfId="0" applyFont="1"/>
    <xf numFmtId="4" fontId="176" fillId="26" borderId="29" xfId="0" applyNumberFormat="1" applyFont="1" applyFill="1" applyBorder="1"/>
    <xf numFmtId="0" fontId="8" fillId="24" borderId="26" xfId="0" applyFont="1" applyFill="1" applyBorder="1"/>
    <xf numFmtId="0" fontId="8" fillId="24" borderId="28" xfId="0" applyFont="1" applyFill="1" applyBorder="1"/>
    <xf numFmtId="4" fontId="8" fillId="24" borderId="28" xfId="0" applyNumberFormat="1" applyFont="1" applyFill="1" applyBorder="1"/>
    <xf numFmtId="4" fontId="8" fillId="24" borderId="27" xfId="0" applyNumberFormat="1" applyFont="1" applyFill="1" applyBorder="1"/>
    <xf numFmtId="0" fontId="9" fillId="0" borderId="17" xfId="0" applyFont="1" applyFill="1" applyBorder="1" applyAlignment="1">
      <alignment horizontal="center"/>
    </xf>
    <xf numFmtId="0" fontId="9" fillId="0" borderId="17" xfId="0" applyFont="1" applyFill="1" applyBorder="1"/>
    <xf numFmtId="166" fontId="9" fillId="0" borderId="17" xfId="33" applyNumberFormat="1" applyFill="1" applyBorder="1"/>
    <xf numFmtId="166" fontId="9" fillId="0" borderId="17" xfId="33" applyNumberFormat="1" applyFont="1" applyFill="1" applyBorder="1"/>
    <xf numFmtId="38" fontId="9" fillId="0" borderId="17" xfId="33" applyNumberFormat="1" applyFill="1" applyBorder="1"/>
    <xf numFmtId="0" fontId="9" fillId="0" borderId="0" xfId="0" applyFont="1" applyFill="1"/>
    <xf numFmtId="0" fontId="11" fillId="0" borderId="0" xfId="82" applyFont="1" applyFill="1"/>
    <xf numFmtId="166" fontId="9" fillId="0" borderId="12" xfId="33" applyNumberFormat="1" applyFont="1" applyBorder="1"/>
    <xf numFmtId="0" fontId="9" fillId="37" borderId="17" xfId="0" applyFont="1" applyFill="1" applyBorder="1"/>
    <xf numFmtId="166" fontId="9" fillId="0" borderId="17" xfId="33" applyNumberFormat="1" applyFont="1" applyBorder="1"/>
    <xf numFmtId="165" fontId="0" fillId="0" borderId="0" xfId="33" applyFont="1" applyFill="1"/>
    <xf numFmtId="43" fontId="65" fillId="0" borderId="0" xfId="37" applyFont="1" applyFill="1"/>
    <xf numFmtId="43" fontId="65" fillId="0" borderId="22" xfId="37" applyFont="1" applyFill="1" applyBorder="1"/>
    <xf numFmtId="43" fontId="65" fillId="0" borderId="24" xfId="37" applyFont="1" applyFill="1" applyBorder="1"/>
    <xf numFmtId="43" fontId="65" fillId="0" borderId="23" xfId="37" applyFont="1" applyFill="1" applyBorder="1"/>
    <xf numFmtId="43" fontId="64" fillId="0" borderId="17" xfId="37" applyFont="1" applyFill="1" applyBorder="1" applyAlignment="1">
      <alignment horizontal="center"/>
    </xf>
    <xf numFmtId="43" fontId="65" fillId="0" borderId="17" xfId="37" applyFont="1" applyFill="1" applyBorder="1"/>
    <xf numFmtId="4" fontId="65" fillId="0" borderId="17" xfId="37" applyNumberFormat="1" applyFont="1" applyFill="1" applyBorder="1"/>
    <xf numFmtId="43" fontId="65" fillId="0" borderId="18" xfId="37" applyFont="1" applyFill="1" applyBorder="1"/>
    <xf numFmtId="43" fontId="64" fillId="0" borderId="17" xfId="37" applyFont="1" applyFill="1" applyBorder="1"/>
    <xf numFmtId="43" fontId="65" fillId="0" borderId="17" xfId="136" applyNumberFormat="1" applyFont="1" applyFill="1" applyBorder="1"/>
    <xf numFmtId="169" fontId="64" fillId="0" borderId="17" xfId="37" applyNumberFormat="1" applyFont="1" applyFill="1" applyBorder="1"/>
    <xf numFmtId="43" fontId="65" fillId="0" borderId="0" xfId="37" applyFont="1" applyFill="1" applyBorder="1"/>
    <xf numFmtId="43" fontId="64" fillId="0" borderId="10" xfId="37" applyFont="1" applyFill="1" applyBorder="1"/>
    <xf numFmtId="43" fontId="64" fillId="0" borderId="0" xfId="37" applyFont="1" applyFill="1" applyBorder="1"/>
    <xf numFmtId="43" fontId="64" fillId="0" borderId="11" xfId="37" applyFont="1" applyFill="1" applyBorder="1"/>
    <xf numFmtId="43" fontId="65" fillId="0" borderId="17" xfId="37" applyFont="1" applyFill="1" applyBorder="1" applyAlignment="1">
      <alignment horizontal="right"/>
    </xf>
    <xf numFmtId="170" fontId="65" fillId="0" borderId="17" xfId="37" applyNumberFormat="1" applyFont="1" applyFill="1" applyBorder="1" applyAlignment="1">
      <alignment horizontal="right"/>
    </xf>
    <xf numFmtId="170" fontId="65" fillId="0" borderId="17" xfId="37" applyNumberFormat="1" applyFont="1" applyFill="1" applyBorder="1"/>
    <xf numFmtId="4" fontId="65" fillId="0" borderId="15" xfId="37" applyNumberFormat="1" applyFont="1" applyFill="1" applyBorder="1"/>
    <xf numFmtId="43" fontId="65" fillId="0" borderId="13" xfId="37" applyFont="1" applyFill="1" applyBorder="1"/>
    <xf numFmtId="170" fontId="65" fillId="0" borderId="13" xfId="37" applyNumberFormat="1" applyFont="1" applyFill="1" applyBorder="1"/>
    <xf numFmtId="170" fontId="65" fillId="0" borderId="0" xfId="37" applyNumberFormat="1" applyFont="1" applyFill="1" applyBorder="1"/>
    <xf numFmtId="43" fontId="65" fillId="0" borderId="18" xfId="37" applyFont="1" applyFill="1" applyBorder="1" applyAlignment="1">
      <alignment horizontal="right"/>
    </xf>
    <xf numFmtId="4" fontId="65" fillId="0" borderId="13" xfId="37" applyNumberFormat="1" applyFont="1" applyFill="1" applyBorder="1"/>
    <xf numFmtId="43" fontId="65" fillId="0" borderId="20" xfId="37" applyFont="1" applyFill="1" applyBorder="1"/>
    <xf numFmtId="43" fontId="65" fillId="0" borderId="19" xfId="37" applyFont="1" applyFill="1" applyBorder="1"/>
    <xf numFmtId="43" fontId="65" fillId="0" borderId="21" xfId="37" applyFont="1" applyFill="1" applyBorder="1"/>
    <xf numFmtId="43" fontId="65" fillId="0" borderId="16" xfId="37" applyFont="1" applyFill="1" applyBorder="1"/>
    <xf numFmtId="43" fontId="64" fillId="0" borderId="0" xfId="37" applyFont="1" applyFill="1"/>
    <xf numFmtId="43" fontId="65" fillId="0" borderId="16" xfId="37" applyFont="1" applyFill="1" applyBorder="1" applyAlignment="1">
      <alignment horizontal="center"/>
    </xf>
    <xf numFmtId="43" fontId="65" fillId="0" borderId="17" xfId="37" applyFont="1" applyFill="1" applyBorder="1" applyAlignment="1">
      <alignment horizontal="center"/>
    </xf>
    <xf numFmtId="43" fontId="65" fillId="0" borderId="18" xfId="37" applyFont="1" applyFill="1" applyBorder="1" applyAlignment="1">
      <alignment horizontal="center"/>
    </xf>
    <xf numFmtId="43" fontId="65" fillId="0" borderId="0" xfId="37" applyFont="1" applyFill="1" applyAlignment="1"/>
    <xf numFmtId="43" fontId="65" fillId="0" borderId="19" xfId="37" applyFont="1" applyFill="1" applyBorder="1" applyAlignment="1"/>
    <xf numFmtId="43" fontId="64" fillId="0" borderId="0" xfId="37" applyFont="1" applyFill="1" applyAlignment="1"/>
    <xf numFmtId="169" fontId="64" fillId="0" borderId="0" xfId="37" applyNumberFormat="1" applyFont="1" applyFill="1" applyBorder="1"/>
    <xf numFmtId="0" fontId="75" fillId="28" borderId="0" xfId="82" applyFont="1" applyFill="1" applyAlignment="1">
      <alignment horizontal="left" vertical="top" wrapText="1"/>
    </xf>
    <xf numFmtId="166" fontId="0" fillId="0" borderId="0" xfId="33" applyNumberFormat="1" applyFont="1" applyFill="1"/>
    <xf numFmtId="166" fontId="0" fillId="0" borderId="0" xfId="33" applyNumberFormat="1" applyFont="1" applyFill="1" applyAlignment="1">
      <alignment horizontal="right"/>
    </xf>
    <xf numFmtId="0" fontId="94" fillId="0" borderId="0" xfId="82" applyFont="1" applyFill="1"/>
    <xf numFmtId="14" fontId="0" fillId="0" borderId="0" xfId="0" applyNumberFormat="1"/>
    <xf numFmtId="4" fontId="175" fillId="26" borderId="29" xfId="0" applyNumberFormat="1" applyFont="1" applyFill="1" applyBorder="1"/>
    <xf numFmtId="0" fontId="11" fillId="0" borderId="36" xfId="0" applyFont="1" applyBorder="1" applyAlignment="1">
      <alignment vertical="center" wrapText="1"/>
    </xf>
    <xf numFmtId="4" fontId="11" fillId="0" borderId="0" xfId="33" applyNumberFormat="1" applyFont="1" applyFill="1" applyBorder="1" applyAlignment="1">
      <alignment horizontal="right" vertical="center" wrapText="1"/>
    </xf>
    <xf numFmtId="4" fontId="11" fillId="0" borderId="45" xfId="33" applyNumberFormat="1" applyFont="1" applyFill="1" applyBorder="1" applyAlignment="1">
      <alignment horizontal="right" vertical="center" wrapText="1"/>
    </xf>
    <xf numFmtId="4" fontId="10" fillId="0" borderId="0" xfId="33" applyNumberFormat="1" applyFont="1" applyFill="1" applyBorder="1" applyAlignment="1" applyProtection="1">
      <alignment horizontal="right" vertical="center" wrapText="1"/>
      <protection locked="0"/>
    </xf>
    <xf numFmtId="4" fontId="10" fillId="0" borderId="45" xfId="33" applyNumberFormat="1" applyFont="1" applyFill="1" applyBorder="1" applyAlignment="1" applyProtection="1">
      <alignment horizontal="right" vertical="center" wrapText="1"/>
      <protection locked="0"/>
    </xf>
    <xf numFmtId="0" fontId="11" fillId="0" borderId="36" xfId="0" applyFont="1" applyBorder="1" applyAlignment="1">
      <alignment vertical="center"/>
    </xf>
    <xf numFmtId="4" fontId="10" fillId="0" borderId="0" xfId="33" applyNumberFormat="1" applyFont="1" applyFill="1" applyBorder="1" applyAlignment="1">
      <alignment horizontal="right" vertical="center" wrapText="1"/>
    </xf>
    <xf numFmtId="4" fontId="10" fillId="0" borderId="45" xfId="33" applyNumberFormat="1" applyFont="1" applyFill="1" applyBorder="1" applyAlignment="1">
      <alignment horizontal="right" vertical="center" wrapText="1"/>
    </xf>
    <xf numFmtId="0" fontId="11" fillId="0" borderId="42" xfId="0" applyFont="1" applyFill="1" applyBorder="1" applyAlignment="1">
      <alignment horizontal="justify" vertical="center" wrapText="1"/>
    </xf>
    <xf numFmtId="0" fontId="11" fillId="0" borderId="43" xfId="0" applyFont="1" applyFill="1" applyBorder="1" applyAlignment="1">
      <alignment horizontal="justify" vertical="center" wrapText="1"/>
    </xf>
    <xf numFmtId="49" fontId="178" fillId="0" borderId="43" xfId="0" applyNumberFormat="1" applyFont="1" applyFill="1" applyBorder="1" applyAlignment="1" applyProtection="1">
      <alignment horizontal="center" vertical="center" wrapText="1"/>
      <protection locked="0"/>
    </xf>
    <xf numFmtId="49" fontId="178" fillId="0" borderId="44" xfId="0" applyNumberFormat="1" applyFont="1" applyFill="1" applyBorder="1" applyAlignment="1" applyProtection="1">
      <alignment horizontal="center" vertical="center" wrapText="1"/>
      <protection locked="0"/>
    </xf>
    <xf numFmtId="0" fontId="11" fillId="0" borderId="0" xfId="0" applyFont="1" applyFill="1" applyBorder="1" applyAlignment="1">
      <alignment vertical="center" wrapText="1"/>
    </xf>
    <xf numFmtId="0" fontId="11" fillId="0" borderId="36" xfId="0" applyFont="1" applyFill="1" applyBorder="1" applyAlignment="1">
      <alignment vertical="center" wrapText="1"/>
    </xf>
    <xf numFmtId="0" fontId="10" fillId="0" borderId="36" xfId="0" applyFont="1" applyFill="1" applyBorder="1" applyAlignment="1">
      <alignment horizontal="left" vertical="center" indent="1"/>
    </xf>
    <xf numFmtId="0" fontId="10" fillId="0" borderId="0" xfId="0" applyFont="1" applyFill="1" applyBorder="1" applyAlignment="1">
      <alignment vertical="center" wrapText="1"/>
    </xf>
    <xf numFmtId="0" fontId="11" fillId="0" borderId="36" xfId="0" applyFont="1" applyFill="1" applyBorder="1" applyAlignment="1">
      <alignment vertical="center"/>
    </xf>
    <xf numFmtId="0" fontId="11" fillId="0" borderId="0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0" fillId="0" borderId="36" xfId="0" applyFont="1" applyFill="1" applyBorder="1" applyAlignment="1">
      <alignment horizontal="justify" vertical="center" wrapText="1"/>
    </xf>
    <xf numFmtId="0" fontId="10" fillId="0" borderId="0" xfId="0" applyFont="1" applyFill="1" applyBorder="1" applyAlignment="1">
      <alignment horizontal="justify" vertical="center" wrapText="1"/>
    </xf>
    <xf numFmtId="0" fontId="10" fillId="0" borderId="45" xfId="0" applyFont="1" applyFill="1" applyBorder="1"/>
    <xf numFmtId="0" fontId="10" fillId="0" borderId="46" xfId="0" applyFont="1" applyFill="1" applyBorder="1" applyAlignment="1">
      <alignment horizontal="justify" vertical="center" wrapText="1"/>
    </xf>
    <xf numFmtId="0" fontId="10" fillId="0" borderId="47" xfId="0" applyFont="1" applyFill="1" applyBorder="1" applyAlignment="1">
      <alignment horizontal="justify" vertical="center" wrapText="1"/>
    </xf>
    <xf numFmtId="4" fontId="10" fillId="0" borderId="47" xfId="0" applyNumberFormat="1" applyFont="1" applyFill="1" applyBorder="1" applyAlignment="1">
      <alignment horizontal="right" vertical="center" wrapText="1"/>
    </xf>
    <xf numFmtId="4" fontId="10" fillId="0" borderId="48" xfId="0" applyNumberFormat="1" applyFont="1" applyFill="1" applyBorder="1" applyAlignment="1">
      <alignment horizontal="right" vertical="center" wrapText="1"/>
    </xf>
    <xf numFmtId="0" fontId="179" fillId="0" borderId="0" xfId="0" applyFont="1" applyAlignment="1">
      <alignment vertical="center"/>
    </xf>
    <xf numFmtId="0" fontId="179" fillId="0" borderId="0" xfId="0" applyFont="1" applyAlignment="1">
      <alignment horizontal="right" vertical="center"/>
    </xf>
    <xf numFmtId="4" fontId="11" fillId="0" borderId="0" xfId="0" applyNumberFormat="1" applyFont="1" applyAlignment="1">
      <alignment horizontal="right" vertical="center"/>
    </xf>
    <xf numFmtId="0" fontId="11" fillId="0" borderId="45" xfId="0" applyFont="1" applyBorder="1" applyAlignment="1">
      <alignment horizontal="right" vertical="center" wrapText="1"/>
    </xf>
    <xf numFmtId="0" fontId="10" fillId="0" borderId="36" xfId="0" applyFont="1" applyBorder="1" applyAlignment="1">
      <alignment vertical="center" wrapText="1"/>
    </xf>
    <xf numFmtId="0" fontId="10" fillId="0" borderId="36" xfId="0" applyFont="1" applyBorder="1" applyAlignment="1">
      <alignment vertical="center"/>
    </xf>
    <xf numFmtId="0" fontId="10" fillId="0" borderId="0" xfId="0" applyFont="1" applyAlignment="1">
      <alignment horizontal="justify" vertical="center"/>
    </xf>
    <xf numFmtId="0" fontId="79" fillId="0" borderId="36" xfId="0" applyFont="1" applyBorder="1" applyAlignment="1">
      <alignment vertical="center" wrapText="1"/>
    </xf>
    <xf numFmtId="4" fontId="10" fillId="0" borderId="0" xfId="33" applyNumberFormat="1" applyFont="1" applyFill="1" applyBorder="1" applyAlignment="1" applyProtection="1">
      <alignment horizontal="right" vertical="center" wrapText="1"/>
    </xf>
    <xf numFmtId="4" fontId="10" fillId="0" borderId="45" xfId="0" applyNumberFormat="1" applyFont="1" applyBorder="1" applyAlignment="1">
      <alignment horizontal="right" vertical="center" wrapText="1"/>
    </xf>
    <xf numFmtId="4" fontId="10" fillId="0" borderId="45" xfId="33" applyNumberFormat="1" applyFont="1" applyFill="1" applyBorder="1" applyAlignment="1" applyProtection="1">
      <alignment horizontal="right" vertical="center" wrapText="1"/>
    </xf>
    <xf numFmtId="4" fontId="79" fillId="0" borderId="45" xfId="0" applyNumberFormat="1" applyFont="1" applyBorder="1" applyAlignment="1">
      <alignment horizontal="right" vertical="center" wrapText="1"/>
    </xf>
    <xf numFmtId="4" fontId="11" fillId="0" borderId="45" xfId="0" applyNumberFormat="1" applyFont="1" applyBorder="1" applyAlignment="1">
      <alignment horizontal="right" vertical="center" wrapText="1"/>
    </xf>
    <xf numFmtId="4" fontId="10" fillId="0" borderId="45" xfId="0" applyNumberFormat="1" applyFont="1" applyBorder="1" applyAlignment="1" applyProtection="1">
      <alignment horizontal="right" vertical="center" wrapText="1"/>
      <protection locked="0"/>
    </xf>
    <xf numFmtId="0" fontId="179" fillId="0" borderId="36" xfId="0" applyFont="1" applyBorder="1" applyAlignment="1">
      <alignment vertical="center"/>
    </xf>
    <xf numFmtId="4" fontId="75" fillId="0" borderId="45" xfId="0" applyNumberFormat="1" applyFont="1" applyBorder="1" applyAlignment="1">
      <alignment horizontal="right" vertical="center" wrapText="1"/>
    </xf>
    <xf numFmtId="0" fontId="75" fillId="0" borderId="36" xfId="0" applyFont="1" applyBorder="1" applyAlignment="1">
      <alignment vertical="center" wrapText="1"/>
    </xf>
    <xf numFmtId="165" fontId="75" fillId="0" borderId="0" xfId="33" applyFont="1" applyFill="1" applyBorder="1" applyAlignment="1">
      <alignment horizontal="right" vertical="center" wrapText="1"/>
    </xf>
    <xf numFmtId="4" fontId="11" fillId="0" borderId="0" xfId="33" applyNumberFormat="1" applyFont="1" applyFill="1" applyBorder="1" applyAlignment="1" applyProtection="1">
      <alignment horizontal="right" vertical="center" wrapText="1"/>
      <protection locked="0"/>
    </xf>
    <xf numFmtId="4" fontId="11" fillId="0" borderId="45" xfId="33" applyNumberFormat="1" applyFont="1" applyFill="1" applyBorder="1" applyAlignment="1" applyProtection="1">
      <alignment horizontal="right" vertical="center" wrapText="1"/>
      <protection locked="0"/>
    </xf>
    <xf numFmtId="0" fontId="180" fillId="0" borderId="0" xfId="0" applyFont="1" applyAlignment="1">
      <alignment horizontal="right" vertical="center"/>
    </xf>
    <xf numFmtId="0" fontId="11" fillId="0" borderId="47" xfId="0" applyFont="1" applyBorder="1" applyAlignment="1">
      <alignment horizontal="justify" vertical="center" wrapText="1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right" vertical="center"/>
    </xf>
    <xf numFmtId="0" fontId="11" fillId="0" borderId="42" xfId="0" applyFont="1" applyBorder="1" applyAlignment="1">
      <alignment horizontal="justify" vertical="center" wrapText="1"/>
    </xf>
    <xf numFmtId="49" fontId="178" fillId="0" borderId="43" xfId="0" applyNumberFormat="1" applyFont="1" applyBorder="1" applyAlignment="1" applyProtection="1">
      <alignment horizontal="center" vertical="center" wrapText="1"/>
      <protection locked="0"/>
    </xf>
    <xf numFmtId="0" fontId="11" fillId="0" borderId="43" xfId="0" applyFont="1" applyBorder="1" applyAlignment="1">
      <alignment horizontal="justify" vertical="center" wrapText="1"/>
    </xf>
    <xf numFmtId="49" fontId="178" fillId="0" borderId="44" xfId="0" applyNumberFormat="1" applyFont="1" applyBorder="1" applyAlignment="1" applyProtection="1">
      <alignment horizontal="center" vertical="center" wrapText="1"/>
      <protection locked="0"/>
    </xf>
    <xf numFmtId="0" fontId="10" fillId="0" borderId="0" xfId="0" applyFont="1" applyBorder="1" applyAlignment="1">
      <alignment horizontal="justify" vertical="center" wrapText="1"/>
    </xf>
    <xf numFmtId="4" fontId="11" fillId="0" borderId="0" xfId="0" applyNumberFormat="1" applyFont="1" applyBorder="1" applyAlignment="1">
      <alignment horizontal="right" vertical="center"/>
    </xf>
    <xf numFmtId="0" fontId="11" fillId="0" borderId="0" xfId="0" applyFont="1" applyBorder="1" applyAlignment="1">
      <alignment vertical="center" wrapText="1"/>
    </xf>
    <xf numFmtId="0" fontId="11" fillId="0" borderId="0" xfId="0" applyFont="1" applyBorder="1" applyAlignment="1">
      <alignment horizontal="right" vertical="center" wrapText="1"/>
    </xf>
    <xf numFmtId="0" fontId="10" fillId="0" borderId="0" xfId="0" applyFont="1" applyBorder="1" applyAlignment="1">
      <alignment vertical="center" wrapText="1"/>
    </xf>
    <xf numFmtId="0" fontId="10" fillId="0" borderId="0" xfId="0" applyFont="1" applyBorder="1" applyAlignment="1">
      <alignment horizontal="justify" vertical="center"/>
    </xf>
    <xf numFmtId="0" fontId="10" fillId="0" borderId="0" xfId="0" applyFont="1" applyBorder="1" applyAlignment="1">
      <alignment vertical="center"/>
    </xf>
    <xf numFmtId="0" fontId="11" fillId="0" borderId="0" xfId="0" applyFont="1" applyBorder="1" applyAlignment="1">
      <alignment horizontal="justify" vertical="center" wrapText="1"/>
    </xf>
    <xf numFmtId="4" fontId="10" fillId="0" borderId="0" xfId="0" applyNumberFormat="1" applyFont="1" applyBorder="1" applyAlignment="1">
      <alignment horizontal="right" vertical="center" wrapText="1"/>
    </xf>
    <xf numFmtId="0" fontId="79" fillId="0" borderId="0" xfId="0" applyFont="1" applyBorder="1" applyAlignment="1">
      <alignment vertical="center" wrapText="1"/>
    </xf>
    <xf numFmtId="4" fontId="11" fillId="0" borderId="0" xfId="0" applyNumberFormat="1" applyFont="1" applyBorder="1" applyAlignment="1">
      <alignment horizontal="right" vertical="center" wrapText="1"/>
    </xf>
    <xf numFmtId="4" fontId="79" fillId="0" borderId="0" xfId="0" applyNumberFormat="1" applyFont="1" applyBorder="1" applyAlignment="1">
      <alignment horizontal="right" vertical="center" wrapText="1"/>
    </xf>
    <xf numFmtId="4" fontId="10" fillId="0" borderId="0" xfId="0" applyNumberFormat="1" applyFont="1" applyBorder="1" applyAlignment="1" applyProtection="1">
      <alignment horizontal="right" vertical="center" wrapText="1"/>
      <protection locked="0"/>
    </xf>
    <xf numFmtId="0" fontId="75" fillId="0" borderId="0" xfId="0" applyFont="1" applyBorder="1" applyAlignment="1">
      <alignment vertical="center" wrapText="1"/>
    </xf>
    <xf numFmtId="4" fontId="75" fillId="0" borderId="0" xfId="0" applyNumberFormat="1" applyFont="1" applyBorder="1" applyAlignment="1">
      <alignment horizontal="right" vertical="center" wrapText="1"/>
    </xf>
    <xf numFmtId="43" fontId="63" fillId="0" borderId="0" xfId="0" applyNumberFormat="1" applyFont="1" applyBorder="1" applyAlignment="1">
      <alignment horizontal="justify" vertical="center" wrapText="1"/>
    </xf>
    <xf numFmtId="0" fontId="179" fillId="0" borderId="0" xfId="0" applyFont="1"/>
    <xf numFmtId="0" fontId="180" fillId="0" borderId="0" xfId="0" applyFont="1"/>
    <xf numFmtId="0" fontId="11" fillId="39" borderId="13" xfId="0" applyFont="1" applyFill="1" applyBorder="1" applyAlignment="1">
      <alignment horizontal="center" vertical="center" wrapText="1"/>
    </xf>
    <xf numFmtId="0" fontId="11" fillId="39" borderId="17" xfId="0" applyFont="1" applyFill="1" applyBorder="1" applyAlignment="1">
      <alignment horizontal="center" vertical="center" wrapText="1"/>
    </xf>
    <xf numFmtId="0" fontId="11" fillId="39" borderId="15" xfId="0" applyFont="1" applyFill="1" applyBorder="1" applyAlignment="1">
      <alignment horizontal="center" vertical="center" wrapText="1"/>
    </xf>
    <xf numFmtId="0" fontId="10" fillId="0" borderId="20" xfId="0" applyFont="1" applyBorder="1" applyAlignment="1">
      <alignment vertical="center" wrapText="1"/>
    </xf>
    <xf numFmtId="170" fontId="10" fillId="0" borderId="20" xfId="33" applyNumberFormat="1" applyFont="1" applyFill="1" applyBorder="1" applyAlignment="1" applyProtection="1">
      <alignment vertical="center" wrapText="1"/>
    </xf>
    <xf numFmtId="170" fontId="10" fillId="0" borderId="18" xfId="33" applyNumberFormat="1" applyFont="1" applyFill="1" applyBorder="1" applyAlignment="1" applyProtection="1">
      <alignment vertical="center" wrapText="1"/>
    </xf>
    <xf numFmtId="170" fontId="10" fillId="0" borderId="21" xfId="33" applyNumberFormat="1" applyFont="1" applyFill="1" applyBorder="1" applyAlignment="1" applyProtection="1">
      <alignment vertical="center" wrapText="1"/>
    </xf>
    <xf numFmtId="0" fontId="11" fillId="0" borderId="13" xfId="0" applyFont="1" applyBorder="1" applyAlignment="1">
      <alignment vertical="center" wrapText="1"/>
    </xf>
    <xf numFmtId="170" fontId="11" fillId="0" borderId="13" xfId="33" applyNumberFormat="1" applyFont="1" applyFill="1" applyBorder="1" applyAlignment="1" applyProtection="1">
      <alignment vertical="center" wrapText="1"/>
    </xf>
    <xf numFmtId="170" fontId="11" fillId="40" borderId="13" xfId="33" applyNumberFormat="1" applyFont="1" applyFill="1" applyBorder="1" applyAlignment="1" applyProtection="1">
      <alignment vertical="center" wrapText="1"/>
    </xf>
    <xf numFmtId="170" fontId="11" fillId="40" borderId="17" xfId="33" applyNumberFormat="1" applyFont="1" applyFill="1" applyBorder="1" applyAlignment="1" applyProtection="1">
      <alignment vertical="center" wrapText="1"/>
    </xf>
    <xf numFmtId="170" fontId="11" fillId="40" borderId="15" xfId="33" applyNumberFormat="1" applyFont="1" applyFill="1" applyBorder="1" applyAlignment="1" applyProtection="1">
      <alignment vertical="center" wrapText="1"/>
    </xf>
    <xf numFmtId="170" fontId="11" fillId="0" borderId="15" xfId="33" applyNumberFormat="1" applyFont="1" applyFill="1" applyBorder="1" applyAlignment="1" applyProtection="1">
      <alignment vertical="center" wrapText="1"/>
    </xf>
    <xf numFmtId="0" fontId="10" fillId="0" borderId="13" xfId="0" applyFont="1" applyBorder="1" applyAlignment="1">
      <alignment vertical="center" wrapText="1"/>
    </xf>
    <xf numFmtId="170" fontId="10" fillId="0" borderId="13" xfId="33" applyNumberFormat="1" applyFont="1" applyFill="1" applyBorder="1" applyAlignment="1" applyProtection="1">
      <alignment vertical="center" wrapText="1"/>
      <protection locked="0"/>
    </xf>
    <xf numFmtId="170" fontId="10" fillId="40" borderId="13" xfId="33" applyNumberFormat="1" applyFont="1" applyFill="1" applyBorder="1" applyAlignment="1" applyProtection="1">
      <alignment vertical="center" wrapText="1"/>
    </xf>
    <xf numFmtId="170" fontId="10" fillId="40" borderId="17" xfId="33" applyNumberFormat="1" applyFont="1" applyFill="1" applyBorder="1" applyAlignment="1" applyProtection="1">
      <alignment vertical="center" wrapText="1"/>
    </xf>
    <xf numFmtId="170" fontId="10" fillId="40" borderId="15" xfId="33" applyNumberFormat="1" applyFont="1" applyFill="1" applyBorder="1" applyAlignment="1" applyProtection="1">
      <alignment vertical="center" wrapText="1"/>
    </xf>
    <xf numFmtId="170" fontId="10" fillId="0" borderId="15" xfId="33" applyNumberFormat="1" applyFont="1" applyFill="1" applyBorder="1" applyAlignment="1" applyProtection="1">
      <alignment vertical="center" wrapText="1"/>
    </xf>
    <xf numFmtId="170" fontId="10" fillId="0" borderId="13" xfId="33" applyNumberFormat="1" applyFont="1" applyFill="1" applyBorder="1" applyAlignment="1" applyProtection="1">
      <alignment vertical="center" wrapText="1"/>
    </xf>
    <xf numFmtId="170" fontId="10" fillId="0" borderId="17" xfId="33" applyNumberFormat="1" applyFont="1" applyFill="1" applyBorder="1" applyAlignment="1" applyProtection="1">
      <alignment vertical="center" wrapText="1"/>
    </xf>
    <xf numFmtId="170" fontId="11" fillId="0" borderId="17" xfId="33" applyNumberFormat="1" applyFont="1" applyFill="1" applyBorder="1" applyAlignment="1" applyProtection="1">
      <alignment vertical="center" wrapText="1"/>
    </xf>
    <xf numFmtId="170" fontId="10" fillId="0" borderId="17" xfId="33" applyNumberFormat="1" applyFont="1" applyFill="1" applyBorder="1" applyAlignment="1" applyProtection="1">
      <alignment vertical="center" wrapText="1"/>
      <protection locked="0"/>
    </xf>
    <xf numFmtId="170" fontId="10" fillId="0" borderId="15" xfId="33" applyNumberFormat="1" applyFont="1" applyFill="1" applyBorder="1" applyAlignment="1" applyProtection="1">
      <alignment vertical="center" wrapText="1"/>
      <protection locked="0"/>
    </xf>
    <xf numFmtId="0" fontId="182" fillId="0" borderId="0" xfId="0" applyFont="1"/>
    <xf numFmtId="0" fontId="10" fillId="0" borderId="0" xfId="49" applyFont="1" applyAlignment="1">
      <alignment horizontal="left" indent="1"/>
    </xf>
    <xf numFmtId="4" fontId="10" fillId="0" borderId="0" xfId="49" applyNumberFormat="1" applyFont="1" applyAlignment="1">
      <alignment horizontal="right" vertical="center"/>
    </xf>
    <xf numFmtId="0" fontId="10" fillId="0" borderId="0" xfId="49" applyFont="1"/>
    <xf numFmtId="0" fontId="11" fillId="0" borderId="0" xfId="49" applyFont="1" applyAlignment="1">
      <alignment horizontal="right"/>
    </xf>
    <xf numFmtId="0" fontId="11" fillId="0" borderId="0" xfId="49" applyFont="1" applyAlignment="1">
      <alignment vertical="center"/>
    </xf>
    <xf numFmtId="0" fontId="11" fillId="0" borderId="0" xfId="49" applyFont="1" applyAlignment="1">
      <alignment horizontal="center" vertical="center"/>
    </xf>
    <xf numFmtId="0" fontId="11" fillId="0" borderId="36" xfId="49" applyFont="1" applyBorder="1" applyAlignment="1">
      <alignment horizontal="left" vertical="center" indent="1"/>
    </xf>
    <xf numFmtId="4" fontId="11" fillId="0" borderId="0" xfId="49" applyNumberFormat="1" applyFont="1" applyAlignment="1">
      <alignment horizontal="center" vertical="center" wrapText="1"/>
    </xf>
    <xf numFmtId="4" fontId="11" fillId="0" borderId="45" xfId="49" applyNumberFormat="1" applyFont="1" applyBorder="1" applyAlignment="1">
      <alignment horizontal="center" vertical="center" wrapText="1"/>
    </xf>
    <xf numFmtId="43" fontId="11" fillId="0" borderId="0" xfId="49" applyNumberFormat="1" applyFont="1" applyAlignment="1">
      <alignment horizontal="left" vertical="center" wrapText="1"/>
    </xf>
    <xf numFmtId="0" fontId="11" fillId="0" borderId="0" xfId="49" applyFont="1" applyAlignment="1">
      <alignment horizontal="left" vertical="center"/>
    </xf>
    <xf numFmtId="4" fontId="11" fillId="0" borderId="0" xfId="49" applyNumberFormat="1" applyFont="1" applyAlignment="1">
      <alignment horizontal="right" vertical="center" wrapText="1"/>
    </xf>
    <xf numFmtId="4" fontId="11" fillId="0" borderId="45" xfId="49" applyNumberFormat="1" applyFont="1" applyBorder="1" applyAlignment="1">
      <alignment horizontal="right" vertical="center" wrapText="1"/>
    </xf>
    <xf numFmtId="0" fontId="75" fillId="0" borderId="36" xfId="49" applyFont="1" applyBorder="1" applyAlignment="1">
      <alignment horizontal="left" vertical="center" indent="2"/>
    </xf>
    <xf numFmtId="43" fontId="11" fillId="0" borderId="0" xfId="37" applyFont="1" applyFill="1" applyBorder="1" applyAlignment="1">
      <alignment horizontal="left" vertical="center" wrapText="1"/>
    </xf>
    <xf numFmtId="0" fontId="10" fillId="0" borderId="36" xfId="49" applyFont="1" applyBorder="1" applyAlignment="1">
      <alignment horizontal="left" vertical="center" indent="3"/>
    </xf>
    <xf numFmtId="4" fontId="10" fillId="0" borderId="0" xfId="37" applyNumberFormat="1" applyFont="1" applyFill="1" applyBorder="1" applyAlignment="1" applyProtection="1">
      <alignment horizontal="right" vertical="center" wrapText="1"/>
      <protection locked="0"/>
    </xf>
    <xf numFmtId="4" fontId="10" fillId="0" borderId="45" xfId="37" applyNumberFormat="1" applyFont="1" applyFill="1" applyBorder="1" applyAlignment="1" applyProtection="1">
      <alignment horizontal="right" vertical="center" wrapText="1"/>
      <protection locked="0"/>
    </xf>
    <xf numFmtId="43" fontId="10" fillId="0" borderId="0" xfId="37" applyFont="1" applyFill="1" applyBorder="1" applyAlignment="1">
      <alignment horizontal="left" vertical="center" wrapText="1"/>
    </xf>
    <xf numFmtId="0" fontId="10" fillId="0" borderId="0" xfId="49" applyFont="1" applyAlignment="1">
      <alignment horizontal="left" vertical="center"/>
    </xf>
    <xf numFmtId="0" fontId="10" fillId="0" borderId="0" xfId="49" applyFont="1" applyAlignment="1">
      <alignment vertical="center"/>
    </xf>
    <xf numFmtId="0" fontId="10" fillId="0" borderId="36" xfId="49" applyFont="1" applyBorder="1" applyAlignment="1">
      <alignment horizontal="left" vertical="top" indent="3"/>
    </xf>
    <xf numFmtId="0" fontId="11" fillId="0" borderId="36" xfId="49" applyFont="1" applyBorder="1" applyAlignment="1">
      <alignment horizontal="left" vertical="top" indent="2"/>
    </xf>
    <xf numFmtId="4" fontId="10" fillId="0" borderId="45" xfId="49" applyNumberFormat="1" applyFont="1" applyBorder="1" applyAlignment="1">
      <alignment horizontal="right" vertical="center"/>
    </xf>
    <xf numFmtId="0" fontId="75" fillId="0" borderId="36" xfId="49" applyFont="1" applyBorder="1" applyAlignment="1">
      <alignment horizontal="left" vertical="top" indent="2"/>
    </xf>
    <xf numFmtId="4" fontId="11" fillId="0" borderId="0" xfId="49" applyNumberFormat="1" applyFont="1" applyAlignment="1">
      <alignment horizontal="right" vertical="center"/>
    </xf>
    <xf numFmtId="4" fontId="11" fillId="0" borderId="45" xfId="49" applyNumberFormat="1" applyFont="1" applyBorder="1" applyAlignment="1">
      <alignment horizontal="right" vertical="center"/>
    </xf>
    <xf numFmtId="4" fontId="10" fillId="0" borderId="0" xfId="49" applyNumberFormat="1" applyFont="1" applyAlignment="1" applyProtection="1">
      <alignment horizontal="right" vertical="center"/>
      <protection locked="0"/>
    </xf>
    <xf numFmtId="4" fontId="10" fillId="0" borderId="45" xfId="49" applyNumberFormat="1" applyFont="1" applyBorder="1" applyAlignment="1" applyProtection="1">
      <alignment horizontal="right" vertical="center"/>
      <protection locked="0"/>
    </xf>
    <xf numFmtId="0" fontId="10" fillId="0" borderId="36" xfId="49" applyFont="1" applyBorder="1" applyAlignment="1">
      <alignment horizontal="left" vertical="top" indent="1"/>
    </xf>
    <xf numFmtId="0" fontId="10" fillId="0" borderId="36" xfId="49" applyFont="1" applyBorder="1" applyAlignment="1">
      <alignment horizontal="left" vertical="top" indent="2"/>
    </xf>
    <xf numFmtId="0" fontId="10" fillId="0" borderId="46" xfId="49" applyFont="1" applyBorder="1" applyAlignment="1">
      <alignment horizontal="left" vertical="top" indent="3"/>
    </xf>
    <xf numFmtId="4" fontId="10" fillId="0" borderId="47" xfId="49" applyNumberFormat="1" applyFont="1" applyBorder="1" applyAlignment="1" applyProtection="1">
      <alignment horizontal="right" vertical="center"/>
      <protection locked="0"/>
    </xf>
    <xf numFmtId="4" fontId="10" fillId="0" borderId="48" xfId="49" applyNumberFormat="1" applyFont="1" applyBorder="1" applyAlignment="1" applyProtection="1">
      <alignment horizontal="right" vertical="center"/>
      <protection locked="0"/>
    </xf>
    <xf numFmtId="0" fontId="10" fillId="0" borderId="0" xfId="49" applyFont="1" applyAlignment="1">
      <alignment horizontal="left" vertical="top" indent="2"/>
    </xf>
    <xf numFmtId="0" fontId="10" fillId="0" borderId="0" xfId="49" applyFont="1" applyAlignment="1">
      <alignment horizontal="left" vertical="top" indent="1"/>
    </xf>
    <xf numFmtId="0" fontId="183" fillId="0" borderId="0" xfId="49" applyFont="1" applyAlignment="1">
      <alignment horizontal="left" vertical="top" wrapText="1" indent="1"/>
    </xf>
    <xf numFmtId="0" fontId="184" fillId="0" borderId="0" xfId="0" applyFont="1"/>
    <xf numFmtId="0" fontId="11" fillId="25" borderId="26" xfId="0" applyFont="1" applyFill="1" applyBorder="1" applyAlignment="1">
      <alignment horizontal="center" vertical="center"/>
    </xf>
    <xf numFmtId="49" fontId="11" fillId="25" borderId="28" xfId="0" applyNumberFormat="1" applyFont="1" applyFill="1" applyBorder="1" applyAlignment="1" applyProtection="1">
      <alignment horizontal="center" vertical="center"/>
      <protection locked="0"/>
    </xf>
    <xf numFmtId="49" fontId="11" fillId="25" borderId="27" xfId="0" applyNumberFormat="1" applyFont="1" applyFill="1" applyBorder="1" applyAlignment="1" applyProtection="1">
      <alignment horizontal="center" vertical="center"/>
      <protection locked="0"/>
    </xf>
    <xf numFmtId="0" fontId="10" fillId="0" borderId="45" xfId="0" applyFont="1" applyBorder="1" applyAlignment="1">
      <alignment horizontal="justify" vertical="center"/>
    </xf>
    <xf numFmtId="0" fontId="11" fillId="0" borderId="36" xfId="0" applyFont="1" applyBorder="1" applyAlignment="1">
      <alignment horizontal="left" vertical="center" indent="2"/>
    </xf>
    <xf numFmtId="4" fontId="11" fillId="0" borderId="0" xfId="33" applyNumberFormat="1" applyFont="1" applyFill="1" applyBorder="1" applyAlignment="1">
      <alignment horizontal="right" vertical="center"/>
    </xf>
    <xf numFmtId="4" fontId="11" fillId="0" borderId="45" xfId="33" applyNumberFormat="1" applyFont="1" applyFill="1" applyBorder="1" applyAlignment="1">
      <alignment horizontal="right" vertical="center"/>
    </xf>
    <xf numFmtId="0" fontId="10" fillId="0" borderId="36" xfId="0" applyFont="1" applyBorder="1" applyAlignment="1">
      <alignment horizontal="left" vertical="center" wrapText="1" indent="4"/>
    </xf>
    <xf numFmtId="4" fontId="10" fillId="0" borderId="0" xfId="33" applyNumberFormat="1" applyFont="1" applyFill="1" applyBorder="1" applyAlignment="1" applyProtection="1">
      <alignment horizontal="right" vertical="center"/>
      <protection locked="0"/>
    </xf>
    <xf numFmtId="4" fontId="10" fillId="0" borderId="45" xfId="33" applyNumberFormat="1" applyFont="1" applyFill="1" applyBorder="1" applyAlignment="1" applyProtection="1">
      <alignment horizontal="right" vertical="center"/>
      <protection locked="0"/>
    </xf>
    <xf numFmtId="43" fontId="182" fillId="0" borderId="0" xfId="0" applyNumberFormat="1" applyFont="1"/>
    <xf numFmtId="0" fontId="75" fillId="0" borderId="36" xfId="0" applyFont="1" applyBorder="1" applyAlignment="1">
      <alignment vertical="center"/>
    </xf>
    <xf numFmtId="4" fontId="76" fillId="0" borderId="0" xfId="0" applyNumberFormat="1" applyFont="1" applyAlignment="1">
      <alignment horizontal="right" vertical="center" wrapText="1"/>
    </xf>
    <xf numFmtId="4" fontId="76" fillId="0" borderId="0" xfId="33" applyNumberFormat="1" applyFont="1" applyFill="1" applyBorder="1" applyAlignment="1">
      <alignment horizontal="right" vertical="center"/>
    </xf>
    <xf numFmtId="4" fontId="76" fillId="0" borderId="45" xfId="33" applyNumberFormat="1" applyFont="1" applyFill="1" applyBorder="1" applyAlignment="1">
      <alignment horizontal="right" vertical="center"/>
    </xf>
    <xf numFmtId="0" fontId="10" fillId="0" borderId="36" xfId="0" applyFont="1" applyBorder="1" applyAlignment="1">
      <alignment horizontal="left" vertical="center" indent="4"/>
    </xf>
    <xf numFmtId="4" fontId="71" fillId="0" borderId="0" xfId="33" applyNumberFormat="1" applyFont="1" applyFill="1" applyBorder="1" applyAlignment="1" applyProtection="1">
      <alignment horizontal="right" vertical="center"/>
      <protection locked="0"/>
    </xf>
    <xf numFmtId="4" fontId="71" fillId="0" borderId="45" xfId="33" applyNumberFormat="1" applyFont="1" applyFill="1" applyBorder="1" applyAlignment="1" applyProtection="1">
      <alignment horizontal="right" vertical="center"/>
      <protection locked="0"/>
    </xf>
    <xf numFmtId="0" fontId="185" fillId="0" borderId="0" xfId="0" applyFont="1" applyAlignment="1">
      <alignment horizontal="right"/>
    </xf>
    <xf numFmtId="4" fontId="11" fillId="0" borderId="45" xfId="0" applyNumberFormat="1" applyFont="1" applyBorder="1" applyAlignment="1">
      <alignment horizontal="right" vertical="center"/>
    </xf>
    <xf numFmtId="4" fontId="10" fillId="0" borderId="0" xfId="0" applyNumberFormat="1" applyFont="1" applyAlignment="1">
      <alignment horizontal="right" vertical="center"/>
    </xf>
    <xf numFmtId="4" fontId="10" fillId="0" borderId="45" xfId="0" applyNumberFormat="1" applyFont="1" applyBorder="1" applyAlignment="1">
      <alignment horizontal="right" vertical="center"/>
    </xf>
    <xf numFmtId="0" fontId="10" fillId="0" borderId="36" xfId="0" applyFont="1" applyBorder="1" applyAlignment="1">
      <alignment horizontal="left" vertical="center" indent="5"/>
    </xf>
    <xf numFmtId="4" fontId="10" fillId="0" borderId="0" xfId="0" applyNumberFormat="1" applyFont="1" applyAlignment="1" applyProtection="1">
      <alignment horizontal="right" vertical="center"/>
      <protection locked="0"/>
    </xf>
    <xf numFmtId="4" fontId="10" fillId="0" borderId="45" xfId="0" applyNumberFormat="1" applyFont="1" applyBorder="1" applyAlignment="1" applyProtection="1">
      <alignment horizontal="right" vertical="center"/>
      <protection locked="0"/>
    </xf>
    <xf numFmtId="4" fontId="186" fillId="0" borderId="0" xfId="0" applyNumberFormat="1" applyFont="1"/>
    <xf numFmtId="4" fontId="186" fillId="0" borderId="45" xfId="0" applyNumberFormat="1" applyFont="1" applyBorder="1"/>
    <xf numFmtId="4" fontId="76" fillId="0" borderId="45" xfId="0" applyNumberFormat="1" applyFont="1" applyBorder="1" applyAlignment="1">
      <alignment horizontal="right" vertical="center" wrapText="1"/>
    </xf>
    <xf numFmtId="4" fontId="11" fillId="0" borderId="0" xfId="0" applyNumberFormat="1" applyFont="1" applyAlignment="1" applyProtection="1">
      <alignment horizontal="right" vertical="center"/>
      <protection locked="0"/>
    </xf>
    <xf numFmtId="4" fontId="11" fillId="0" borderId="45" xfId="0" applyNumberFormat="1" applyFont="1" applyBorder="1" applyAlignment="1" applyProtection="1">
      <alignment horizontal="right" vertical="center"/>
      <protection locked="0"/>
    </xf>
    <xf numFmtId="0" fontId="11" fillId="25" borderId="62" xfId="0" applyFont="1" applyFill="1" applyBorder="1" applyAlignment="1">
      <alignment vertical="center" wrapText="1"/>
    </xf>
    <xf numFmtId="0" fontId="11" fillId="25" borderId="62" xfId="0" applyFont="1" applyFill="1" applyBorder="1" applyAlignment="1">
      <alignment horizontal="center" vertical="center" wrapText="1"/>
    </xf>
    <xf numFmtId="0" fontId="11" fillId="25" borderId="63" xfId="0" applyFont="1" applyFill="1" applyBorder="1" applyAlignment="1">
      <alignment horizontal="center" vertical="center" wrapText="1"/>
    </xf>
    <xf numFmtId="0" fontId="10" fillId="0" borderId="36" xfId="0" applyFont="1" applyBorder="1"/>
    <xf numFmtId="0" fontId="10" fillId="0" borderId="64" xfId="0" applyFont="1" applyBorder="1" applyAlignment="1">
      <alignment horizontal="justify" vertical="center" wrapText="1"/>
    </xf>
    <xf numFmtId="0" fontId="11" fillId="0" borderId="36" xfId="0" applyFont="1" applyBorder="1" applyAlignment="1">
      <alignment horizontal="left" vertical="center" wrapText="1"/>
    </xf>
    <xf numFmtId="170" fontId="11" fillId="0" borderId="64" xfId="33" applyNumberFormat="1" applyFont="1" applyFill="1" applyBorder="1" applyAlignment="1">
      <alignment horizontal="right" vertical="center" wrapText="1"/>
    </xf>
    <xf numFmtId="0" fontId="10" fillId="0" borderId="64" xfId="0" applyFont="1" applyBorder="1"/>
    <xf numFmtId="0" fontId="75" fillId="0" borderId="36" xfId="0" applyFont="1" applyBorder="1" applyAlignment="1">
      <alignment horizontal="left" vertical="center" wrapText="1" indent="2"/>
    </xf>
    <xf numFmtId="0" fontId="10" fillId="0" borderId="36" xfId="0" applyFont="1" applyBorder="1" applyAlignment="1">
      <alignment horizontal="left" vertical="center" wrapText="1" indent="2"/>
    </xf>
    <xf numFmtId="170" fontId="10" fillId="0" borderId="64" xfId="33" applyNumberFormat="1" applyFont="1" applyFill="1" applyBorder="1" applyAlignment="1" applyProtection="1">
      <alignment horizontal="right" vertical="center" wrapText="1"/>
      <protection locked="0"/>
    </xf>
    <xf numFmtId="170" fontId="10" fillId="0" borderId="64" xfId="33" applyNumberFormat="1" applyFont="1" applyFill="1" applyBorder="1" applyAlignment="1" applyProtection="1">
      <alignment horizontal="right" vertical="center" wrapText="1"/>
    </xf>
    <xf numFmtId="170" fontId="10" fillId="0" borderId="64" xfId="33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right"/>
    </xf>
    <xf numFmtId="0" fontId="10" fillId="0" borderId="46" xfId="0" applyFont="1" applyBorder="1" applyAlignment="1">
      <alignment horizontal="left" vertical="center" wrapText="1" indent="2"/>
    </xf>
    <xf numFmtId="0" fontId="10" fillId="0" borderId="63" xfId="0" applyFont="1" applyBorder="1" applyAlignment="1">
      <alignment horizontal="justify" vertical="center" wrapText="1"/>
    </xf>
    <xf numFmtId="0" fontId="11" fillId="39" borderId="13" xfId="0" applyFont="1" applyFill="1" applyBorder="1" applyAlignment="1">
      <alignment horizontal="center" vertical="center"/>
    </xf>
    <xf numFmtId="0" fontId="75" fillId="0" borderId="10" xfId="0" applyFont="1" applyBorder="1" applyAlignment="1">
      <alignment vertical="center" wrapText="1"/>
    </xf>
    <xf numFmtId="4" fontId="10" fillId="0" borderId="16" xfId="0" applyNumberFormat="1" applyFont="1" applyBorder="1" applyAlignment="1">
      <alignment horizontal="right" vertical="center" wrapText="1"/>
    </xf>
    <xf numFmtId="4" fontId="10" fillId="0" borderId="12" xfId="0" applyNumberFormat="1" applyFont="1" applyBorder="1" applyAlignment="1">
      <alignment horizontal="right" vertical="center" wrapText="1"/>
    </xf>
    <xf numFmtId="4" fontId="11" fillId="0" borderId="11" xfId="0" applyNumberFormat="1" applyFont="1" applyBorder="1" applyAlignment="1">
      <alignment horizontal="right" vertical="center" wrapText="1"/>
    </xf>
    <xf numFmtId="0" fontId="11" fillId="0" borderId="10" xfId="0" applyFont="1" applyBorder="1" applyAlignment="1">
      <alignment horizontal="left" vertical="center" wrapText="1" indent="7"/>
    </xf>
    <xf numFmtId="4" fontId="11" fillId="0" borderId="12" xfId="0" applyNumberFormat="1" applyFont="1" applyBorder="1" applyAlignment="1" applyProtection="1">
      <alignment horizontal="right" vertical="center" wrapText="1"/>
      <protection locked="0"/>
    </xf>
    <xf numFmtId="0" fontId="180" fillId="0" borderId="0" xfId="0" applyFont="1" applyAlignment="1">
      <alignment horizontal="right"/>
    </xf>
    <xf numFmtId="0" fontId="11" fillId="0" borderId="10" xfId="0" applyFont="1" applyBorder="1" applyAlignment="1">
      <alignment vertical="center" wrapText="1"/>
    </xf>
    <xf numFmtId="4" fontId="10" fillId="0" borderId="12" xfId="0" applyNumberFormat="1" applyFont="1" applyBorder="1" applyAlignment="1" applyProtection="1">
      <alignment horizontal="center" vertical="center" wrapText="1"/>
      <protection locked="0"/>
    </xf>
    <xf numFmtId="4" fontId="11" fillId="0" borderId="11" xfId="0" applyNumberFormat="1" applyFont="1" applyBorder="1" applyAlignment="1">
      <alignment horizontal="center" vertical="center" wrapText="1"/>
    </xf>
    <xf numFmtId="0" fontId="179" fillId="0" borderId="0" xfId="0" applyFont="1" applyAlignment="1">
      <alignment horizontal="left" vertical="top"/>
    </xf>
    <xf numFmtId="0" fontId="10" fillId="0" borderId="10" xfId="0" applyFont="1" applyBorder="1" applyAlignment="1">
      <alignment horizontal="left" vertical="center" wrapText="1" indent="3"/>
    </xf>
    <xf numFmtId="4" fontId="71" fillId="0" borderId="12" xfId="0" applyNumberFormat="1" applyFont="1" applyBorder="1" applyAlignment="1" applyProtection="1">
      <alignment horizontal="center" vertical="center" wrapText="1"/>
      <protection locked="0"/>
    </xf>
    <xf numFmtId="4" fontId="10" fillId="0" borderId="11" xfId="0" applyNumberFormat="1" applyFont="1" applyBorder="1" applyAlignment="1" applyProtection="1">
      <alignment horizontal="center" vertical="center" wrapText="1"/>
      <protection locked="0"/>
    </xf>
    <xf numFmtId="4" fontId="10" fillId="0" borderId="11" xfId="0" applyNumberFormat="1" applyFont="1" applyBorder="1" applyAlignment="1">
      <alignment horizontal="center" vertical="center" wrapText="1"/>
    </xf>
    <xf numFmtId="0" fontId="79" fillId="0" borderId="10" xfId="0" applyFont="1" applyBorder="1" applyAlignment="1">
      <alignment horizontal="left" vertical="center" wrapText="1" indent="3"/>
    </xf>
    <xf numFmtId="4" fontId="11" fillId="0" borderId="11" xfId="0" applyNumberFormat="1" applyFont="1" applyBorder="1" applyAlignment="1" applyProtection="1">
      <alignment horizontal="center" vertical="center" wrapText="1"/>
      <protection locked="0"/>
    </xf>
    <xf numFmtId="4" fontId="76" fillId="0" borderId="12" xfId="0" applyNumberFormat="1" applyFont="1" applyBorder="1" applyAlignment="1">
      <alignment horizontal="center" vertical="center" wrapText="1"/>
    </xf>
    <xf numFmtId="0" fontId="11" fillId="0" borderId="10" xfId="0" applyFont="1" applyBorder="1" applyAlignment="1">
      <alignment horizontal="left" vertical="center" wrapText="1" indent="3"/>
    </xf>
    <xf numFmtId="4" fontId="76" fillId="0" borderId="11" xfId="37" applyNumberFormat="1" applyFont="1" applyFill="1" applyBorder="1" applyAlignment="1" applyProtection="1">
      <alignment horizontal="center" vertical="center" wrapText="1"/>
      <protection locked="0"/>
    </xf>
    <xf numFmtId="0" fontId="10" fillId="0" borderId="10" xfId="0" applyFont="1" applyBorder="1" applyAlignment="1">
      <alignment horizontal="justify" vertical="center" wrapText="1"/>
    </xf>
    <xf numFmtId="4" fontId="10" fillId="0" borderId="12" xfId="0" applyNumberFormat="1" applyFont="1" applyBorder="1" applyAlignment="1">
      <alignment horizontal="center" vertical="center" wrapText="1"/>
    </xf>
    <xf numFmtId="4" fontId="11" fillId="0" borderId="12" xfId="0" applyNumberFormat="1" applyFont="1" applyBorder="1" applyAlignment="1" applyProtection="1">
      <alignment horizontal="center" vertical="center" wrapText="1"/>
      <protection locked="0"/>
    </xf>
    <xf numFmtId="4" fontId="76" fillId="0" borderId="11" xfId="0" applyNumberFormat="1" applyFont="1" applyBorder="1" applyAlignment="1">
      <alignment horizontal="center" vertical="center" wrapText="1"/>
    </xf>
    <xf numFmtId="0" fontId="75" fillId="0" borderId="20" xfId="0" applyFont="1" applyBorder="1" applyAlignment="1">
      <alignment horizontal="justify" vertical="center" wrapText="1"/>
    </xf>
    <xf numFmtId="4" fontId="75" fillId="0" borderId="18" xfId="0" applyNumberFormat="1" applyFont="1" applyBorder="1" applyAlignment="1">
      <alignment horizontal="center" vertical="center" wrapText="1"/>
    </xf>
    <xf numFmtId="4" fontId="75" fillId="0" borderId="21" xfId="0" applyNumberFormat="1" applyFont="1" applyBorder="1" applyAlignment="1">
      <alignment horizontal="center" vertical="center" wrapText="1"/>
    </xf>
    <xf numFmtId="49" fontId="139" fillId="39" borderId="17" xfId="0" applyNumberFormat="1" applyFont="1" applyFill="1" applyBorder="1" applyAlignment="1">
      <alignment horizontal="center" vertical="center"/>
    </xf>
    <xf numFmtId="49" fontId="139" fillId="39" borderId="17" xfId="0" applyNumberFormat="1" applyFont="1" applyFill="1" applyBorder="1" applyAlignment="1">
      <alignment horizontal="center" vertical="center" wrapText="1"/>
    </xf>
    <xf numFmtId="0" fontId="186" fillId="0" borderId="22" xfId="0" applyFont="1" applyBorder="1" applyAlignment="1">
      <alignment horizontal="left" vertical="center" wrapText="1" indent="1"/>
    </xf>
    <xf numFmtId="4" fontId="186" fillId="0" borderId="12" xfId="0" applyNumberFormat="1" applyFont="1" applyBorder="1" applyAlignment="1" applyProtection="1">
      <alignment horizontal="right" vertical="center"/>
      <protection locked="0"/>
    </xf>
    <xf numFmtId="4" fontId="186" fillId="0" borderId="0" xfId="0" applyNumberFormat="1" applyFont="1" applyAlignment="1" applyProtection="1">
      <alignment horizontal="right" vertical="center"/>
      <protection locked="0"/>
    </xf>
    <xf numFmtId="4" fontId="186" fillId="0" borderId="16" xfId="0" applyNumberFormat="1" applyFont="1" applyBorder="1" applyAlignment="1">
      <alignment horizontal="right" vertical="center"/>
    </xf>
    <xf numFmtId="4" fontId="186" fillId="0" borderId="16" xfId="0" applyNumberFormat="1" applyFont="1" applyBorder="1" applyAlignment="1" applyProtection="1">
      <alignment horizontal="right" vertical="center"/>
      <protection locked="0"/>
    </xf>
    <xf numFmtId="4" fontId="186" fillId="0" borderId="11" xfId="0" applyNumberFormat="1" applyFont="1" applyBorder="1" applyAlignment="1">
      <alignment horizontal="right" vertical="center"/>
    </xf>
    <xf numFmtId="0" fontId="186" fillId="0" borderId="10" xfId="0" applyFont="1" applyBorder="1" applyAlignment="1">
      <alignment horizontal="left" vertical="center" wrapText="1" indent="1"/>
    </xf>
    <xf numFmtId="4" fontId="186" fillId="0" borderId="12" xfId="0" applyNumberFormat="1" applyFont="1" applyBorder="1" applyAlignment="1">
      <alignment horizontal="right" vertical="center"/>
    </xf>
    <xf numFmtId="0" fontId="186" fillId="0" borderId="20" xfId="0" applyFont="1" applyBorder="1" applyAlignment="1">
      <alignment horizontal="left" vertical="center" wrapText="1" indent="1"/>
    </xf>
    <xf numFmtId="4" fontId="186" fillId="0" borderId="18" xfId="0" applyNumberFormat="1" applyFont="1" applyBorder="1" applyAlignment="1">
      <alignment horizontal="right" vertical="center"/>
    </xf>
    <xf numFmtId="4" fontId="186" fillId="0" borderId="18" xfId="0" applyNumberFormat="1" applyFont="1" applyBorder="1" applyAlignment="1" applyProtection="1">
      <alignment horizontal="right" vertical="center"/>
      <protection locked="0"/>
    </xf>
    <xf numFmtId="0" fontId="139" fillId="41" borderId="13" xfId="0" applyFont="1" applyFill="1" applyBorder="1" applyAlignment="1">
      <alignment horizontal="center" vertical="center" wrapText="1"/>
    </xf>
    <xf numFmtId="4" fontId="139" fillId="0" borderId="17" xfId="0" applyNumberFormat="1" applyFont="1" applyBorder="1" applyAlignment="1">
      <alignment horizontal="right" vertical="center"/>
    </xf>
    <xf numFmtId="0" fontId="184" fillId="0" borderId="20" xfId="0" applyFont="1" applyBorder="1" applyAlignment="1">
      <alignment vertical="center" wrapText="1"/>
    </xf>
    <xf numFmtId="4" fontId="184" fillId="0" borderId="19" xfId="0" applyNumberFormat="1" applyFont="1" applyBorder="1" applyAlignment="1">
      <alignment horizontal="right" vertical="center" wrapText="1"/>
    </xf>
    <xf numFmtId="4" fontId="139" fillId="0" borderId="18" xfId="0" applyNumberFormat="1" applyFont="1" applyBorder="1" applyAlignment="1">
      <alignment horizontal="right" vertical="center"/>
    </xf>
    <xf numFmtId="0" fontId="184" fillId="0" borderId="0" xfId="0" applyFont="1" applyAlignment="1">
      <alignment vertical="center" wrapText="1"/>
    </xf>
    <xf numFmtId="4" fontId="184" fillId="0" borderId="0" xfId="0" applyNumberFormat="1" applyFont="1" applyAlignment="1">
      <alignment horizontal="center" vertical="center" wrapText="1"/>
    </xf>
    <xf numFmtId="4" fontId="139" fillId="0" borderId="0" xfId="0" applyNumberFormat="1" applyFont="1" applyAlignment="1">
      <alignment horizontal="center" vertical="center" wrapText="1"/>
    </xf>
    <xf numFmtId="4" fontId="139" fillId="0" borderId="0" xfId="0" applyNumberFormat="1" applyFont="1" applyAlignment="1">
      <alignment horizontal="center" vertical="center"/>
    </xf>
    <xf numFmtId="49" fontId="11" fillId="39" borderId="17" xfId="0" applyNumberFormat="1" applyFont="1" applyFill="1" applyBorder="1" applyAlignment="1">
      <alignment horizontal="center" vertical="center"/>
    </xf>
    <xf numFmtId="49" fontId="11" fillId="39" borderId="17" xfId="0" applyNumberFormat="1" applyFont="1" applyFill="1" applyBorder="1" applyAlignment="1">
      <alignment horizontal="center" vertical="center" wrapText="1"/>
    </xf>
    <xf numFmtId="49" fontId="11" fillId="39" borderId="15" xfId="0" applyNumberFormat="1" applyFont="1" applyFill="1" applyBorder="1" applyAlignment="1">
      <alignment horizontal="center" vertical="center"/>
    </xf>
    <xf numFmtId="0" fontId="11" fillId="0" borderId="10" xfId="0" applyFont="1" applyBorder="1" applyAlignment="1">
      <alignment vertical="center"/>
    </xf>
    <xf numFmtId="4" fontId="11" fillId="0" borderId="16" xfId="0" applyNumberFormat="1" applyFont="1" applyBorder="1" applyAlignment="1">
      <alignment horizontal="right" vertical="center"/>
    </xf>
    <xf numFmtId="4" fontId="11" fillId="0" borderId="22" xfId="0" applyNumberFormat="1" applyFont="1" applyBorder="1" applyAlignment="1">
      <alignment horizontal="right" vertical="center"/>
    </xf>
    <xf numFmtId="4" fontId="11" fillId="0" borderId="23" xfId="0" applyNumberFormat="1" applyFont="1" applyBorder="1" applyAlignment="1">
      <alignment horizontal="right" vertical="center"/>
    </xf>
    <xf numFmtId="4" fontId="11" fillId="0" borderId="11" xfId="0" applyNumberFormat="1" applyFont="1" applyBorder="1" applyAlignment="1">
      <alignment horizontal="right" vertical="center"/>
    </xf>
    <xf numFmtId="0" fontId="10" fillId="0" borderId="10" xfId="0" applyFont="1" applyBorder="1" applyAlignment="1">
      <alignment horizontal="left" vertical="center" wrapText="1" indent="1"/>
    </xf>
    <xf numFmtId="4" fontId="10" fillId="0" borderId="12" xfId="0" applyNumberFormat="1" applyFont="1" applyBorder="1" applyAlignment="1" applyProtection="1">
      <alignment horizontal="right" vertical="center"/>
      <protection locked="0"/>
    </xf>
    <xf numFmtId="4" fontId="10" fillId="0" borderId="10" xfId="0" applyNumberFormat="1" applyFont="1" applyBorder="1" applyAlignment="1" applyProtection="1">
      <alignment horizontal="right" vertical="center"/>
      <protection locked="0"/>
    </xf>
    <xf numFmtId="4" fontId="10" fillId="0" borderId="12" xfId="0" applyNumberFormat="1" applyFont="1" applyBorder="1" applyAlignment="1">
      <alignment horizontal="right" vertical="center"/>
    </xf>
    <xf numFmtId="4" fontId="10" fillId="0" borderId="11" xfId="0" applyNumberFormat="1" applyFont="1" applyBorder="1" applyAlignment="1" applyProtection="1">
      <alignment horizontal="right" vertical="center"/>
      <protection locked="0"/>
    </xf>
    <xf numFmtId="4" fontId="10" fillId="0" borderId="11" xfId="0" applyNumberFormat="1" applyFont="1" applyBorder="1" applyAlignment="1">
      <alignment horizontal="right" vertical="center"/>
    </xf>
    <xf numFmtId="0" fontId="10" fillId="0" borderId="10" xfId="0" applyFont="1" applyBorder="1" applyAlignment="1">
      <alignment horizontal="left" indent="1"/>
    </xf>
    <xf numFmtId="0" fontId="10" fillId="0" borderId="10" xfId="0" applyFont="1" applyBorder="1" applyAlignment="1">
      <alignment horizontal="left" vertical="center" indent="1"/>
    </xf>
    <xf numFmtId="0" fontId="10" fillId="0" borderId="10" xfId="0" applyFont="1" applyBorder="1" applyAlignment="1">
      <alignment vertical="center"/>
    </xf>
    <xf numFmtId="4" fontId="10" fillId="0" borderId="10" xfId="0" applyNumberFormat="1" applyFont="1" applyBorder="1" applyAlignment="1">
      <alignment horizontal="right" vertical="center"/>
    </xf>
    <xf numFmtId="0" fontId="11" fillId="0" borderId="10" xfId="0" applyFont="1" applyBorder="1" applyAlignment="1">
      <alignment horizontal="left" vertical="center" wrapText="1"/>
    </xf>
    <xf numFmtId="4" fontId="11" fillId="0" borderId="12" xfId="0" applyNumberFormat="1" applyFont="1" applyBorder="1" applyAlignment="1">
      <alignment horizontal="right" vertical="center"/>
    </xf>
    <xf numFmtId="4" fontId="11" fillId="0" borderId="10" xfId="0" applyNumberFormat="1" applyFont="1" applyBorder="1" applyAlignment="1">
      <alignment horizontal="right" vertical="center"/>
    </xf>
    <xf numFmtId="0" fontId="10" fillId="0" borderId="20" xfId="0" applyFont="1" applyBorder="1" applyAlignment="1">
      <alignment horizontal="left" vertical="center" indent="1"/>
    </xf>
    <xf numFmtId="4" fontId="10" fillId="0" borderId="20" xfId="0" applyNumberFormat="1" applyFont="1" applyBorder="1" applyAlignment="1" applyProtection="1">
      <alignment horizontal="right" vertical="center"/>
      <protection locked="0"/>
    </xf>
    <xf numFmtId="4" fontId="10" fillId="0" borderId="18" xfId="0" applyNumberFormat="1" applyFont="1" applyBorder="1" applyAlignment="1" applyProtection="1">
      <alignment horizontal="right" vertical="center"/>
      <protection locked="0"/>
    </xf>
    <xf numFmtId="4" fontId="10" fillId="0" borderId="21" xfId="0" applyNumberFormat="1" applyFont="1" applyBorder="1" applyAlignment="1" applyProtection="1">
      <alignment horizontal="right" vertical="center"/>
      <protection locked="0"/>
    </xf>
    <xf numFmtId="0" fontId="11" fillId="41" borderId="13" xfId="0" applyFont="1" applyFill="1" applyBorder="1" applyAlignment="1">
      <alignment horizontal="center" vertical="center" wrapText="1"/>
    </xf>
    <xf numFmtId="4" fontId="11" fillId="0" borderId="17" xfId="0" applyNumberFormat="1" applyFont="1" applyBorder="1" applyAlignment="1">
      <alignment horizontal="right" vertical="center"/>
    </xf>
    <xf numFmtId="4" fontId="11" fillId="0" borderId="13" xfId="0" applyNumberFormat="1" applyFont="1" applyBorder="1" applyAlignment="1">
      <alignment horizontal="right" vertical="center"/>
    </xf>
    <xf numFmtId="4" fontId="10" fillId="0" borderId="19" xfId="0" applyNumberFormat="1" applyFont="1" applyBorder="1" applyAlignment="1">
      <alignment horizontal="right" vertical="center" wrapText="1"/>
    </xf>
    <xf numFmtId="49" fontId="139" fillId="39" borderId="16" xfId="0" applyNumberFormat="1" applyFont="1" applyFill="1" applyBorder="1" applyAlignment="1">
      <alignment horizontal="center" vertical="center"/>
    </xf>
    <xf numFmtId="0" fontId="71" fillId="0" borderId="22" xfId="0" applyFont="1" applyBorder="1" applyAlignment="1" applyProtection="1">
      <alignment vertical="center" wrapText="1"/>
      <protection locked="0"/>
    </xf>
    <xf numFmtId="4" fontId="186" fillId="0" borderId="22" xfId="0" applyNumberFormat="1" applyFont="1" applyBorder="1" applyAlignment="1" applyProtection="1">
      <alignment horizontal="right" vertical="center"/>
      <protection locked="0"/>
    </xf>
    <xf numFmtId="4" fontId="186" fillId="0" borderId="23" xfId="0" applyNumberFormat="1" applyFont="1" applyBorder="1" applyAlignment="1">
      <alignment horizontal="right" vertical="center"/>
    </xf>
    <xf numFmtId="0" fontId="71" fillId="0" borderId="10" xfId="0" applyFont="1" applyBorder="1" applyProtection="1">
      <protection locked="0"/>
    </xf>
    <xf numFmtId="4" fontId="186" fillId="0" borderId="10" xfId="0" applyNumberFormat="1" applyFont="1" applyBorder="1" applyAlignment="1" applyProtection="1">
      <alignment horizontal="right" vertical="center"/>
      <protection locked="0"/>
    </xf>
    <xf numFmtId="0" fontId="71" fillId="0" borderId="10" xfId="0" applyFont="1" applyBorder="1" applyAlignment="1" applyProtection="1">
      <alignment vertical="center" wrapText="1"/>
      <protection locked="0"/>
    </xf>
    <xf numFmtId="0" fontId="71" fillId="0" borderId="20" xfId="0" applyFont="1" applyBorder="1" applyAlignment="1" applyProtection="1">
      <alignment vertical="center" wrapText="1"/>
      <protection locked="0"/>
    </xf>
    <xf numFmtId="4" fontId="186" fillId="0" borderId="20" xfId="0" applyNumberFormat="1" applyFont="1" applyBorder="1" applyAlignment="1" applyProtection="1">
      <alignment horizontal="right" vertical="center"/>
      <protection locked="0"/>
    </xf>
    <xf numFmtId="4" fontId="186" fillId="0" borderId="21" xfId="0" applyNumberFormat="1" applyFont="1" applyBorder="1" applyAlignment="1">
      <alignment horizontal="right" vertical="center"/>
    </xf>
    <xf numFmtId="4" fontId="186" fillId="0" borderId="11" xfId="0" applyNumberFormat="1" applyFont="1" applyBorder="1" applyAlignment="1" applyProtection="1">
      <alignment horizontal="right" vertical="center"/>
      <protection locked="0"/>
    </xf>
    <xf numFmtId="0" fontId="139" fillId="0" borderId="13" xfId="0" applyFont="1" applyBorder="1" applyAlignment="1">
      <alignment horizontal="center" vertical="center" wrapText="1"/>
    </xf>
    <xf numFmtId="0" fontId="71" fillId="0" borderId="20" xfId="0" applyFont="1" applyBorder="1" applyAlignment="1">
      <alignment vertical="center" wrapText="1"/>
    </xf>
    <xf numFmtId="0" fontId="71" fillId="0" borderId="19" xfId="0" applyFont="1" applyBorder="1" applyAlignment="1">
      <alignment vertical="center" wrapText="1"/>
    </xf>
    <xf numFmtId="0" fontId="71" fillId="0" borderId="0" xfId="0" applyFont="1"/>
    <xf numFmtId="49" fontId="76" fillId="25" borderId="48" xfId="0" applyNumberFormat="1" applyFont="1" applyFill="1" applyBorder="1" applyAlignment="1">
      <alignment horizontal="center" vertical="center" wrapText="1"/>
    </xf>
    <xf numFmtId="0" fontId="76" fillId="25" borderId="29" xfId="0" applyFont="1" applyFill="1" applyBorder="1" applyAlignment="1">
      <alignment horizontal="center" vertical="center" wrapText="1"/>
    </xf>
    <xf numFmtId="49" fontId="76" fillId="25" borderId="29" xfId="0" applyNumberFormat="1" applyFont="1" applyFill="1" applyBorder="1" applyAlignment="1">
      <alignment horizontal="center" vertical="center" wrapText="1"/>
    </xf>
    <xf numFmtId="0" fontId="71" fillId="0" borderId="42" xfId="0" applyFont="1" applyBorder="1" applyAlignment="1" applyProtection="1">
      <alignment horizontal="left" vertical="center"/>
      <protection locked="0"/>
    </xf>
    <xf numFmtId="4" fontId="71" fillId="0" borderId="62" xfId="0" applyNumberFormat="1" applyFont="1" applyBorder="1" applyAlignment="1">
      <alignment horizontal="right" vertical="center"/>
    </xf>
    <xf numFmtId="4" fontId="71" fillId="0" borderId="43" xfId="0" applyNumberFormat="1" applyFont="1" applyBorder="1" applyAlignment="1">
      <alignment horizontal="right" vertical="center"/>
    </xf>
    <xf numFmtId="4" fontId="71" fillId="0" borderId="44" xfId="0" applyNumberFormat="1" applyFont="1" applyBorder="1" applyAlignment="1">
      <alignment horizontal="right" vertical="center"/>
    </xf>
    <xf numFmtId="0" fontId="71" fillId="0" borderId="36" xfId="0" applyFont="1" applyBorder="1" applyAlignment="1" applyProtection="1">
      <alignment horizontal="left" vertical="center"/>
      <protection locked="0"/>
    </xf>
    <xf numFmtId="4" fontId="71" fillId="0" borderId="64" xfId="0" applyNumberFormat="1" applyFont="1" applyBorder="1" applyAlignment="1" applyProtection="1">
      <alignment horizontal="right" vertical="center"/>
      <protection locked="0"/>
    </xf>
    <xf numFmtId="4" fontId="71" fillId="0" borderId="0" xfId="0" applyNumberFormat="1" applyFont="1" applyAlignment="1" applyProtection="1">
      <alignment horizontal="right" vertical="center"/>
      <protection locked="0"/>
    </xf>
    <xf numFmtId="4" fontId="71" fillId="0" borderId="64" xfId="0" applyNumberFormat="1" applyFont="1" applyBorder="1" applyAlignment="1">
      <alignment horizontal="right" vertical="center"/>
    </xf>
    <xf numFmtId="4" fontId="71" fillId="0" borderId="45" xfId="0" applyNumberFormat="1" applyFont="1" applyBorder="1" applyAlignment="1">
      <alignment horizontal="right" vertical="center"/>
    </xf>
    <xf numFmtId="0" fontId="71" fillId="0" borderId="36" xfId="0" applyFont="1" applyBorder="1" applyAlignment="1" applyProtection="1">
      <alignment horizontal="left" vertical="center" wrapText="1"/>
      <protection locked="0"/>
    </xf>
    <xf numFmtId="4" fontId="71" fillId="0" borderId="0" xfId="0" applyNumberFormat="1" applyFont="1" applyAlignment="1">
      <alignment horizontal="right" vertical="center"/>
    </xf>
    <xf numFmtId="0" fontId="76" fillId="0" borderId="26" xfId="0" applyFont="1" applyBorder="1" applyAlignment="1">
      <alignment horizontal="left" vertical="center"/>
    </xf>
    <xf numFmtId="4" fontId="76" fillId="0" borderId="29" xfId="0" applyNumberFormat="1" applyFont="1" applyBorder="1" applyAlignment="1">
      <alignment horizontal="right" vertical="center"/>
    </xf>
    <xf numFmtId="4" fontId="76" fillId="0" borderId="28" xfId="0" applyNumberFormat="1" applyFont="1" applyBorder="1" applyAlignment="1">
      <alignment horizontal="right" vertical="center"/>
    </xf>
    <xf numFmtId="4" fontId="76" fillId="0" borderId="27" xfId="0" applyNumberFormat="1" applyFont="1" applyBorder="1" applyAlignment="1">
      <alignment horizontal="right" vertical="center"/>
    </xf>
    <xf numFmtId="0" fontId="71" fillId="0" borderId="62" xfId="0" applyFont="1" applyBorder="1" applyAlignment="1">
      <alignment horizontal="left" vertical="center"/>
    </xf>
    <xf numFmtId="0" fontId="71" fillId="0" borderId="64" xfId="0" applyFont="1" applyBorder="1" applyAlignment="1">
      <alignment horizontal="left" vertical="center" wrapText="1"/>
    </xf>
    <xf numFmtId="0" fontId="71" fillId="0" borderId="64" xfId="0" applyFont="1" applyBorder="1" applyAlignment="1">
      <alignment horizontal="left" vertical="center"/>
    </xf>
    <xf numFmtId="0" fontId="71" fillId="0" borderId="64" xfId="0" applyFont="1" applyBorder="1"/>
    <xf numFmtId="0" fontId="76" fillId="0" borderId="29" xfId="0" applyFont="1" applyBorder="1" applyAlignment="1">
      <alignment horizontal="left" vertical="center"/>
    </xf>
    <xf numFmtId="49" fontId="76" fillId="25" borderId="27" xfId="0" applyNumberFormat="1" applyFont="1" applyFill="1" applyBorder="1" applyAlignment="1">
      <alignment horizontal="center" vertical="center"/>
    </xf>
    <xf numFmtId="0" fontId="71" fillId="0" borderId="42" xfId="0" applyFont="1" applyBorder="1" applyAlignment="1">
      <alignment horizontal="left" vertical="center" wrapText="1"/>
    </xf>
    <xf numFmtId="4" fontId="71" fillId="0" borderId="62" xfId="0" applyNumberFormat="1" applyFont="1" applyBorder="1" applyAlignment="1">
      <alignment horizontal="right" vertical="center" wrapText="1"/>
    </xf>
    <xf numFmtId="4" fontId="71" fillId="0" borderId="43" xfId="0" applyNumberFormat="1" applyFont="1" applyBorder="1" applyAlignment="1">
      <alignment horizontal="right" vertical="center" wrapText="1"/>
    </xf>
    <xf numFmtId="4" fontId="71" fillId="0" borderId="44" xfId="0" applyNumberFormat="1" applyFont="1" applyBorder="1" applyAlignment="1">
      <alignment horizontal="right" vertical="center" wrapText="1"/>
    </xf>
    <xf numFmtId="0" fontId="76" fillId="0" borderId="36" xfId="0" applyFont="1" applyBorder="1" applyAlignment="1">
      <alignment horizontal="left" vertical="center" wrapText="1"/>
    </xf>
    <xf numFmtId="4" fontId="71" fillId="0" borderId="64" xfId="0" applyNumberFormat="1" applyFont="1" applyBorder="1" applyAlignment="1" applyProtection="1">
      <alignment horizontal="right" vertical="center" wrapText="1"/>
      <protection locked="0"/>
    </xf>
    <xf numFmtId="4" fontId="71" fillId="0" borderId="0" xfId="0" applyNumberFormat="1" applyFont="1" applyAlignment="1" applyProtection="1">
      <alignment horizontal="right" vertical="center" wrapText="1"/>
      <protection locked="0"/>
    </xf>
    <xf numFmtId="4" fontId="71" fillId="0" borderId="64" xfId="0" applyNumberFormat="1" applyFont="1" applyBorder="1" applyAlignment="1">
      <alignment horizontal="right" vertical="center" wrapText="1"/>
    </xf>
    <xf numFmtId="4" fontId="71" fillId="0" borderId="45" xfId="0" applyNumberFormat="1" applyFont="1" applyBorder="1" applyAlignment="1">
      <alignment horizontal="right" vertical="center" wrapText="1"/>
    </xf>
    <xf numFmtId="0" fontId="71" fillId="0" borderId="36" xfId="0" applyFont="1" applyBorder="1" applyAlignment="1">
      <alignment horizontal="left" vertical="center" wrapText="1"/>
    </xf>
    <xf numFmtId="4" fontId="71" fillId="0" borderId="0" xfId="0" applyNumberFormat="1" applyFont="1" applyAlignment="1">
      <alignment horizontal="right" vertical="center" wrapText="1"/>
    </xf>
    <xf numFmtId="0" fontId="76" fillId="0" borderId="26" xfId="0" applyFont="1" applyBorder="1" applyAlignment="1">
      <alignment horizontal="left" vertical="center" wrapText="1"/>
    </xf>
    <xf numFmtId="4" fontId="76" fillId="0" borderId="29" xfId="0" applyNumberFormat="1" applyFont="1" applyBorder="1" applyAlignment="1">
      <alignment horizontal="right" vertical="center" wrapText="1"/>
    </xf>
    <xf numFmtId="4" fontId="76" fillId="0" borderId="28" xfId="0" applyNumberFormat="1" applyFont="1" applyBorder="1" applyAlignment="1">
      <alignment horizontal="right" vertical="center" wrapText="1"/>
    </xf>
    <xf numFmtId="4" fontId="76" fillId="0" borderId="27" xfId="0" applyNumberFormat="1" applyFont="1" applyBorder="1" applyAlignment="1">
      <alignment horizontal="right" vertical="center" wrapText="1"/>
    </xf>
    <xf numFmtId="0" fontId="185" fillId="0" borderId="0" xfId="0" applyFont="1"/>
    <xf numFmtId="0" fontId="76" fillId="0" borderId="36" xfId="0" applyFont="1" applyBorder="1" applyAlignment="1">
      <alignment vertical="center"/>
    </xf>
    <xf numFmtId="170" fontId="76" fillId="0" borderId="64" xfId="33" applyNumberFormat="1" applyFont="1" applyFill="1" applyBorder="1" applyAlignment="1" applyProtection="1">
      <alignment horizontal="right" vertical="center"/>
    </xf>
    <xf numFmtId="0" fontId="71" fillId="0" borderId="36" xfId="0" applyFont="1" applyBorder="1" applyAlignment="1">
      <alignment horizontal="left" vertical="center" indent="4"/>
    </xf>
    <xf numFmtId="170" fontId="71" fillId="0" borderId="64" xfId="33" applyNumberFormat="1" applyFont="1" applyFill="1" applyBorder="1" applyAlignment="1" applyProtection="1">
      <alignment horizontal="right" vertical="center"/>
      <protection locked="0"/>
    </xf>
    <xf numFmtId="170" fontId="71" fillId="0" borderId="45" xfId="33" applyNumberFormat="1" applyFont="1" applyFill="1" applyBorder="1" applyAlignment="1" applyProtection="1">
      <alignment horizontal="right" vertical="center"/>
      <protection locked="0"/>
    </xf>
    <xf numFmtId="170" fontId="71" fillId="0" borderId="45" xfId="33" applyNumberFormat="1" applyFont="1" applyFill="1" applyBorder="1" applyAlignment="1" applyProtection="1">
      <alignment horizontal="right" vertical="center"/>
    </xf>
    <xf numFmtId="170" fontId="71" fillId="0" borderId="64" xfId="33" applyNumberFormat="1" applyFont="1" applyFill="1" applyBorder="1" applyAlignment="1" applyProtection="1">
      <alignment horizontal="right" vertical="center"/>
    </xf>
    <xf numFmtId="0" fontId="71" fillId="0" borderId="36" xfId="0" applyFont="1" applyBorder="1" applyAlignment="1">
      <alignment horizontal="left" vertical="center" wrapText="1" indent="4"/>
    </xf>
    <xf numFmtId="0" fontId="76" fillId="0" borderId="36" xfId="0" applyFont="1" applyBorder="1" applyAlignment="1">
      <alignment vertical="center" wrapText="1"/>
    </xf>
    <xf numFmtId="0" fontId="71" fillId="0" borderId="46" xfId="0" applyFont="1" applyBorder="1" applyAlignment="1">
      <alignment horizontal="left" vertical="center" wrapText="1" indent="4"/>
    </xf>
    <xf numFmtId="170" fontId="71" fillId="0" borderId="63" xfId="33" applyNumberFormat="1" applyFont="1" applyFill="1" applyBorder="1" applyAlignment="1" applyProtection="1">
      <alignment horizontal="right" vertical="center"/>
      <protection locked="0"/>
    </xf>
    <xf numFmtId="170" fontId="71" fillId="0" borderId="48" xfId="33" applyNumberFormat="1" applyFont="1" applyFill="1" applyBorder="1" applyAlignment="1" applyProtection="1">
      <alignment horizontal="right" vertical="center"/>
      <protection locked="0"/>
    </xf>
    <xf numFmtId="170" fontId="71" fillId="0" borderId="48" xfId="33" applyNumberFormat="1" applyFont="1" applyFill="1" applyBorder="1" applyAlignment="1" applyProtection="1">
      <alignment horizontal="right" vertical="center"/>
    </xf>
    <xf numFmtId="170" fontId="71" fillId="0" borderId="63" xfId="33" applyNumberFormat="1" applyFont="1" applyFill="1" applyBorder="1" applyAlignment="1" applyProtection="1">
      <alignment horizontal="right" vertical="center"/>
    </xf>
    <xf numFmtId="170" fontId="76" fillId="0" borderId="45" xfId="33" applyNumberFormat="1" applyFont="1" applyFill="1" applyBorder="1" applyAlignment="1" applyProtection="1">
      <alignment horizontal="right" vertical="center"/>
    </xf>
    <xf numFmtId="0" fontId="76" fillId="0" borderId="26" xfId="0" applyFont="1" applyBorder="1" applyAlignment="1">
      <alignment horizontal="center"/>
    </xf>
    <xf numFmtId="170" fontId="76" fillId="0" borderId="29" xfId="0" applyNumberFormat="1" applyFont="1" applyBorder="1"/>
    <xf numFmtId="49" fontId="76" fillId="25" borderId="27" xfId="0" applyNumberFormat="1" applyFont="1" applyFill="1" applyBorder="1" applyAlignment="1">
      <alignment horizontal="center" vertical="center" wrapText="1"/>
    </xf>
    <xf numFmtId="0" fontId="76" fillId="25" borderId="27" xfId="0" applyFont="1" applyFill="1" applyBorder="1" applyAlignment="1">
      <alignment horizontal="center" vertical="center" wrapText="1"/>
    </xf>
    <xf numFmtId="49" fontId="76" fillId="0" borderId="64" xfId="0" applyNumberFormat="1" applyFont="1" applyBorder="1" applyAlignment="1">
      <alignment horizontal="center" vertical="center"/>
    </xf>
    <xf numFmtId="0" fontId="76" fillId="0" borderId="45" xfId="0" applyFont="1" applyBorder="1" applyAlignment="1">
      <alignment horizontal="center" vertical="center" wrapText="1"/>
    </xf>
    <xf numFmtId="49" fontId="76" fillId="0" borderId="45" xfId="0" applyNumberFormat="1" applyFont="1" applyBorder="1" applyAlignment="1">
      <alignment horizontal="center" vertical="center" wrapText="1"/>
    </xf>
    <xf numFmtId="0" fontId="11" fillId="0" borderId="64" xfId="0" applyFont="1" applyBorder="1" applyAlignment="1">
      <alignment vertical="center"/>
    </xf>
    <xf numFmtId="0" fontId="10" fillId="0" borderId="64" xfId="0" applyFont="1" applyBorder="1" applyAlignment="1">
      <alignment horizontal="left" vertical="center" wrapText="1" indent="2"/>
    </xf>
    <xf numFmtId="0" fontId="11" fillId="0" borderId="64" xfId="0" applyFont="1" applyBorder="1" applyAlignment="1">
      <alignment horizontal="justify" vertical="center" wrapText="1"/>
    </xf>
    <xf numFmtId="4" fontId="10" fillId="0" borderId="45" xfId="33" applyNumberFormat="1" applyFont="1" applyFill="1" applyBorder="1" applyAlignment="1" applyProtection="1">
      <alignment horizontal="right" vertical="center"/>
    </xf>
    <xf numFmtId="0" fontId="11" fillId="0" borderId="64" xfId="0" applyFont="1" applyBorder="1" applyAlignment="1">
      <alignment vertical="center" wrapText="1"/>
    </xf>
    <xf numFmtId="0" fontId="11" fillId="0" borderId="64" xfId="0" applyFont="1" applyBorder="1" applyAlignment="1">
      <alignment horizontal="left" vertical="center" wrapText="1" indent="2"/>
    </xf>
    <xf numFmtId="0" fontId="11" fillId="0" borderId="64" xfId="0" applyFont="1" applyBorder="1" applyAlignment="1">
      <alignment horizontal="left" vertical="center" wrapText="1"/>
    </xf>
    <xf numFmtId="0" fontId="11" fillId="0" borderId="29" xfId="0" applyFont="1" applyBorder="1" applyAlignment="1">
      <alignment horizontal="left" vertical="center" wrapText="1"/>
    </xf>
    <xf numFmtId="4" fontId="11" fillId="0" borderId="27" xfId="0" applyNumberFormat="1" applyFont="1" applyBorder="1" applyAlignment="1">
      <alignment horizontal="right" vertical="center"/>
    </xf>
    <xf numFmtId="49" fontId="76" fillId="25" borderId="29" xfId="0" applyNumberFormat="1" applyFont="1" applyFill="1" applyBorder="1" applyAlignment="1">
      <alignment horizontal="center" vertical="center"/>
    </xf>
    <xf numFmtId="0" fontId="71" fillId="0" borderId="68" xfId="0" applyFont="1" applyBorder="1" applyAlignment="1" applyProtection="1">
      <alignment vertical="center" wrapText="1"/>
      <protection locked="0"/>
    </xf>
    <xf numFmtId="4" fontId="71" fillId="0" borderId="69" xfId="0" applyNumberFormat="1" applyFont="1" applyBorder="1" applyAlignment="1" applyProtection="1">
      <alignment vertical="center"/>
      <protection locked="0"/>
    </xf>
    <xf numFmtId="4" fontId="71" fillId="0" borderId="70" xfId="0" applyNumberFormat="1" applyFont="1" applyBorder="1" applyAlignment="1">
      <alignment vertical="center"/>
    </xf>
    <xf numFmtId="0" fontId="71" fillId="0" borderId="71" xfId="0" applyFont="1" applyBorder="1" applyAlignment="1" applyProtection="1">
      <alignment vertical="center"/>
      <protection locked="0"/>
    </xf>
    <xf numFmtId="4" fontId="71" fillId="0" borderId="17" xfId="0" applyNumberFormat="1" applyFont="1" applyBorder="1" applyAlignment="1" applyProtection="1">
      <alignment vertical="center"/>
      <protection locked="0"/>
    </xf>
    <xf numFmtId="4" fontId="71" fillId="0" borderId="72" xfId="0" applyNumberFormat="1" applyFont="1" applyBorder="1" applyAlignment="1">
      <alignment vertical="center"/>
    </xf>
    <xf numFmtId="0" fontId="71" fillId="0" borderId="71" xfId="0" applyFont="1" applyBorder="1" applyAlignment="1" applyProtection="1">
      <alignment vertical="center" wrapText="1"/>
      <protection locked="0"/>
    </xf>
    <xf numFmtId="0" fontId="76" fillId="0" borderId="71" xfId="0" applyFont="1" applyBorder="1" applyAlignment="1">
      <alignment horizontal="center" vertical="center"/>
    </xf>
    <xf numFmtId="4" fontId="76" fillId="0" borderId="17" xfId="0" applyNumberFormat="1" applyFont="1" applyBorder="1" applyAlignment="1">
      <alignment vertical="center"/>
    </xf>
    <xf numFmtId="4" fontId="76" fillId="0" borderId="72" xfId="0" applyNumberFormat="1" applyFont="1" applyBorder="1" applyAlignment="1">
      <alignment vertical="center"/>
    </xf>
    <xf numFmtId="0" fontId="93" fillId="0" borderId="0" xfId="0" applyFont="1"/>
    <xf numFmtId="0" fontId="71" fillId="0" borderId="73" xfId="0" applyFont="1" applyBorder="1" applyAlignment="1">
      <alignment vertical="center" wrapText="1"/>
    </xf>
    <xf numFmtId="4" fontId="71" fillId="0" borderId="16" xfId="0" applyNumberFormat="1" applyFont="1" applyBorder="1" applyAlignment="1">
      <alignment vertical="center"/>
    </xf>
    <xf numFmtId="4" fontId="71" fillId="0" borderId="74" xfId="0" applyNumberFormat="1" applyFont="1" applyBorder="1" applyAlignment="1">
      <alignment vertical="center"/>
    </xf>
    <xf numFmtId="0" fontId="71" fillId="0" borderId="68" xfId="0" applyFont="1" applyBorder="1" applyAlignment="1" applyProtection="1">
      <alignment horizontal="left" vertical="center" wrapText="1"/>
      <protection locked="0"/>
    </xf>
    <xf numFmtId="0" fontId="76" fillId="0" borderId="71" xfId="0" applyFont="1" applyBorder="1" applyAlignment="1">
      <alignment horizontal="center" vertical="center" wrapText="1"/>
    </xf>
    <xf numFmtId="0" fontId="71" fillId="0" borderId="71" xfId="0" applyFont="1" applyBorder="1" applyAlignment="1">
      <alignment vertical="center" wrapText="1"/>
    </xf>
    <xf numFmtId="4" fontId="71" fillId="0" borderId="17" xfId="0" applyNumberFormat="1" applyFont="1" applyBorder="1" applyAlignment="1">
      <alignment vertical="center"/>
    </xf>
    <xf numFmtId="0" fontId="76" fillId="0" borderId="51" xfId="0" applyFont="1" applyBorder="1" applyAlignment="1">
      <alignment horizontal="center" vertical="center"/>
    </xf>
    <xf numFmtId="4" fontId="76" fillId="0" borderId="52" xfId="0" applyNumberFormat="1" applyFont="1" applyBorder="1" applyAlignment="1">
      <alignment vertical="center"/>
    </xf>
    <xf numFmtId="4" fontId="76" fillId="0" borderId="53" xfId="0" applyNumberFormat="1" applyFont="1" applyBorder="1" applyAlignment="1">
      <alignment vertical="center"/>
    </xf>
    <xf numFmtId="0" fontId="87" fillId="0" borderId="0" xfId="143" applyFont="1"/>
    <xf numFmtId="0" fontId="106" fillId="28" borderId="0" xfId="143" applyFont="1" applyFill="1"/>
    <xf numFmtId="0" fontId="87" fillId="28" borderId="0" xfId="143" applyFont="1" applyFill="1"/>
    <xf numFmtId="0" fontId="56" fillId="34" borderId="17" xfId="143" applyFont="1" applyFill="1" applyBorder="1" applyAlignment="1">
      <alignment horizontal="center"/>
    </xf>
    <xf numFmtId="0" fontId="87" fillId="28" borderId="17" xfId="143" applyFont="1" applyFill="1" applyBorder="1"/>
    <xf numFmtId="0" fontId="98" fillId="28" borderId="17" xfId="143" applyFont="1" applyFill="1" applyBorder="1"/>
    <xf numFmtId="0" fontId="87" fillId="28" borderId="17" xfId="143" applyFont="1" applyFill="1" applyBorder="1" applyAlignment="1">
      <alignment horizontal="left"/>
    </xf>
    <xf numFmtId="0" fontId="87" fillId="28" borderId="17" xfId="143" applyFont="1" applyFill="1" applyBorder="1" applyAlignment="1">
      <alignment horizontal="center"/>
    </xf>
    <xf numFmtId="0" fontId="87" fillId="28" borderId="13" xfId="143" applyFont="1" applyFill="1" applyBorder="1" applyAlignment="1">
      <alignment horizontal="center" wrapText="1"/>
    </xf>
    <xf numFmtId="0" fontId="87" fillId="28" borderId="15" xfId="143" applyFont="1" applyFill="1" applyBorder="1" applyAlignment="1">
      <alignment horizontal="center" wrapText="1"/>
    </xf>
    <xf numFmtId="49" fontId="139" fillId="39" borderId="23" xfId="0" applyNumberFormat="1" applyFont="1" applyFill="1" applyBorder="1" applyAlignment="1">
      <alignment horizontal="center" vertical="center"/>
    </xf>
    <xf numFmtId="49" fontId="139" fillId="39" borderId="21" xfId="0" applyNumberFormat="1" applyFont="1" applyFill="1" applyBorder="1" applyAlignment="1">
      <alignment horizontal="center" vertical="center"/>
    </xf>
    <xf numFmtId="49" fontId="139" fillId="39" borderId="18" xfId="0" applyNumberFormat="1" applyFont="1" applyFill="1" applyBorder="1" applyAlignment="1">
      <alignment horizontal="center" vertical="center"/>
    </xf>
    <xf numFmtId="0" fontId="189" fillId="0" borderId="12" xfId="0" applyFont="1" applyBorder="1" applyAlignment="1">
      <alignment vertical="center"/>
    </xf>
    <xf numFmtId="4" fontId="11" fillId="0" borderId="12" xfId="0" applyNumberFormat="1" applyFont="1" applyBorder="1" applyAlignment="1">
      <alignment horizontal="center" vertical="center"/>
    </xf>
    <xf numFmtId="4" fontId="139" fillId="0" borderId="11" xfId="0" applyNumberFormat="1" applyFont="1" applyBorder="1" applyAlignment="1">
      <alignment horizontal="center" vertical="center"/>
    </xf>
    <xf numFmtId="4" fontId="139" fillId="0" borderId="12" xfId="0" applyNumberFormat="1" applyFont="1" applyBorder="1" applyAlignment="1">
      <alignment horizontal="center" vertical="center"/>
    </xf>
    <xf numFmtId="0" fontId="11" fillId="0" borderId="12" xfId="0" applyFont="1" applyBorder="1" applyAlignment="1">
      <alignment horizontal="left" vertical="center" indent="2"/>
    </xf>
    <xf numFmtId="4" fontId="186" fillId="0" borderId="12" xfId="0" applyNumberFormat="1" applyFont="1" applyBorder="1" applyAlignment="1">
      <alignment vertical="center" wrapText="1"/>
    </xf>
    <xf numFmtId="0" fontId="186" fillId="0" borderId="12" xfId="0" applyFont="1" applyBorder="1" applyAlignment="1">
      <alignment horizontal="left" vertical="center" indent="3"/>
    </xf>
    <xf numFmtId="4" fontId="186" fillId="0" borderId="12" xfId="0" applyNumberFormat="1" applyFont="1" applyBorder="1" applyAlignment="1" applyProtection="1">
      <alignment vertical="center" wrapText="1"/>
      <protection locked="0"/>
    </xf>
    <xf numFmtId="0" fontId="186" fillId="0" borderId="12" xfId="0" applyFont="1" applyBorder="1" applyAlignment="1">
      <alignment horizontal="left" vertical="center" wrapText="1" indent="3"/>
    </xf>
    <xf numFmtId="0" fontId="186" fillId="0" borderId="12" xfId="0" applyFont="1" applyBorder="1" applyAlignment="1">
      <alignment horizontal="left" vertical="center" wrapText="1" indent="2"/>
    </xf>
    <xf numFmtId="0" fontId="139" fillId="0" borderId="12" xfId="0" applyFont="1" applyBorder="1" applyAlignment="1">
      <alignment horizontal="left" vertical="center" wrapText="1" indent="4"/>
    </xf>
    <xf numFmtId="4" fontId="139" fillId="0" borderId="12" xfId="0" applyNumberFormat="1" applyFont="1" applyBorder="1" applyAlignment="1">
      <alignment horizontal="right" vertical="center"/>
    </xf>
    <xf numFmtId="4" fontId="139" fillId="0" borderId="11" xfId="0" applyNumberFormat="1" applyFont="1" applyBorder="1" applyAlignment="1">
      <alignment horizontal="right" vertical="center"/>
    </xf>
    <xf numFmtId="0" fontId="71" fillId="0" borderId="12" xfId="0" applyFont="1" applyBorder="1" applyAlignment="1">
      <alignment horizontal="left" vertical="center" indent="3"/>
    </xf>
    <xf numFmtId="0" fontId="76" fillId="0" borderId="12" xfId="0" applyFont="1" applyBorder="1" applyAlignment="1">
      <alignment horizontal="left" vertical="center" indent="2"/>
    </xf>
    <xf numFmtId="0" fontId="76" fillId="0" borderId="12" xfId="0" applyFont="1" applyBorder="1" applyAlignment="1">
      <alignment horizontal="left" vertical="center" indent="4"/>
    </xf>
    <xf numFmtId="4" fontId="10" fillId="0" borderId="18" xfId="0" applyNumberFormat="1" applyFont="1" applyBorder="1"/>
    <xf numFmtId="4" fontId="139" fillId="0" borderId="15" xfId="0" applyNumberFormat="1" applyFont="1" applyBorder="1" applyAlignment="1">
      <alignment horizontal="right" vertical="center"/>
    </xf>
    <xf numFmtId="0" fontId="76" fillId="25" borderId="29" xfId="0" applyFont="1" applyFill="1" applyBorder="1" applyAlignment="1">
      <alignment horizontal="center" vertical="center"/>
    </xf>
    <xf numFmtId="0" fontId="76" fillId="25" borderId="63" xfId="0" applyFont="1" applyFill="1" applyBorder="1" applyAlignment="1">
      <alignment horizontal="center" vertical="center"/>
    </xf>
    <xf numFmtId="0" fontId="76" fillId="0" borderId="42" xfId="0" applyFont="1" applyBorder="1" applyAlignment="1">
      <alignment horizontal="left" vertical="center" wrapText="1"/>
    </xf>
    <xf numFmtId="4" fontId="76" fillId="0" borderId="62" xfId="0" applyNumberFormat="1" applyFont="1" applyBorder="1" applyAlignment="1">
      <alignment horizontal="right" vertical="center"/>
    </xf>
    <xf numFmtId="4" fontId="76" fillId="0" borderId="43" xfId="0" applyNumberFormat="1" applyFont="1" applyBorder="1" applyAlignment="1">
      <alignment horizontal="right" vertical="center"/>
    </xf>
    <xf numFmtId="4" fontId="76" fillId="0" borderId="45" xfId="0" applyNumberFormat="1" applyFont="1" applyBorder="1" applyAlignment="1">
      <alignment horizontal="right" vertical="center"/>
    </xf>
    <xf numFmtId="0" fontId="76" fillId="0" borderId="36" xfId="0" applyFont="1" applyBorder="1" applyAlignment="1">
      <alignment horizontal="left" vertical="center" wrapText="1" indent="2"/>
    </xf>
    <xf numFmtId="4" fontId="76" fillId="0" borderId="64" xfId="0" applyNumberFormat="1" applyFont="1" applyBorder="1" applyAlignment="1">
      <alignment horizontal="right" vertical="center"/>
    </xf>
    <xf numFmtId="4" fontId="76" fillId="0" borderId="0" xfId="0" applyNumberFormat="1" applyFont="1" applyAlignment="1">
      <alignment horizontal="right" vertical="center"/>
    </xf>
    <xf numFmtId="0" fontId="76" fillId="0" borderId="0" xfId="0" applyFont="1"/>
    <xf numFmtId="4" fontId="76" fillId="0" borderId="64" xfId="0" applyNumberFormat="1" applyFont="1" applyBorder="1" applyAlignment="1" applyProtection="1">
      <alignment horizontal="right" vertical="center"/>
      <protection locked="0"/>
    </xf>
    <xf numFmtId="4" fontId="76" fillId="0" borderId="0" xfId="0" applyNumberFormat="1" applyFont="1" applyAlignment="1" applyProtection="1">
      <alignment horizontal="right" vertical="center"/>
      <protection locked="0"/>
    </xf>
    <xf numFmtId="0" fontId="71" fillId="0" borderId="36" xfId="0" applyFont="1" applyBorder="1" applyAlignment="1">
      <alignment horizontal="left" vertical="center"/>
    </xf>
    <xf numFmtId="0" fontId="0" fillId="0" borderId="0" xfId="0" applyAlignment="1">
      <alignment vertical="center"/>
    </xf>
    <xf numFmtId="49" fontId="139" fillId="39" borderId="29" xfId="0" applyNumberFormat="1" applyFont="1" applyFill="1" applyBorder="1" applyAlignment="1">
      <alignment horizontal="center" vertical="center" wrapText="1"/>
    </xf>
    <xf numFmtId="0" fontId="76" fillId="0" borderId="64" xfId="0" applyFont="1" applyBorder="1" applyAlignment="1">
      <alignment horizontal="left" vertical="center" wrapText="1" indent="1"/>
    </xf>
    <xf numFmtId="2" fontId="76" fillId="0" borderId="45" xfId="0" applyNumberFormat="1" applyFont="1" applyBorder="1" applyAlignment="1">
      <alignment horizontal="justify" vertical="center" wrapText="1"/>
    </xf>
    <xf numFmtId="0" fontId="76" fillId="0" borderId="45" xfId="0" applyFont="1" applyBorder="1" applyAlignment="1">
      <alignment horizontal="left" vertical="center" wrapText="1" indent="1"/>
    </xf>
    <xf numFmtId="0" fontId="76" fillId="0" borderId="45" xfId="0" applyFont="1" applyBorder="1" applyAlignment="1">
      <alignment horizontal="justify" vertical="center" wrapText="1"/>
    </xf>
    <xf numFmtId="2" fontId="71" fillId="0" borderId="45" xfId="0" applyNumberFormat="1" applyFont="1" applyBorder="1" applyAlignment="1">
      <alignment horizontal="justify" vertical="center" wrapText="1"/>
    </xf>
    <xf numFmtId="0" fontId="71" fillId="0" borderId="45" xfId="0" applyFont="1" applyBorder="1" applyAlignment="1">
      <alignment horizontal="justify" vertical="center" wrapText="1"/>
    </xf>
    <xf numFmtId="0" fontId="71" fillId="0" borderId="64" xfId="0" applyFont="1" applyBorder="1" applyAlignment="1">
      <alignment horizontal="left" vertical="center" wrapText="1" indent="1"/>
    </xf>
    <xf numFmtId="4" fontId="76" fillId="0" borderId="45" xfId="33" applyNumberFormat="1" applyFont="1" applyFill="1" applyBorder="1" applyAlignment="1">
      <alignment horizontal="right" vertical="center" wrapText="1"/>
    </xf>
    <xf numFmtId="0" fontId="71" fillId="0" borderId="45" xfId="0" applyFont="1" applyBorder="1" applyAlignment="1">
      <alignment horizontal="left" vertical="center" wrapText="1" indent="1"/>
    </xf>
    <xf numFmtId="0" fontId="71" fillId="0" borderId="64" xfId="0" applyFont="1" applyBorder="1" applyAlignment="1">
      <alignment horizontal="left" vertical="center" wrapText="1" indent="3"/>
    </xf>
    <xf numFmtId="4" fontId="71" fillId="0" borderId="45" xfId="33" applyNumberFormat="1" applyFont="1" applyFill="1" applyBorder="1" applyAlignment="1" applyProtection="1">
      <alignment horizontal="right" vertical="center" wrapText="1"/>
      <protection locked="0"/>
    </xf>
    <xf numFmtId="0" fontId="71" fillId="0" borderId="45" xfId="0" applyFont="1" applyBorder="1" applyAlignment="1">
      <alignment horizontal="left" vertical="center" wrapText="1" indent="3"/>
    </xf>
    <xf numFmtId="4" fontId="76" fillId="0" borderId="45" xfId="33" applyNumberFormat="1" applyFont="1" applyFill="1" applyBorder="1" applyAlignment="1" applyProtection="1">
      <alignment horizontal="right" vertical="center" wrapText="1"/>
      <protection locked="0"/>
    </xf>
    <xf numFmtId="4" fontId="71" fillId="0" borderId="45" xfId="33" applyNumberFormat="1" applyFont="1" applyFill="1" applyBorder="1" applyAlignment="1">
      <alignment horizontal="right" vertical="center" wrapText="1"/>
    </xf>
    <xf numFmtId="0" fontId="190" fillId="0" borderId="64" xfId="0" applyFont="1" applyBorder="1" applyAlignment="1">
      <alignment horizontal="left" vertical="center" wrapText="1" indent="1"/>
    </xf>
    <xf numFmtId="4" fontId="190" fillId="0" borderId="45" xfId="33" applyNumberFormat="1" applyFont="1" applyFill="1" applyBorder="1" applyAlignment="1">
      <alignment horizontal="right" vertical="center" wrapText="1"/>
    </xf>
    <xf numFmtId="0" fontId="191" fillId="0" borderId="45" xfId="0" applyFont="1" applyBorder="1" applyAlignment="1">
      <alignment horizontal="left" vertical="center" wrapText="1" indent="1"/>
    </xf>
    <xf numFmtId="0" fontId="82" fillId="0" borderId="45" xfId="0" applyFont="1" applyBorder="1" applyAlignment="1">
      <alignment horizontal="left" vertical="center" wrapText="1" indent="1"/>
    </xf>
    <xf numFmtId="4" fontId="190" fillId="0" borderId="45" xfId="33" applyNumberFormat="1" applyFont="1" applyFill="1" applyBorder="1" applyAlignment="1">
      <alignment horizontal="justify" vertical="center" wrapText="1"/>
    </xf>
    <xf numFmtId="0" fontId="190" fillId="0" borderId="63" xfId="0" applyFont="1" applyBorder="1" applyAlignment="1">
      <alignment horizontal="justify" vertical="center" wrapText="1"/>
    </xf>
    <xf numFmtId="4" fontId="190" fillId="0" borderId="48" xfId="33" applyNumberFormat="1" applyFont="1" applyBorder="1" applyAlignment="1">
      <alignment horizontal="justify" vertical="center" wrapText="1"/>
    </xf>
    <xf numFmtId="0" fontId="190" fillId="0" borderId="48" xfId="0" applyFont="1" applyBorder="1" applyAlignment="1">
      <alignment horizontal="justify" vertical="center" wrapText="1"/>
    </xf>
    <xf numFmtId="4" fontId="71" fillId="0" borderId="48" xfId="33" applyNumberFormat="1" applyFont="1" applyBorder="1" applyAlignment="1">
      <alignment horizontal="right" vertical="center" wrapText="1"/>
    </xf>
    <xf numFmtId="0" fontId="184" fillId="0" borderId="0" xfId="0" applyFont="1" applyAlignment="1">
      <alignment horizontal="left"/>
    </xf>
    <xf numFmtId="49" fontId="76" fillId="25" borderId="44" xfId="0" applyNumberFormat="1" applyFont="1" applyFill="1" applyBorder="1" applyAlignment="1">
      <alignment horizontal="center" vertical="center" wrapText="1"/>
    </xf>
    <xf numFmtId="4" fontId="76" fillId="25" borderId="45" xfId="33" applyNumberFormat="1" applyFont="1" applyFill="1" applyBorder="1" applyAlignment="1">
      <alignment horizontal="right" vertical="center" wrapText="1"/>
    </xf>
    <xf numFmtId="4" fontId="71" fillId="25" borderId="45" xfId="33" applyNumberFormat="1" applyFont="1" applyFill="1" applyBorder="1" applyAlignment="1">
      <alignment horizontal="right" vertical="center" wrapText="1"/>
    </xf>
    <xf numFmtId="0" fontId="76" fillId="0" borderId="63" xfId="0" applyFont="1" applyBorder="1" applyAlignment="1">
      <alignment horizontal="left" vertical="center" wrapText="1" indent="1"/>
    </xf>
    <xf numFmtId="4" fontId="76" fillId="0" borderId="48" xfId="33" applyNumberFormat="1" applyFont="1" applyFill="1" applyBorder="1" applyAlignment="1">
      <alignment horizontal="right" vertical="center" wrapText="1"/>
    </xf>
    <xf numFmtId="0" fontId="76" fillId="0" borderId="0" xfId="0" applyFont="1" applyAlignment="1">
      <alignment horizontal="left" vertical="center" wrapText="1"/>
    </xf>
    <xf numFmtId="4" fontId="76" fillId="0" borderId="0" xfId="33" applyNumberFormat="1" applyFont="1" applyFill="1" applyBorder="1" applyAlignment="1">
      <alignment horizontal="right" vertical="center" wrapText="1"/>
    </xf>
    <xf numFmtId="0" fontId="71" fillId="0" borderId="47" xfId="0" applyFont="1" applyBorder="1" applyAlignment="1">
      <alignment horizontal="left" vertical="center" wrapText="1"/>
    </xf>
    <xf numFmtId="4" fontId="71" fillId="0" borderId="47" xfId="0" applyNumberFormat="1" applyFont="1" applyBorder="1" applyAlignment="1">
      <alignment horizontal="right" vertical="center" wrapText="1"/>
    </xf>
    <xf numFmtId="0" fontId="71" fillId="0" borderId="64" xfId="0" applyFont="1" applyBorder="1" applyAlignment="1">
      <alignment horizontal="left" vertical="center" wrapText="1" indent="2"/>
    </xf>
    <xf numFmtId="0" fontId="71" fillId="0" borderId="63" xfId="0" applyFont="1" applyBorder="1" applyAlignment="1">
      <alignment horizontal="left" vertical="center" wrapText="1" indent="1"/>
    </xf>
    <xf numFmtId="4" fontId="71" fillId="0" borderId="48" xfId="0" applyNumberFormat="1" applyFont="1" applyBorder="1" applyAlignment="1">
      <alignment horizontal="right" vertical="center" wrapText="1"/>
    </xf>
    <xf numFmtId="0" fontId="71" fillId="0" borderId="43" xfId="0" applyFont="1" applyBorder="1" applyAlignment="1">
      <alignment vertical="center" wrapText="1"/>
    </xf>
    <xf numFmtId="49" fontId="76" fillId="25" borderId="44" xfId="0" applyNumberFormat="1" applyFont="1" applyFill="1" applyBorder="1" applyAlignment="1">
      <alignment horizontal="center" vertical="center"/>
    </xf>
    <xf numFmtId="49" fontId="76" fillId="25" borderId="48" xfId="0" applyNumberFormat="1" applyFont="1" applyFill="1" applyBorder="1" applyAlignment="1">
      <alignment horizontal="center" vertical="center"/>
    </xf>
    <xf numFmtId="0" fontId="76" fillId="0" borderId="64" xfId="0" applyFont="1" applyBorder="1" applyAlignment="1">
      <alignment horizontal="left" vertical="center" indent="1"/>
    </xf>
    <xf numFmtId="0" fontId="76" fillId="0" borderId="43" xfId="0" applyFont="1" applyBorder="1" applyAlignment="1">
      <alignment vertical="center"/>
    </xf>
    <xf numFmtId="4" fontId="71" fillId="0" borderId="45" xfId="33" applyNumberFormat="1" applyFont="1" applyFill="1" applyBorder="1" applyAlignment="1">
      <alignment horizontal="right" vertical="center"/>
    </xf>
    <xf numFmtId="4" fontId="71" fillId="25" borderId="45" xfId="33" applyNumberFormat="1" applyFont="1" applyFill="1" applyBorder="1" applyAlignment="1">
      <alignment horizontal="right" vertical="center"/>
    </xf>
    <xf numFmtId="4" fontId="76" fillId="0" borderId="63" xfId="33" applyNumberFormat="1" applyFont="1" applyFill="1" applyBorder="1" applyAlignment="1">
      <alignment horizontal="right" vertical="center"/>
    </xf>
    <xf numFmtId="0" fontId="71" fillId="0" borderId="0" xfId="0" applyFont="1" applyAlignment="1">
      <alignment horizontal="left" indent="1"/>
    </xf>
    <xf numFmtId="0" fontId="73" fillId="0" borderId="0" xfId="0" applyFont="1"/>
    <xf numFmtId="0" fontId="71" fillId="0" borderId="62" xfId="0" applyFont="1" applyBorder="1" applyAlignment="1">
      <alignment horizontal="left" vertical="center" indent="1"/>
    </xf>
    <xf numFmtId="0" fontId="71" fillId="0" borderId="45" xfId="0" applyFont="1" applyBorder="1" applyAlignment="1">
      <alignment horizontal="center" vertical="center"/>
    </xf>
    <xf numFmtId="4" fontId="76" fillId="0" borderId="45" xfId="33" applyNumberFormat="1" applyFont="1" applyBorder="1" applyAlignment="1">
      <alignment horizontal="right" vertical="center"/>
    </xf>
    <xf numFmtId="4" fontId="76" fillId="0" borderId="45" xfId="33" applyNumberFormat="1" applyFont="1" applyBorder="1" applyAlignment="1" applyProtection="1">
      <alignment horizontal="right" vertical="center"/>
    </xf>
    <xf numFmtId="0" fontId="71" fillId="0" borderId="64" xfId="0" applyFont="1" applyBorder="1" applyAlignment="1">
      <alignment horizontal="left" vertical="center" indent="3"/>
    </xf>
    <xf numFmtId="4" fontId="76" fillId="0" borderId="45" xfId="33" applyNumberFormat="1" applyFont="1" applyFill="1" applyBorder="1" applyAlignment="1" applyProtection="1">
      <alignment horizontal="right" vertical="center"/>
      <protection locked="0"/>
    </xf>
    <xf numFmtId="4" fontId="76" fillId="0" borderId="45" xfId="33" applyNumberFormat="1" applyFont="1" applyFill="1" applyBorder="1" applyAlignment="1" applyProtection="1">
      <alignment horizontal="right" vertical="center"/>
    </xf>
    <xf numFmtId="4" fontId="71" fillId="0" borderId="45" xfId="33" applyNumberFormat="1" applyFont="1" applyFill="1" applyBorder="1" applyAlignment="1" applyProtection="1">
      <alignment horizontal="right" vertical="center"/>
    </xf>
    <xf numFmtId="0" fontId="71" fillId="0" borderId="64" xfId="0" applyFont="1" applyBorder="1" applyAlignment="1">
      <alignment horizontal="left" vertical="center" wrapText="1" indent="5"/>
    </xf>
    <xf numFmtId="0" fontId="71" fillId="0" borderId="64" xfId="0" applyFont="1" applyBorder="1" applyAlignment="1">
      <alignment horizontal="left" vertical="center" indent="5"/>
    </xf>
    <xf numFmtId="4" fontId="71" fillId="25" borderId="45" xfId="33" applyNumberFormat="1" applyFont="1" applyFill="1" applyBorder="1" applyAlignment="1" applyProtection="1">
      <alignment horizontal="right" vertical="center"/>
    </xf>
    <xf numFmtId="0" fontId="71" fillId="0" borderId="64" xfId="0" applyFont="1" applyBorder="1" applyAlignment="1">
      <alignment horizontal="left" vertical="center" indent="1"/>
    </xf>
    <xf numFmtId="4" fontId="71" fillId="0" borderId="45" xfId="33" applyNumberFormat="1" applyFont="1" applyBorder="1" applyAlignment="1">
      <alignment horizontal="right" vertical="center"/>
    </xf>
    <xf numFmtId="4" fontId="71" fillId="0" borderId="45" xfId="33" applyNumberFormat="1" applyFont="1" applyBorder="1" applyAlignment="1" applyProtection="1">
      <alignment horizontal="right" vertical="center"/>
    </xf>
    <xf numFmtId="4" fontId="76" fillId="0" borderId="66" xfId="0" applyNumberFormat="1" applyFont="1" applyBorder="1" applyAlignment="1">
      <alignment vertical="center"/>
    </xf>
    <xf numFmtId="0" fontId="76" fillId="0" borderId="64" xfId="0" applyFont="1" applyBorder="1" applyAlignment="1">
      <alignment horizontal="left" vertical="center" indent="3"/>
    </xf>
    <xf numFmtId="0" fontId="76" fillId="0" borderId="63" xfId="0" applyFont="1" applyBorder="1" applyAlignment="1">
      <alignment horizontal="left" vertical="center" indent="3"/>
    </xf>
    <xf numFmtId="4" fontId="76" fillId="0" borderId="48" xfId="33" applyNumberFormat="1" applyFont="1" applyFill="1" applyBorder="1" applyAlignment="1">
      <alignment horizontal="right" vertical="center"/>
    </xf>
    <xf numFmtId="4" fontId="76" fillId="0" borderId="48" xfId="33" applyNumberFormat="1" applyFont="1" applyFill="1" applyBorder="1" applyAlignment="1" applyProtection="1">
      <alignment horizontal="right" vertical="center"/>
    </xf>
    <xf numFmtId="49" fontId="76" fillId="0" borderId="62" xfId="0" applyNumberFormat="1" applyFont="1" applyBorder="1" applyAlignment="1">
      <alignment vertical="center"/>
    </xf>
    <xf numFmtId="49" fontId="76" fillId="0" borderId="64" xfId="0" applyNumberFormat="1" applyFont="1" applyBorder="1" applyAlignment="1">
      <alignment horizontal="center" vertical="center" wrapText="1"/>
    </xf>
    <xf numFmtId="0" fontId="76" fillId="0" borderId="64" xfId="0" applyFont="1" applyBorder="1" applyAlignment="1">
      <alignment vertical="center"/>
    </xf>
    <xf numFmtId="170" fontId="76" fillId="0" borderId="45" xfId="33" applyNumberFormat="1" applyFont="1" applyFill="1" applyBorder="1" applyAlignment="1">
      <alignment horizontal="right" vertical="center"/>
    </xf>
    <xf numFmtId="170" fontId="76" fillId="0" borderId="64" xfId="33" applyNumberFormat="1" applyFont="1" applyFill="1" applyBorder="1" applyAlignment="1">
      <alignment horizontal="right" vertical="center"/>
    </xf>
    <xf numFmtId="0" fontId="193" fillId="0" borderId="0" xfId="0" applyFont="1"/>
    <xf numFmtId="0" fontId="76" fillId="0" borderId="64" xfId="0" applyFont="1" applyBorder="1" applyAlignment="1">
      <alignment vertical="center" wrapText="1"/>
    </xf>
    <xf numFmtId="0" fontId="71" fillId="0" borderId="64" xfId="0" applyFont="1" applyBorder="1" applyAlignment="1">
      <alignment horizontal="left" vertical="center" indent="2"/>
    </xf>
    <xf numFmtId="0" fontId="76" fillId="0" borderId="62" xfId="0" applyFont="1" applyBorder="1" applyAlignment="1">
      <alignment horizontal="center" vertical="center"/>
    </xf>
    <xf numFmtId="170" fontId="76" fillId="0" borderId="44" xfId="33" applyNumberFormat="1" applyFont="1" applyFill="1" applyBorder="1" applyAlignment="1">
      <alignment horizontal="right" vertical="center"/>
    </xf>
    <xf numFmtId="170" fontId="76" fillId="0" borderId="44" xfId="33" applyNumberFormat="1" applyFont="1" applyFill="1" applyBorder="1" applyAlignment="1" applyProtection="1">
      <alignment horizontal="right" vertical="center"/>
    </xf>
    <xf numFmtId="0" fontId="71" fillId="0" borderId="64" xfId="0" applyFont="1" applyBorder="1" applyAlignment="1">
      <alignment vertical="center"/>
    </xf>
    <xf numFmtId="0" fontId="71" fillId="0" borderId="64" xfId="0" applyFont="1" applyBorder="1" applyAlignment="1">
      <alignment vertical="center" wrapText="1"/>
    </xf>
    <xf numFmtId="170" fontId="184" fillId="0" borderId="0" xfId="0" applyNumberFormat="1" applyFont="1"/>
    <xf numFmtId="170" fontId="71" fillId="0" borderId="45" xfId="33" applyNumberFormat="1" applyFont="1" applyFill="1" applyBorder="1" applyAlignment="1">
      <alignment horizontal="right" vertical="center"/>
    </xf>
    <xf numFmtId="0" fontId="76" fillId="0" borderId="63" xfId="0" applyFont="1" applyBorder="1" applyAlignment="1">
      <alignment vertical="center"/>
    </xf>
    <xf numFmtId="170" fontId="76" fillId="0" borderId="48" xfId="33" applyNumberFormat="1" applyFont="1" applyFill="1" applyBorder="1" applyAlignment="1">
      <alignment horizontal="right" vertical="center"/>
    </xf>
    <xf numFmtId="170" fontId="76" fillId="0" borderId="48" xfId="33" applyNumberFormat="1" applyFont="1" applyFill="1" applyBorder="1" applyAlignment="1" applyProtection="1">
      <alignment horizontal="right" vertical="center"/>
    </xf>
    <xf numFmtId="49" fontId="11" fillId="25" borderId="48" xfId="0" applyNumberFormat="1" applyFont="1" applyFill="1" applyBorder="1" applyAlignment="1">
      <alignment horizontal="center" vertical="center" wrapText="1"/>
    </xf>
    <xf numFmtId="0" fontId="11" fillId="0" borderId="62" xfId="0" applyFont="1" applyBorder="1" applyAlignment="1">
      <alignment horizontal="left" vertical="center" wrapText="1"/>
    </xf>
    <xf numFmtId="4" fontId="11" fillId="0" borderId="62" xfId="0" applyNumberFormat="1" applyFont="1" applyBorder="1" applyAlignment="1" applyProtection="1">
      <alignment vertical="center" wrapText="1"/>
      <protection locked="0"/>
    </xf>
    <xf numFmtId="4" fontId="11" fillId="0" borderId="62" xfId="0" applyNumberFormat="1" applyFont="1" applyBorder="1" applyAlignment="1">
      <alignment vertical="center" wrapText="1"/>
    </xf>
    <xf numFmtId="0" fontId="71" fillId="0" borderId="64" xfId="0" applyFont="1" applyBorder="1" applyAlignment="1" applyProtection="1">
      <alignment horizontal="left" vertical="center" wrapText="1" indent="1"/>
      <protection locked="0"/>
    </xf>
    <xf numFmtId="0" fontId="10" fillId="0" borderId="64" xfId="0" applyFont="1" applyBorder="1" applyAlignment="1" applyProtection="1">
      <alignment horizontal="left" vertical="center" wrapText="1"/>
      <protection locked="0"/>
    </xf>
    <xf numFmtId="4" fontId="11" fillId="0" borderId="64" xfId="0" applyNumberFormat="1" applyFont="1" applyBorder="1" applyAlignment="1" applyProtection="1">
      <alignment vertical="center" wrapText="1"/>
      <protection locked="0"/>
    </xf>
    <xf numFmtId="4" fontId="11" fillId="0" borderId="64" xfId="0" applyNumberFormat="1" applyFont="1" applyBorder="1" applyAlignment="1">
      <alignment vertical="center" wrapText="1"/>
    </xf>
    <xf numFmtId="0" fontId="10" fillId="0" borderId="64" xfId="0" applyFont="1" applyBorder="1" applyAlignment="1" applyProtection="1">
      <alignment horizontal="justify" vertical="center" wrapText="1"/>
      <protection locked="0"/>
    </xf>
    <xf numFmtId="0" fontId="10" fillId="0" borderId="48" xfId="0" applyFont="1" applyBorder="1" applyAlignment="1">
      <alignment horizontal="center" vertical="center" wrapText="1"/>
    </xf>
    <xf numFmtId="49" fontId="11" fillId="0" borderId="64" xfId="0" applyNumberFormat="1" applyFont="1" applyBorder="1" applyAlignment="1">
      <alignment horizontal="center" vertical="center"/>
    </xf>
    <xf numFmtId="49" fontId="11" fillId="0" borderId="45" xfId="0" applyNumberFormat="1" applyFont="1" applyBorder="1" applyAlignment="1">
      <alignment horizontal="center" vertical="center" wrapText="1"/>
    </xf>
    <xf numFmtId="0" fontId="11" fillId="0" borderId="64" xfId="0" applyFont="1" applyBorder="1" applyAlignment="1">
      <alignment horizontal="left" vertical="center" indent="1"/>
    </xf>
    <xf numFmtId="0" fontId="11" fillId="0" borderId="64" xfId="0" applyFont="1" applyBorder="1" applyAlignment="1">
      <alignment horizontal="left" vertical="center" wrapText="1" indent="1"/>
    </xf>
    <xf numFmtId="0" fontId="179" fillId="0" borderId="64" xfId="0" applyFont="1" applyBorder="1" applyAlignment="1">
      <alignment horizontal="left" indent="1"/>
    </xf>
    <xf numFmtId="0" fontId="11" fillId="0" borderId="63" xfId="0" applyFont="1" applyBorder="1" applyAlignment="1">
      <alignment vertical="center" wrapText="1"/>
    </xf>
    <xf numFmtId="4" fontId="11" fillId="0" borderId="48" xfId="0" applyNumberFormat="1" applyFont="1" applyBorder="1" applyAlignment="1">
      <alignment horizontal="right" vertical="center"/>
    </xf>
    <xf numFmtId="170" fontId="76" fillId="0" borderId="64" xfId="33" applyNumberFormat="1" applyFont="1" applyFill="1" applyBorder="1" applyAlignment="1">
      <alignment horizontal="right" vertical="center" wrapText="1"/>
    </xf>
    <xf numFmtId="170" fontId="76" fillId="0" borderId="64" xfId="33" applyNumberFormat="1" applyFont="1" applyFill="1" applyBorder="1" applyAlignment="1" applyProtection="1">
      <alignment horizontal="right" vertical="center" wrapText="1"/>
    </xf>
    <xf numFmtId="0" fontId="71" fillId="0" borderId="36" xfId="0" applyFont="1" applyBorder="1" applyAlignment="1">
      <alignment horizontal="left" vertical="center" wrapText="1" indent="1"/>
    </xf>
    <xf numFmtId="170" fontId="71" fillId="0" borderId="64" xfId="33" applyNumberFormat="1" applyFont="1" applyFill="1" applyBorder="1" applyAlignment="1" applyProtection="1">
      <alignment horizontal="right" vertical="center" wrapText="1"/>
      <protection locked="0"/>
    </xf>
    <xf numFmtId="170" fontId="71" fillId="0" borderId="64" xfId="33" applyNumberFormat="1" applyFont="1" applyFill="1" applyBorder="1" applyAlignment="1" applyProtection="1">
      <alignment horizontal="right" vertical="center" wrapText="1"/>
    </xf>
    <xf numFmtId="170" fontId="71" fillId="0" borderId="64" xfId="33" applyNumberFormat="1" applyFont="1" applyFill="1" applyBorder="1" applyAlignment="1">
      <alignment horizontal="right" vertical="center" wrapText="1"/>
    </xf>
    <xf numFmtId="0" fontId="71" fillId="0" borderId="36" xfId="0" applyFont="1" applyBorder="1" applyAlignment="1">
      <alignment horizontal="left" vertical="center" wrapText="1" indent="2"/>
    </xf>
    <xf numFmtId="0" fontId="71" fillId="0" borderId="36" xfId="0" applyFont="1" applyBorder="1" applyAlignment="1" applyProtection="1">
      <alignment horizontal="left" vertical="center" wrapText="1" indent="2"/>
      <protection locked="0"/>
    </xf>
    <xf numFmtId="170" fontId="76" fillId="0" borderId="45" xfId="33" applyNumberFormat="1" applyFont="1" applyFill="1" applyBorder="1" applyAlignment="1">
      <alignment horizontal="right" vertical="center" wrapText="1"/>
    </xf>
    <xf numFmtId="170" fontId="76" fillId="0" borderId="45" xfId="33" applyNumberFormat="1" applyFont="1" applyFill="1" applyBorder="1" applyAlignment="1" applyProtection="1">
      <alignment horizontal="right" vertical="center" wrapText="1"/>
    </xf>
    <xf numFmtId="0" fontId="76" fillId="0" borderId="46" xfId="0" applyFont="1" applyBorder="1" applyAlignment="1">
      <alignment horizontal="left" vertical="center" wrapText="1"/>
    </xf>
    <xf numFmtId="170" fontId="76" fillId="0" borderId="63" xfId="33" applyNumberFormat="1" applyFont="1" applyFill="1" applyBorder="1" applyAlignment="1">
      <alignment horizontal="right" vertical="center" wrapText="1"/>
    </xf>
    <xf numFmtId="170" fontId="76" fillId="0" borderId="63" xfId="33" applyNumberFormat="1" applyFont="1" applyFill="1" applyBorder="1" applyAlignment="1" applyProtection="1">
      <alignment horizontal="right" vertical="center" wrapText="1"/>
    </xf>
    <xf numFmtId="0" fontId="11" fillId="0" borderId="0" xfId="49" applyFont="1" applyFill="1"/>
    <xf numFmtId="4" fontId="9" fillId="0" borderId="11" xfId="0" applyNumberFormat="1" applyFont="1" applyBorder="1" applyAlignment="1">
      <alignment wrapText="1"/>
    </xf>
    <xf numFmtId="4" fontId="14" fillId="0" borderId="0" xfId="37" applyNumberFormat="1" applyFont="1" applyFill="1" applyBorder="1" applyAlignment="1">
      <alignment horizontal="center" vertical="center"/>
    </xf>
    <xf numFmtId="43" fontId="14" fillId="0" borderId="0" xfId="37" applyFont="1" applyFill="1" applyBorder="1" applyAlignment="1">
      <alignment horizontal="center" vertical="center"/>
    </xf>
    <xf numFmtId="0" fontId="71" fillId="28" borderId="18" xfId="82" applyFont="1" applyFill="1" applyBorder="1" applyAlignment="1">
      <alignment horizontal="center" vertical="center" wrapText="1"/>
    </xf>
    <xf numFmtId="0" fontId="55" fillId="42" borderId="17" xfId="0" applyFont="1" applyFill="1" applyBorder="1" applyAlignment="1">
      <alignment horizontal="center"/>
    </xf>
    <xf numFmtId="166" fontId="13" fillId="26" borderId="15" xfId="33" applyNumberFormat="1" applyFont="1" applyFill="1" applyBorder="1"/>
    <xf numFmtId="166" fontId="8" fillId="0" borderId="17" xfId="33" applyNumberFormat="1" applyFont="1" applyFill="1" applyBorder="1"/>
    <xf numFmtId="166" fontId="9" fillId="26" borderId="17" xfId="33" applyNumberFormat="1" applyFont="1" applyFill="1" applyBorder="1"/>
    <xf numFmtId="166" fontId="13" fillId="26" borderId="17" xfId="33" applyNumberFormat="1" applyFont="1" applyFill="1" applyBorder="1"/>
    <xf numFmtId="166" fontId="13" fillId="26" borderId="17" xfId="33" applyNumberFormat="1" applyFont="1" applyFill="1" applyBorder="1" applyAlignment="1">
      <alignment horizontal="right"/>
    </xf>
    <xf numFmtId="166" fontId="9" fillId="28" borderId="17" xfId="33" applyNumberFormat="1" applyFont="1" applyFill="1" applyBorder="1"/>
    <xf numFmtId="166" fontId="8" fillId="26" borderId="15" xfId="33" applyNumberFormat="1" applyFont="1" applyFill="1" applyBorder="1"/>
    <xf numFmtId="166" fontId="8" fillId="26" borderId="17" xfId="33" applyNumberFormat="1" applyFont="1" applyFill="1" applyBorder="1" applyAlignment="1">
      <alignment horizontal="right"/>
    </xf>
    <xf numFmtId="0" fontId="9" fillId="0" borderId="0" xfId="0" applyFont="1" applyBorder="1"/>
    <xf numFmtId="0" fontId="54" fillId="0" borderId="0" xfId="0" applyFont="1" applyBorder="1" applyAlignment="1">
      <alignment horizontal="center"/>
    </xf>
    <xf numFmtId="3" fontId="90" fillId="0" borderId="12" xfId="82" applyNumberFormat="1" applyFont="1" applyFill="1" applyBorder="1" applyAlignment="1">
      <alignment vertical="center" wrapText="1"/>
    </xf>
    <xf numFmtId="174" fontId="90" fillId="28" borderId="12" xfId="82" applyNumberFormat="1" applyFont="1" applyFill="1" applyBorder="1" applyAlignment="1">
      <alignment vertical="center" wrapText="1"/>
    </xf>
    <xf numFmtId="3" fontId="90" fillId="28" borderId="12" xfId="82" applyNumberFormat="1" applyFont="1" applyFill="1" applyBorder="1" applyAlignment="1">
      <alignment vertical="center" wrapText="1"/>
    </xf>
    <xf numFmtId="0" fontId="54" fillId="0" borderId="0" xfId="0" applyFont="1"/>
    <xf numFmtId="0" fontId="71" fillId="28" borderId="18" xfId="82" applyFont="1" applyFill="1" applyBorder="1" applyAlignment="1">
      <alignment horizontal="center" vertical="center" wrapText="1"/>
    </xf>
    <xf numFmtId="166" fontId="15" fillId="0" borderId="16" xfId="33" applyNumberFormat="1" applyFont="1" applyFill="1" applyBorder="1"/>
    <xf numFmtId="166" fontId="9" fillId="0" borderId="12" xfId="33" applyNumberFormat="1" applyFill="1" applyBorder="1"/>
    <xf numFmtId="7" fontId="197" fillId="0" borderId="0" xfId="0" applyNumberFormat="1" applyFont="1" applyAlignment="1">
      <alignment horizontal="right" wrapText="1"/>
    </xf>
    <xf numFmtId="7" fontId="92" fillId="0" borderId="0" xfId="0" applyNumberFormat="1" applyFont="1" applyAlignment="1">
      <alignment horizontal="right" wrapText="1"/>
    </xf>
    <xf numFmtId="7" fontId="136" fillId="0" borderId="0" xfId="0" applyNumberFormat="1" applyFont="1" applyAlignment="1">
      <alignment horizontal="right" wrapText="1"/>
    </xf>
    <xf numFmtId="7" fontId="198" fillId="0" borderId="0" xfId="0" applyNumberFormat="1" applyFont="1" applyAlignment="1">
      <alignment horizontal="right" wrapText="1"/>
    </xf>
    <xf numFmtId="7" fontId="197" fillId="0" borderId="0" xfId="0" applyNumberFormat="1" applyFont="1" applyAlignment="1">
      <alignment wrapText="1"/>
    </xf>
    <xf numFmtId="7" fontId="92" fillId="0" borderId="0" xfId="0" applyNumberFormat="1" applyFont="1" applyAlignment="1">
      <alignment wrapText="1"/>
    </xf>
    <xf numFmtId="7" fontId="136" fillId="0" borderId="0" xfId="0" applyNumberFormat="1" applyFont="1" applyAlignment="1">
      <alignment wrapText="1"/>
    </xf>
    <xf numFmtId="3" fontId="71" fillId="0" borderId="0" xfId="82" applyNumberFormat="1" applyFont="1" applyFill="1" applyAlignment="1" applyProtection="1">
      <alignment horizontal="right" vertical="top"/>
      <protection locked="0"/>
    </xf>
    <xf numFmtId="0" fontId="1" fillId="0" borderId="32" xfId="106" applyFont="1" applyBorder="1"/>
    <xf numFmtId="0" fontId="9" fillId="0" borderId="46" xfId="106" applyFont="1" applyBorder="1"/>
    <xf numFmtId="0" fontId="8" fillId="0" borderId="63" xfId="106" applyFont="1" applyBorder="1" applyAlignment="1">
      <alignment horizontal="center"/>
    </xf>
    <xf numFmtId="0" fontId="8" fillId="0" borderId="47" xfId="106" applyFont="1" applyBorder="1" applyAlignment="1">
      <alignment horizontal="center"/>
    </xf>
    <xf numFmtId="0" fontId="1" fillId="0" borderId="54" xfId="106" applyFont="1" applyBorder="1"/>
    <xf numFmtId="0" fontId="93" fillId="25" borderId="29" xfId="106" applyFont="1" applyFill="1" applyBorder="1" applyAlignment="1">
      <alignment horizontal="center" wrapText="1"/>
    </xf>
    <xf numFmtId="0" fontId="1" fillId="0" borderId="33" xfId="106" applyFont="1" applyBorder="1"/>
    <xf numFmtId="0" fontId="1" fillId="0" borderId="35" xfId="106" applyFont="1" applyBorder="1"/>
    <xf numFmtId="175" fontId="199" fillId="25" borderId="27" xfId="106" applyNumberFormat="1" applyFont="1" applyFill="1" applyBorder="1" applyAlignment="1">
      <alignment horizontal="center" vertical="center" wrapText="1"/>
    </xf>
    <xf numFmtId="175" fontId="199" fillId="25" borderId="26" xfId="106" applyNumberFormat="1" applyFont="1" applyFill="1" applyBorder="1" applyAlignment="1">
      <alignment horizontal="center" vertical="center" wrapText="1"/>
    </xf>
    <xf numFmtId="175" fontId="199" fillId="25" borderId="29" xfId="106" applyNumberFormat="1" applyFont="1" applyFill="1" applyBorder="1" applyAlignment="1">
      <alignment horizontal="center" vertical="center" wrapText="1"/>
    </xf>
    <xf numFmtId="0" fontId="9" fillId="0" borderId="0" xfId="0" applyFont="1" applyAlignment="1">
      <alignment horizontal="left"/>
    </xf>
    <xf numFmtId="165" fontId="71" fillId="28" borderId="0" xfId="33" applyFont="1" applyFill="1"/>
    <xf numFmtId="165" fontId="9" fillId="0" borderId="0" xfId="0" applyNumberFormat="1" applyFont="1" applyFill="1"/>
    <xf numFmtId="0" fontId="194" fillId="0" borderId="0" xfId="0" applyFont="1" applyAlignment="1">
      <alignment horizontal="right" vertical="top" wrapText="1"/>
    </xf>
    <xf numFmtId="0" fontId="194" fillId="0" borderId="0" xfId="0" applyFont="1" applyAlignment="1">
      <alignment horizontal="left" vertical="top" wrapText="1"/>
    </xf>
    <xf numFmtId="166" fontId="9" fillId="0" borderId="0" xfId="33" applyNumberFormat="1" applyFont="1" applyFill="1"/>
    <xf numFmtId="0" fontId="65" fillId="0" borderId="0" xfId="0" applyFont="1" applyFill="1"/>
    <xf numFmtId="0" fontId="64" fillId="0" borderId="0" xfId="0" applyFont="1" applyFill="1" applyAlignment="1">
      <alignment horizontal="center"/>
    </xf>
    <xf numFmtId="0" fontId="64" fillId="0" borderId="0" xfId="0" applyFont="1" applyFill="1"/>
    <xf numFmtId="4" fontId="65" fillId="0" borderId="22" xfId="0" applyNumberFormat="1" applyFont="1" applyFill="1" applyBorder="1"/>
    <xf numFmtId="4" fontId="65" fillId="0" borderId="24" xfId="0" applyNumberFormat="1" applyFont="1" applyFill="1" applyBorder="1"/>
    <xf numFmtId="0" fontId="65" fillId="0" borderId="23" xfId="0" applyFont="1" applyFill="1" applyBorder="1"/>
    <xf numFmtId="0" fontId="65" fillId="0" borderId="22" xfId="0" applyFont="1" applyFill="1" applyBorder="1"/>
    <xf numFmtId="0" fontId="65" fillId="0" borderId="24" xfId="0" applyFont="1" applyFill="1" applyBorder="1"/>
    <xf numFmtId="0" fontId="65" fillId="0" borderId="0" xfId="0" applyFont="1" applyFill="1" applyAlignment="1">
      <alignment vertical="center" wrapText="1"/>
    </xf>
    <xf numFmtId="4" fontId="65" fillId="0" borderId="0" xfId="0" applyNumberFormat="1" applyFont="1" applyFill="1"/>
    <xf numFmtId="0" fontId="65" fillId="0" borderId="13" xfId="0" applyFont="1" applyFill="1" applyBorder="1"/>
    <xf numFmtId="0" fontId="200" fillId="0" borderId="14" xfId="0" applyFont="1" applyFill="1" applyBorder="1"/>
    <xf numFmtId="0" fontId="201" fillId="0" borderId="15" xfId="0" applyFont="1" applyFill="1" applyBorder="1"/>
    <xf numFmtId="0" fontId="201" fillId="0" borderId="17" xfId="0" applyFont="1" applyFill="1" applyBorder="1"/>
    <xf numFmtId="4" fontId="65" fillId="0" borderId="16" xfId="0" applyNumberFormat="1" applyFont="1" applyFill="1" applyBorder="1" applyAlignment="1">
      <alignment horizontal="center"/>
    </xf>
    <xf numFmtId="4" fontId="64" fillId="0" borderId="16" xfId="0" applyNumberFormat="1" applyFont="1" applyFill="1" applyBorder="1" applyAlignment="1">
      <alignment horizontal="center"/>
    </xf>
    <xf numFmtId="0" fontId="64" fillId="0" borderId="16" xfId="0" applyFont="1" applyFill="1" applyBorder="1" applyAlignment="1">
      <alignment horizontal="center"/>
    </xf>
    <xf numFmtId="43" fontId="65" fillId="0" borderId="0" xfId="0" applyNumberFormat="1" applyFont="1" applyFill="1"/>
    <xf numFmtId="9" fontId="65" fillId="0" borderId="0" xfId="0" applyNumberFormat="1" applyFont="1" applyFill="1"/>
    <xf numFmtId="0" fontId="93" fillId="0" borderId="0" xfId="0" applyFont="1" applyFill="1" applyAlignment="1">
      <alignment horizontal="left" vertical="center"/>
    </xf>
    <xf numFmtId="0" fontId="93" fillId="0" borderId="0" xfId="0" applyFont="1" applyFill="1" applyAlignment="1">
      <alignment horizontal="center" vertical="center"/>
    </xf>
    <xf numFmtId="49" fontId="93" fillId="0" borderId="0" xfId="0" applyNumberFormat="1" applyFont="1" applyFill="1" applyAlignment="1">
      <alignment horizontal="center" vertical="center"/>
    </xf>
    <xf numFmtId="0" fontId="64" fillId="0" borderId="16" xfId="0" applyFont="1" applyFill="1" applyBorder="1"/>
    <xf numFmtId="4" fontId="64" fillId="0" borderId="18" xfId="0" applyNumberFormat="1" applyFont="1" applyFill="1" applyBorder="1" applyAlignment="1">
      <alignment horizontal="center"/>
    </xf>
    <xf numFmtId="0" fontId="64" fillId="0" borderId="18" xfId="0" applyFont="1" applyFill="1" applyBorder="1" applyAlignment="1">
      <alignment horizontal="center"/>
    </xf>
    <xf numFmtId="0" fontId="65" fillId="0" borderId="17" xfId="0" applyFont="1" applyFill="1" applyBorder="1"/>
    <xf numFmtId="0" fontId="65" fillId="0" borderId="17" xfId="0" applyFont="1" applyFill="1" applyBorder="1" applyAlignment="1">
      <alignment horizontal="center"/>
    </xf>
    <xf numFmtId="4" fontId="65" fillId="0" borderId="17" xfId="0" applyNumberFormat="1" applyFont="1" applyFill="1" applyBorder="1" applyAlignment="1">
      <alignment horizontal="center"/>
    </xf>
    <xf numFmtId="4" fontId="65" fillId="0" borderId="17" xfId="0" applyNumberFormat="1" applyFont="1" applyFill="1" applyBorder="1"/>
    <xf numFmtId="4" fontId="65" fillId="0" borderId="17" xfId="0" applyNumberFormat="1" applyFont="1" applyFill="1" applyBorder="1" applyAlignment="1">
      <alignment horizontal="right"/>
    </xf>
    <xf numFmtId="43" fontId="65" fillId="0" borderId="17" xfId="0" applyNumberFormat="1" applyFont="1" applyFill="1" applyBorder="1"/>
    <xf numFmtId="0" fontId="202" fillId="0" borderId="17" xfId="0" applyFont="1" applyFill="1" applyBorder="1"/>
    <xf numFmtId="15" fontId="65" fillId="0" borderId="17" xfId="0" applyNumberFormat="1" applyFont="1" applyFill="1" applyBorder="1"/>
    <xf numFmtId="168" fontId="65" fillId="0" borderId="0" xfId="0" applyNumberFormat="1" applyFont="1" applyFill="1"/>
    <xf numFmtId="0" fontId="14" fillId="0" borderId="0" xfId="0" applyFont="1" applyFill="1" applyAlignment="1">
      <alignment horizontal="left" vertical="center"/>
    </xf>
    <xf numFmtId="0" fontId="87" fillId="0" borderId="0" xfId="0" applyFont="1" applyFill="1" applyAlignment="1">
      <alignment horizontal="center" vertical="center"/>
    </xf>
    <xf numFmtId="0" fontId="63" fillId="0" borderId="0" xfId="0" applyFont="1" applyFill="1" applyAlignment="1">
      <alignment horizontal="center" vertical="center"/>
    </xf>
    <xf numFmtId="0" fontId="87" fillId="0" borderId="0" xfId="0" applyFont="1" applyFill="1" applyAlignment="1" applyProtection="1">
      <alignment horizontal="center" vertical="center"/>
      <protection locked="0"/>
    </xf>
    <xf numFmtId="4" fontId="14" fillId="0" borderId="0" xfId="0" applyNumberFormat="1" applyFont="1" applyFill="1" applyAlignment="1">
      <alignment horizontal="center" vertical="center"/>
    </xf>
    <xf numFmtId="0" fontId="14" fillId="0" borderId="0" xfId="0" applyFont="1" applyFill="1" applyAlignment="1">
      <alignment horizontal="center" vertical="center"/>
    </xf>
    <xf numFmtId="0" fontId="203" fillId="0" borderId="0" xfId="0" applyFont="1" applyFill="1" applyAlignment="1">
      <alignment horizontal="center" vertical="center"/>
    </xf>
    <xf numFmtId="4" fontId="64" fillId="0" borderId="17" xfId="0" applyNumberFormat="1" applyFont="1" applyFill="1" applyBorder="1"/>
    <xf numFmtId="17" fontId="65" fillId="0" borderId="17" xfId="0" applyNumberFormat="1" applyFont="1" applyFill="1" applyBorder="1"/>
    <xf numFmtId="4" fontId="87" fillId="0" borderId="0" xfId="0" applyNumberFormat="1" applyFont="1" applyFill="1" applyAlignment="1" applyProtection="1">
      <alignment horizontal="center" vertical="center"/>
      <protection locked="0"/>
    </xf>
    <xf numFmtId="0" fontId="65" fillId="0" borderId="18" xfId="0" applyFont="1" applyFill="1" applyBorder="1"/>
    <xf numFmtId="0" fontId="65" fillId="0" borderId="18" xfId="0" applyFont="1" applyFill="1" applyBorder="1" applyAlignment="1">
      <alignment horizontal="center"/>
    </xf>
    <xf numFmtId="17" fontId="65" fillId="0" borderId="0" xfId="0" applyNumberFormat="1" applyFont="1" applyFill="1"/>
    <xf numFmtId="4" fontId="65" fillId="0" borderId="0" xfId="0" applyNumberFormat="1" applyFont="1" applyFill="1" applyAlignment="1">
      <alignment horizontal="center"/>
    </xf>
    <xf numFmtId="4" fontId="65" fillId="0" borderId="18" xfId="0" applyNumberFormat="1" applyFont="1" applyFill="1" applyBorder="1"/>
    <xf numFmtId="43" fontId="65" fillId="0" borderId="18" xfId="0" applyNumberFormat="1" applyFont="1" applyFill="1" applyBorder="1"/>
    <xf numFmtId="0" fontId="202" fillId="0" borderId="18" xfId="0" applyFont="1" applyFill="1" applyBorder="1"/>
    <xf numFmtId="15" fontId="65" fillId="0" borderId="18" xfId="0" applyNumberFormat="1" applyFont="1" applyFill="1" applyBorder="1"/>
    <xf numFmtId="4" fontId="64" fillId="0" borderId="18" xfId="0" applyNumberFormat="1" applyFont="1" applyFill="1" applyBorder="1" applyAlignment="1">
      <alignment horizontal="right"/>
    </xf>
    <xf numFmtId="4" fontId="64" fillId="0" borderId="0" xfId="0" applyNumberFormat="1" applyFont="1" applyFill="1" applyAlignment="1">
      <alignment horizontal="right"/>
    </xf>
    <xf numFmtId="0" fontId="64" fillId="0" borderId="0" xfId="0" applyFont="1" applyFill="1" applyAlignment="1">
      <alignment horizontal="right"/>
    </xf>
    <xf numFmtId="4" fontId="64" fillId="0" borderId="18" xfId="0" applyNumberFormat="1" applyFont="1" applyFill="1" applyBorder="1"/>
    <xf numFmtId="0" fontId="64" fillId="0" borderId="17" xfId="0" applyFont="1" applyFill="1" applyBorder="1"/>
    <xf numFmtId="0" fontId="64" fillId="0" borderId="17" xfId="0" applyFont="1" applyFill="1" applyBorder="1" applyAlignment="1">
      <alignment horizontal="center"/>
    </xf>
    <xf numFmtId="0" fontId="64" fillId="0" borderId="17" xfId="0" applyFont="1" applyFill="1" applyBorder="1" applyAlignment="1">
      <alignment horizontal="right"/>
    </xf>
    <xf numFmtId="43" fontId="64" fillId="0" borderId="17" xfId="0" applyNumberFormat="1" applyFont="1" applyFill="1" applyBorder="1"/>
    <xf numFmtId="0" fontId="64" fillId="0" borderId="0" xfId="0" applyFont="1" applyFill="1" applyAlignment="1">
      <alignment vertical="center" wrapText="1"/>
    </xf>
    <xf numFmtId="4" fontId="65" fillId="0" borderId="16" xfId="0" applyNumberFormat="1" applyFont="1" applyFill="1" applyBorder="1"/>
    <xf numFmtId="4" fontId="64" fillId="0" borderId="16" xfId="0" applyNumberFormat="1" applyFont="1" applyFill="1" applyBorder="1"/>
    <xf numFmtId="0" fontId="65" fillId="0" borderId="17" xfId="0" applyFont="1" applyFill="1" applyBorder="1" applyAlignment="1">
      <alignment horizontal="left"/>
    </xf>
    <xf numFmtId="4" fontId="65" fillId="0" borderId="17" xfId="0" applyNumberFormat="1" applyFont="1" applyFill="1" applyBorder="1" applyAlignment="1">
      <alignment horizontal="left"/>
    </xf>
    <xf numFmtId="0" fontId="64" fillId="0" borderId="23" xfId="0" applyFont="1" applyFill="1" applyBorder="1"/>
    <xf numFmtId="0" fontId="88" fillId="0" borderId="0" xfId="0" applyFont="1" applyFill="1" applyAlignment="1" applyProtection="1">
      <alignment horizontal="center" vertical="center"/>
      <protection locked="0"/>
    </xf>
    <xf numFmtId="4" fontId="65" fillId="0" borderId="10" xfId="0" applyNumberFormat="1" applyFont="1" applyFill="1" applyBorder="1"/>
    <xf numFmtId="0" fontId="64" fillId="0" borderId="11" xfId="0" applyFont="1" applyFill="1" applyBorder="1"/>
    <xf numFmtId="0" fontId="14" fillId="0" borderId="0" xfId="0" applyFont="1" applyFill="1" applyAlignment="1" applyProtection="1">
      <alignment horizontal="center" vertical="center"/>
      <protection locked="0"/>
    </xf>
    <xf numFmtId="4" fontId="14" fillId="0" borderId="0" xfId="0" applyNumberFormat="1" applyFont="1" applyFill="1" applyAlignment="1" applyProtection="1">
      <alignment horizontal="center" vertical="center"/>
      <protection locked="0"/>
    </xf>
    <xf numFmtId="4" fontId="65" fillId="0" borderId="15" xfId="0" applyNumberFormat="1" applyFont="1" applyFill="1" applyBorder="1"/>
    <xf numFmtId="4" fontId="64" fillId="0" borderId="10" xfId="0" applyNumberFormat="1" applyFont="1" applyFill="1" applyBorder="1"/>
    <xf numFmtId="0" fontId="204" fillId="0" borderId="0" xfId="0" applyFont="1" applyFill="1" applyAlignment="1">
      <alignment vertical="center" wrapText="1"/>
    </xf>
    <xf numFmtId="0" fontId="204" fillId="0" borderId="0" xfId="0" applyFont="1" applyFill="1"/>
    <xf numFmtId="0" fontId="14" fillId="0" borderId="0" xfId="0" applyFont="1" applyFill="1" applyAlignment="1">
      <alignment wrapText="1"/>
    </xf>
    <xf numFmtId="0" fontId="65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4" fontId="65" fillId="0" borderId="20" xfId="0" applyNumberFormat="1" applyFont="1" applyFill="1" applyBorder="1"/>
    <xf numFmtId="0" fontId="64" fillId="0" borderId="21" xfId="0" applyFont="1" applyFill="1" applyBorder="1"/>
    <xf numFmtId="4" fontId="64" fillId="0" borderId="15" xfId="0" applyNumberFormat="1" applyFont="1" applyFill="1" applyBorder="1"/>
    <xf numFmtId="0" fontId="87" fillId="0" borderId="0" xfId="0" applyFont="1" applyFill="1" applyAlignment="1" applyProtection="1">
      <alignment horizontal="left" vertical="center"/>
      <protection locked="0"/>
    </xf>
    <xf numFmtId="4" fontId="64" fillId="0" borderId="17" xfId="0" applyNumberFormat="1" applyFont="1" applyFill="1" applyBorder="1" applyAlignment="1">
      <alignment horizontal="center"/>
    </xf>
    <xf numFmtId="0" fontId="65" fillId="0" borderId="0" xfId="0" applyFont="1" applyFill="1" applyAlignment="1">
      <alignment horizontal="center"/>
    </xf>
    <xf numFmtId="4" fontId="64" fillId="0" borderId="0" xfId="0" applyNumberFormat="1" applyFont="1" applyFill="1" applyAlignment="1">
      <alignment horizontal="center"/>
    </xf>
    <xf numFmtId="4" fontId="64" fillId="0" borderId="0" xfId="0" applyNumberFormat="1" applyFont="1" applyFill="1"/>
    <xf numFmtId="0" fontId="65" fillId="0" borderId="20" xfId="0" applyFont="1" applyFill="1" applyBorder="1"/>
    <xf numFmtId="0" fontId="200" fillId="0" borderId="19" xfId="0" applyFont="1" applyFill="1" applyBorder="1"/>
    <xf numFmtId="0" fontId="201" fillId="0" borderId="21" xfId="0" applyFont="1" applyFill="1" applyBorder="1"/>
    <xf numFmtId="0" fontId="65" fillId="0" borderId="10" xfId="0" applyFont="1" applyFill="1" applyBorder="1"/>
    <xf numFmtId="0" fontId="87" fillId="0" borderId="0" xfId="0" applyFont="1" applyFill="1" applyAlignment="1">
      <alignment horizontal="left" vertical="center"/>
    </xf>
    <xf numFmtId="0" fontId="88" fillId="0" borderId="0" xfId="0" applyFont="1" applyFill="1" applyAlignment="1">
      <alignment horizontal="center" vertical="center"/>
    </xf>
    <xf numFmtId="16" fontId="65" fillId="0" borderId="17" xfId="0" applyNumberFormat="1" applyFont="1" applyFill="1" applyBorder="1" applyAlignment="1">
      <alignment horizontal="right"/>
    </xf>
    <xf numFmtId="2" fontId="14" fillId="0" borderId="0" xfId="0" applyNumberFormat="1" applyFont="1" applyFill="1" applyAlignment="1">
      <alignment horizontal="center" vertical="center"/>
    </xf>
    <xf numFmtId="4" fontId="64" fillId="0" borderId="17" xfId="0" applyNumberFormat="1" applyFont="1" applyFill="1" applyBorder="1" applyAlignment="1">
      <alignment horizontal="right"/>
    </xf>
    <xf numFmtId="4" fontId="63" fillId="0" borderId="0" xfId="0" applyNumberFormat="1" applyFont="1" applyFill="1" applyAlignment="1">
      <alignment horizontal="center" vertical="center"/>
    </xf>
    <xf numFmtId="49" fontId="0" fillId="0" borderId="0" xfId="0" applyNumberFormat="1" applyFill="1" applyAlignment="1">
      <alignment horizontal="center" vertical="center"/>
    </xf>
    <xf numFmtId="49" fontId="87" fillId="0" borderId="0" xfId="0" applyNumberFormat="1" applyFont="1" applyFill="1" applyAlignment="1">
      <alignment horizontal="center" vertical="center"/>
    </xf>
    <xf numFmtId="4" fontId="64" fillId="0" borderId="11" xfId="0" applyNumberFormat="1" applyFont="1" applyFill="1" applyBorder="1" applyAlignment="1">
      <alignment horizontal="right"/>
    </xf>
    <xf numFmtId="4" fontId="64" fillId="0" borderId="10" xfId="0" applyNumberFormat="1" applyFont="1" applyFill="1" applyBorder="1" applyAlignment="1">
      <alignment horizontal="right"/>
    </xf>
    <xf numFmtId="180" fontId="65" fillId="0" borderId="0" xfId="0" applyNumberFormat="1" applyFont="1" applyFill="1"/>
    <xf numFmtId="43" fontId="65" fillId="0" borderId="0" xfId="0" applyNumberFormat="1" applyFont="1" applyFill="1" applyAlignment="1">
      <alignment vertical="center" wrapText="1"/>
    </xf>
    <xf numFmtId="4" fontId="65" fillId="0" borderId="0" xfId="0" applyNumberFormat="1" applyFont="1" applyFill="1" applyAlignment="1">
      <alignment horizontal="right"/>
    </xf>
    <xf numFmtId="4" fontId="65" fillId="0" borderId="13" xfId="0" applyNumberFormat="1" applyFont="1" applyFill="1" applyBorder="1"/>
    <xf numFmtId="49" fontId="203" fillId="0" borderId="0" xfId="0" applyNumberFormat="1" applyFont="1" applyFill="1" applyAlignment="1">
      <alignment horizontal="center" vertical="center"/>
    </xf>
    <xf numFmtId="10" fontId="65" fillId="0" borderId="0" xfId="0" applyNumberFormat="1" applyFont="1" applyFill="1"/>
    <xf numFmtId="4" fontId="88" fillId="0" borderId="0" xfId="0" applyNumberFormat="1" applyFont="1" applyFill="1" applyAlignment="1">
      <alignment horizontal="center" vertical="center"/>
    </xf>
    <xf numFmtId="0" fontId="64" fillId="0" borderId="18" xfId="0" applyFont="1" applyFill="1" applyBorder="1"/>
    <xf numFmtId="4" fontId="65" fillId="0" borderId="18" xfId="0" applyNumberFormat="1" applyFont="1" applyFill="1" applyBorder="1" applyAlignment="1">
      <alignment horizontal="center"/>
    </xf>
    <xf numFmtId="0" fontId="65" fillId="0" borderId="16" xfId="0" applyFont="1" applyFill="1" applyBorder="1"/>
    <xf numFmtId="4" fontId="65" fillId="0" borderId="16" xfId="0" applyNumberFormat="1" applyFont="1" applyFill="1" applyBorder="1" applyAlignment="1">
      <alignment horizontal="right"/>
    </xf>
    <xf numFmtId="0" fontId="65" fillId="0" borderId="16" xfId="0" applyFont="1" applyFill="1" applyBorder="1" applyAlignment="1">
      <alignment horizontal="center"/>
    </xf>
    <xf numFmtId="17" fontId="87" fillId="0" borderId="0" xfId="0" applyNumberFormat="1" applyFont="1" applyFill="1" applyAlignment="1" applyProtection="1">
      <alignment horizontal="center" vertical="center"/>
      <protection locked="0"/>
    </xf>
    <xf numFmtId="0" fontId="201" fillId="0" borderId="17" xfId="0" applyFont="1" applyFill="1" applyBorder="1" applyAlignment="1">
      <alignment horizontal="left"/>
    </xf>
    <xf numFmtId="0" fontId="65" fillId="0" borderId="15" xfId="0" applyFont="1" applyFill="1" applyBorder="1"/>
    <xf numFmtId="4" fontId="65" fillId="0" borderId="19" xfId="0" applyNumberFormat="1" applyFont="1" applyFill="1" applyBorder="1"/>
    <xf numFmtId="0" fontId="65" fillId="0" borderId="21" xfId="0" applyFont="1" applyFill="1" applyBorder="1"/>
    <xf numFmtId="0" fontId="65" fillId="0" borderId="19" xfId="0" applyFont="1" applyFill="1" applyBorder="1"/>
    <xf numFmtId="17" fontId="65" fillId="0" borderId="17" xfId="0" applyNumberFormat="1" applyFont="1" applyFill="1" applyBorder="1" applyAlignment="1">
      <alignment horizontal="left"/>
    </xf>
    <xf numFmtId="17" fontId="65" fillId="0" borderId="16" xfId="0" applyNumberFormat="1" applyFont="1" applyFill="1" applyBorder="1"/>
    <xf numFmtId="0" fontId="202" fillId="0" borderId="16" xfId="0" applyFont="1" applyFill="1" applyBorder="1"/>
    <xf numFmtId="15" fontId="65" fillId="0" borderId="16" xfId="0" applyNumberFormat="1" applyFont="1" applyFill="1" applyBorder="1"/>
    <xf numFmtId="17" fontId="64" fillId="0" borderId="17" xfId="0" applyNumberFormat="1" applyFont="1" applyFill="1" applyBorder="1" applyAlignment="1">
      <alignment horizontal="right"/>
    </xf>
    <xf numFmtId="0" fontId="204" fillId="0" borderId="17" xfId="0" applyFont="1" applyFill="1" applyBorder="1"/>
    <xf numFmtId="43" fontId="204" fillId="0" borderId="17" xfId="37" applyFont="1" applyFill="1" applyBorder="1"/>
    <xf numFmtId="0" fontId="65" fillId="0" borderId="17" xfId="0" applyFont="1" applyFill="1" applyBorder="1" applyAlignment="1">
      <alignment vertical="center" wrapText="1"/>
    </xf>
    <xf numFmtId="43" fontId="64" fillId="0" borderId="0" xfId="0" applyNumberFormat="1" applyFont="1" applyFill="1"/>
    <xf numFmtId="0" fontId="65" fillId="0" borderId="17" xfId="0" applyFont="1" applyFill="1" applyBorder="1" applyAlignment="1">
      <alignment horizontal="right"/>
    </xf>
    <xf numFmtId="0" fontId="34" fillId="0" borderId="0" xfId="31" applyFill="1" applyAlignment="1" applyProtection="1">
      <alignment vertical="center" wrapText="1"/>
    </xf>
    <xf numFmtId="4" fontId="204" fillId="0" borderId="0" xfId="0" applyNumberFormat="1" applyFont="1" applyFill="1"/>
    <xf numFmtId="0" fontId="205" fillId="0" borderId="0" xfId="0" applyFont="1" applyFill="1" applyAlignment="1">
      <alignment vertical="center" wrapText="1"/>
    </xf>
    <xf numFmtId="4" fontId="65" fillId="0" borderId="18" xfId="0" applyNumberFormat="1" applyFont="1" applyFill="1" applyBorder="1" applyAlignment="1">
      <alignment horizontal="right"/>
    </xf>
    <xf numFmtId="0" fontId="65" fillId="0" borderId="18" xfId="0" applyFont="1" applyFill="1" applyBorder="1" applyAlignment="1">
      <alignment horizontal="left"/>
    </xf>
    <xf numFmtId="0" fontId="64" fillId="0" borderId="16" xfId="0" applyFont="1" applyFill="1" applyBorder="1" applyAlignment="1">
      <alignment horizontal="right"/>
    </xf>
    <xf numFmtId="9" fontId="64" fillId="0" borderId="0" xfId="0" applyNumberFormat="1" applyFont="1" applyFill="1"/>
    <xf numFmtId="4" fontId="87" fillId="0" borderId="0" xfId="0" applyNumberFormat="1" applyFont="1" applyFill="1" applyAlignment="1">
      <alignment horizontal="center" vertical="center"/>
    </xf>
    <xf numFmtId="0" fontId="64" fillId="0" borderId="0" xfId="0" applyFont="1" applyFill="1" applyBorder="1"/>
    <xf numFmtId="0" fontId="65" fillId="0" borderId="0" xfId="0" applyFont="1" applyFill="1" applyBorder="1"/>
    <xf numFmtId="4" fontId="0" fillId="32" borderId="0" xfId="0" applyNumberFormat="1" applyFill="1"/>
    <xf numFmtId="4" fontId="8" fillId="25" borderId="0" xfId="0" applyNumberFormat="1" applyFont="1" applyFill="1"/>
    <xf numFmtId="4" fontId="8" fillId="25" borderId="17" xfId="0" applyNumberFormat="1" applyFont="1" applyFill="1" applyBorder="1"/>
    <xf numFmtId="0" fontId="93" fillId="32" borderId="0" xfId="0" applyFont="1" applyFill="1" applyAlignment="1">
      <alignment horizontal="center" vertical="center" wrapText="1"/>
    </xf>
    <xf numFmtId="4" fontId="93" fillId="32" borderId="0" xfId="0" applyNumberFormat="1" applyFont="1" applyFill="1" applyAlignment="1">
      <alignment horizontal="center" vertical="center" wrapText="1"/>
    </xf>
    <xf numFmtId="164" fontId="93" fillId="32" borderId="0" xfId="47" applyFont="1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4" fontId="0" fillId="32" borderId="0" xfId="0" applyNumberFormat="1" applyFill="1" applyAlignment="1">
      <alignment horizontal="center" vertical="center" wrapText="1"/>
    </xf>
    <xf numFmtId="0" fontId="8" fillId="25" borderId="0" xfId="0" applyFont="1" applyFill="1"/>
    <xf numFmtId="0" fontId="13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166" fontId="12" fillId="0" borderId="0" xfId="33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55" fillId="34" borderId="10" xfId="0" applyFont="1" applyFill="1" applyBorder="1" applyAlignment="1">
      <alignment horizontal="center"/>
    </xf>
    <xf numFmtId="0" fontId="55" fillId="34" borderId="0" xfId="0" applyFont="1" applyFill="1" applyAlignment="1">
      <alignment horizontal="center"/>
    </xf>
    <xf numFmtId="0" fontId="55" fillId="34" borderId="13" xfId="0" applyFont="1" applyFill="1" applyBorder="1" applyAlignment="1">
      <alignment horizontal="center"/>
    </xf>
    <xf numFmtId="0" fontId="55" fillId="34" borderId="14" xfId="0" applyFont="1" applyFill="1" applyBorder="1" applyAlignment="1">
      <alignment horizontal="center"/>
    </xf>
    <xf numFmtId="0" fontId="55" fillId="34" borderId="15" xfId="0" applyFont="1" applyFill="1" applyBorder="1" applyAlignment="1">
      <alignment horizontal="center"/>
    </xf>
    <xf numFmtId="0" fontId="9" fillId="0" borderId="23" xfId="0" applyFont="1" applyBorder="1" applyAlignment="1">
      <alignment horizontal="left" vertical="top" wrapText="1"/>
    </xf>
    <xf numFmtId="0" fontId="9" fillId="0" borderId="11" xfId="0" applyFont="1" applyBorder="1" applyAlignment="1">
      <alignment horizontal="left" vertical="top" wrapText="1"/>
    </xf>
    <xf numFmtId="39" fontId="96" fillId="0" borderId="0" xfId="0" applyNumberFormat="1" applyFont="1" applyAlignment="1">
      <alignment horizontal="right" vertical="top" wrapText="1"/>
    </xf>
    <xf numFmtId="0" fontId="90" fillId="0" borderId="0" xfId="0" applyFont="1" applyAlignment="1">
      <alignment horizontal="right" vertical="top" wrapText="1"/>
    </xf>
    <xf numFmtId="7" fontId="195" fillId="0" borderId="0" xfId="0" applyNumberFormat="1" applyFont="1" applyAlignment="1">
      <alignment horizontal="right" vertical="top" wrapText="1"/>
    </xf>
    <xf numFmtId="7" fontId="195" fillId="0" borderId="57" xfId="0" applyNumberFormat="1" applyFont="1" applyBorder="1" applyAlignment="1">
      <alignment horizontal="right" vertical="center" wrapText="1"/>
    </xf>
    <xf numFmtId="0" fontId="136" fillId="0" borderId="0" xfId="0" applyFont="1" applyAlignment="1">
      <alignment horizontal="left" vertical="top" wrapText="1"/>
    </xf>
    <xf numFmtId="0" fontId="194" fillId="0" borderId="0" xfId="0" applyFont="1" applyAlignment="1">
      <alignment horizontal="right" vertical="top" wrapText="1"/>
    </xf>
    <xf numFmtId="0" fontId="194" fillId="0" borderId="0" xfId="0" applyFont="1" applyAlignment="1">
      <alignment horizontal="center" vertical="top" wrapText="1"/>
    </xf>
    <xf numFmtId="0" fontId="194" fillId="0" borderId="0" xfId="0" applyFont="1" applyAlignment="1">
      <alignment horizontal="left" vertical="top" wrapText="1"/>
    </xf>
    <xf numFmtId="0" fontId="137" fillId="0" borderId="0" xfId="0" applyFont="1" applyAlignment="1">
      <alignment horizontal="left" wrapText="1"/>
    </xf>
    <xf numFmtId="0" fontId="135" fillId="0" borderId="0" xfId="0" applyFont="1" applyAlignment="1">
      <alignment horizontal="center" vertical="top" wrapText="1"/>
    </xf>
    <xf numFmtId="0" fontId="136" fillId="0" borderId="0" xfId="0" applyFont="1" applyAlignment="1">
      <alignment horizontal="right" vertical="center" wrapText="1"/>
    </xf>
    <xf numFmtId="0" fontId="136" fillId="0" borderId="0" xfId="0" applyFont="1" applyAlignment="1">
      <alignment horizontal="left" vertical="center" wrapText="1"/>
    </xf>
    <xf numFmtId="0" fontId="139" fillId="0" borderId="0" xfId="0" applyFont="1" applyAlignment="1">
      <alignment horizontal="center" vertical="top" wrapText="1"/>
    </xf>
    <xf numFmtId="0" fontId="90" fillId="0" borderId="0" xfId="0" applyFont="1" applyAlignment="1">
      <alignment horizontal="center" wrapText="1"/>
    </xf>
    <xf numFmtId="0" fontId="133" fillId="0" borderId="0" xfId="0" applyFont="1" applyAlignment="1">
      <alignment horizontal="center" vertical="top" wrapText="1"/>
    </xf>
    <xf numFmtId="0" fontId="196" fillId="0" borderId="0" xfId="0" applyFont="1" applyAlignment="1">
      <alignment horizontal="left" vertical="top" wrapText="1"/>
    </xf>
    <xf numFmtId="0" fontId="134" fillId="0" borderId="0" xfId="0" applyFont="1" applyAlignment="1">
      <alignment horizontal="center" vertical="top" wrapText="1"/>
    </xf>
    <xf numFmtId="0" fontId="48" fillId="30" borderId="13" xfId="0" applyFont="1" applyFill="1" applyBorder="1" applyAlignment="1">
      <alignment horizontal="left"/>
    </xf>
    <xf numFmtId="0" fontId="48" fillId="30" borderId="15" xfId="0" applyFont="1" applyFill="1" applyBorder="1" applyAlignment="1">
      <alignment horizontal="left"/>
    </xf>
    <xf numFmtId="0" fontId="8" fillId="26" borderId="13" xfId="0" applyFont="1" applyFill="1" applyBorder="1" applyAlignment="1">
      <alignment horizontal="left"/>
    </xf>
    <xf numFmtId="0" fontId="8" fillId="24" borderId="15" xfId="0" applyFont="1" applyFill="1" applyBorder="1" applyAlignment="1">
      <alignment horizontal="left"/>
    </xf>
    <xf numFmtId="0" fontId="8" fillId="26" borderId="15" xfId="0" applyFont="1" applyFill="1" applyBorder="1" applyAlignment="1">
      <alignment horizontal="left"/>
    </xf>
    <xf numFmtId="0" fontId="55" fillId="30" borderId="10" xfId="0" applyFont="1" applyFill="1" applyBorder="1" applyAlignment="1">
      <alignment horizontal="center"/>
    </xf>
    <xf numFmtId="0" fontId="55" fillId="30" borderId="0" xfId="0" applyFont="1" applyFill="1" applyAlignment="1">
      <alignment horizontal="center"/>
    </xf>
    <xf numFmtId="0" fontId="55" fillId="30" borderId="13" xfId="0" applyFont="1" applyFill="1" applyBorder="1" applyAlignment="1">
      <alignment horizontal="center"/>
    </xf>
    <xf numFmtId="0" fontId="55" fillId="30" borderId="14" xfId="0" applyFont="1" applyFill="1" applyBorder="1" applyAlignment="1">
      <alignment horizontal="center"/>
    </xf>
    <xf numFmtId="0" fontId="48" fillId="30" borderId="13" xfId="0" applyFont="1" applyFill="1" applyBorder="1" applyAlignment="1">
      <alignment horizontal="center"/>
    </xf>
    <xf numFmtId="0" fontId="48" fillId="30" borderId="15" xfId="0" applyFont="1" applyFill="1" applyBorder="1" applyAlignment="1">
      <alignment horizontal="center"/>
    </xf>
    <xf numFmtId="0" fontId="9" fillId="25" borderId="13" xfId="0" applyFont="1" applyFill="1" applyBorder="1" applyAlignment="1">
      <alignment horizontal="center"/>
    </xf>
    <xf numFmtId="0" fontId="9" fillId="25" borderId="14" xfId="0" applyFont="1" applyFill="1" applyBorder="1" applyAlignment="1">
      <alignment horizontal="center"/>
    </xf>
    <xf numFmtId="0" fontId="9" fillId="25" borderId="15" xfId="0" applyFont="1" applyFill="1" applyBorder="1" applyAlignment="1">
      <alignment horizontal="center"/>
    </xf>
    <xf numFmtId="0" fontId="51" fillId="34" borderId="14" xfId="49" applyFont="1" applyFill="1" applyBorder="1" applyAlignment="1">
      <alignment horizontal="center" vertical="center"/>
    </xf>
    <xf numFmtId="0" fontId="11" fillId="28" borderId="0" xfId="49" applyFont="1" applyFill="1" applyAlignment="1">
      <alignment horizontal="center"/>
    </xf>
    <xf numFmtId="0" fontId="10" fillId="28" borderId="0" xfId="82" applyFont="1" applyFill="1" applyAlignment="1">
      <alignment horizontal="left" vertical="top" wrapText="1"/>
    </xf>
    <xf numFmtId="0" fontId="11" fillId="28" borderId="0" xfId="82" applyFont="1" applyFill="1" applyAlignment="1">
      <alignment vertical="top" wrapText="1"/>
    </xf>
    <xf numFmtId="0" fontId="11" fillId="28" borderId="0" xfId="82" applyFont="1" applyFill="1" applyAlignment="1">
      <alignment horizontal="left" vertical="top" wrapText="1"/>
    </xf>
    <xf numFmtId="0" fontId="10" fillId="28" borderId="0" xfId="82" applyFont="1" applyFill="1" applyAlignment="1">
      <alignment horizontal="justify" vertical="top" wrapText="1"/>
    </xf>
    <xf numFmtId="0" fontId="75" fillId="28" borderId="0" xfId="82" applyFont="1" applyFill="1" applyAlignment="1">
      <alignment horizontal="left" vertical="top" wrapText="1"/>
    </xf>
    <xf numFmtId="0" fontId="10" fillId="28" borderId="0" xfId="82" applyFont="1" applyFill="1" applyAlignment="1" applyProtection="1">
      <alignment horizontal="center" vertical="top" wrapText="1"/>
      <protection locked="0"/>
    </xf>
    <xf numFmtId="0" fontId="75" fillId="28" borderId="0" xfId="82" applyFont="1" applyFill="1" applyAlignment="1">
      <alignment vertical="top" wrapText="1"/>
    </xf>
    <xf numFmtId="0" fontId="10" fillId="28" borderId="0" xfId="82" applyFont="1" applyFill="1" applyAlignment="1">
      <alignment horizontal="left" vertical="top"/>
    </xf>
    <xf numFmtId="0" fontId="10" fillId="28" borderId="19" xfId="82" applyFont="1" applyFill="1" applyBorder="1" applyAlignment="1" applyProtection="1">
      <alignment horizontal="center"/>
      <protection locked="0"/>
    </xf>
    <xf numFmtId="0" fontId="10" fillId="28" borderId="19" xfId="82" applyFont="1" applyFill="1" applyBorder="1" applyAlignment="1" applyProtection="1">
      <alignment horizontal="center" vertical="center"/>
      <protection locked="0"/>
    </xf>
    <xf numFmtId="0" fontId="71" fillId="28" borderId="24" xfId="82" applyFont="1" applyFill="1" applyBorder="1" applyAlignment="1" applyProtection="1">
      <alignment horizontal="center"/>
      <protection locked="0"/>
    </xf>
    <xf numFmtId="0" fontId="10" fillId="0" borderId="36" xfId="0" applyFont="1" applyFill="1" applyBorder="1" applyAlignment="1">
      <alignment horizontal="left" vertical="center" wrapText="1" indent="1"/>
    </xf>
    <xf numFmtId="0" fontId="10" fillId="0" borderId="0" xfId="0" applyFont="1" applyFill="1" applyBorder="1" applyAlignment="1">
      <alignment horizontal="left" vertical="center" wrapText="1" indent="1"/>
    </xf>
    <xf numFmtId="0" fontId="11" fillId="38" borderId="42" xfId="0" applyFont="1" applyFill="1" applyBorder="1" applyAlignment="1" applyProtection="1">
      <alignment horizontal="center" vertical="center"/>
      <protection locked="0"/>
    </xf>
    <xf numFmtId="0" fontId="11" fillId="38" borderId="43" xfId="0" applyFont="1" applyFill="1" applyBorder="1" applyAlignment="1" applyProtection="1">
      <alignment horizontal="center" vertical="center"/>
      <protection locked="0"/>
    </xf>
    <xf numFmtId="0" fontId="11" fillId="38" borderId="44" xfId="0" applyFont="1" applyFill="1" applyBorder="1" applyAlignment="1" applyProtection="1">
      <alignment horizontal="center" vertical="center"/>
      <protection locked="0"/>
    </xf>
    <xf numFmtId="0" fontId="11" fillId="38" borderId="36" xfId="0" applyFont="1" applyFill="1" applyBorder="1" applyAlignment="1">
      <alignment horizontal="center" vertical="center" wrapText="1"/>
    </xf>
    <xf numFmtId="0" fontId="11" fillId="38" borderId="0" xfId="0" applyFont="1" applyFill="1" applyAlignment="1">
      <alignment horizontal="center" vertical="center" wrapText="1"/>
    </xf>
    <xf numFmtId="0" fontId="11" fillId="38" borderId="45" xfId="0" applyFont="1" applyFill="1" applyBorder="1" applyAlignment="1">
      <alignment horizontal="center" vertical="center" wrapText="1"/>
    </xf>
    <xf numFmtId="0" fontId="181" fillId="38" borderId="46" xfId="0" applyFont="1" applyFill="1" applyBorder="1" applyAlignment="1" applyProtection="1">
      <alignment horizontal="center" vertical="center" wrapText="1"/>
      <protection locked="0"/>
    </xf>
    <xf numFmtId="0" fontId="181" fillId="38" borderId="47" xfId="0" applyFont="1" applyFill="1" applyBorder="1" applyAlignment="1" applyProtection="1">
      <alignment horizontal="center" vertical="center" wrapText="1"/>
      <protection locked="0"/>
    </xf>
    <xf numFmtId="0" fontId="181" fillId="38" borderId="48" xfId="0" applyFont="1" applyFill="1" applyBorder="1" applyAlignment="1" applyProtection="1">
      <alignment horizontal="center" vertical="center" wrapText="1"/>
      <protection locked="0"/>
    </xf>
    <xf numFmtId="0" fontId="11" fillId="0" borderId="36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0" fillId="0" borderId="36" xfId="0" applyFont="1" applyFill="1" applyBorder="1" applyAlignment="1">
      <alignment horizontal="left" vertical="top" wrapText="1" indent="1"/>
    </xf>
    <xf numFmtId="0" fontId="10" fillId="0" borderId="0" xfId="0" applyFont="1" applyFill="1" applyBorder="1" applyAlignment="1">
      <alignment horizontal="left" vertical="top" wrapText="1" indent="1"/>
    </xf>
    <xf numFmtId="0" fontId="10" fillId="0" borderId="36" xfId="0" applyFont="1" applyFill="1" applyBorder="1" applyAlignment="1">
      <alignment horizontal="justify" vertical="center" wrapText="1"/>
    </xf>
    <xf numFmtId="0" fontId="10" fillId="0" borderId="0" xfId="0" applyFont="1" applyFill="1" applyBorder="1" applyAlignment="1">
      <alignment horizontal="justify" vertical="center" wrapText="1"/>
    </xf>
    <xf numFmtId="0" fontId="73" fillId="34" borderId="22" xfId="49" applyFont="1" applyFill="1" applyBorder="1" applyAlignment="1">
      <alignment horizontal="center" vertical="center"/>
    </xf>
    <xf numFmtId="0" fontId="73" fillId="34" borderId="10" xfId="49" applyFont="1" applyFill="1" applyBorder="1" applyAlignment="1">
      <alignment horizontal="center" vertical="center"/>
    </xf>
    <xf numFmtId="0" fontId="51" fillId="34" borderId="24" xfId="49" applyFont="1" applyFill="1" applyBorder="1" applyAlignment="1">
      <alignment horizontal="center" vertical="center"/>
    </xf>
    <xf numFmtId="0" fontId="51" fillId="34" borderId="0" xfId="49" applyFont="1" applyFill="1" applyAlignment="1">
      <alignment horizontal="center" vertical="center"/>
    </xf>
    <xf numFmtId="0" fontId="74" fillId="34" borderId="24" xfId="49" applyFont="1" applyFill="1" applyBorder="1" applyAlignment="1">
      <alignment horizontal="right" vertical="top"/>
    </xf>
    <xf numFmtId="0" fontId="74" fillId="34" borderId="0" xfId="49" applyFont="1" applyFill="1" applyAlignment="1">
      <alignment horizontal="right" vertical="top"/>
    </xf>
    <xf numFmtId="0" fontId="11" fillId="28" borderId="0" xfId="82" applyFont="1" applyFill="1" applyAlignment="1">
      <alignment horizontal="center"/>
    </xf>
    <xf numFmtId="0" fontId="11" fillId="28" borderId="0" xfId="84" applyNumberFormat="1" applyFont="1" applyFill="1" applyAlignment="1">
      <alignment horizontal="center" vertical="center"/>
    </xf>
    <xf numFmtId="0" fontId="79" fillId="0" borderId="36" xfId="0" applyFont="1" applyBorder="1" applyAlignment="1">
      <alignment horizontal="justify" vertical="center" wrapText="1"/>
    </xf>
    <xf numFmtId="0" fontId="79" fillId="0" borderId="0" xfId="0" applyFont="1" applyBorder="1" applyAlignment="1">
      <alignment horizontal="justify" vertical="center" wrapText="1"/>
    </xf>
    <xf numFmtId="0" fontId="76" fillId="38" borderId="42" xfId="0" applyFont="1" applyFill="1" applyBorder="1" applyAlignment="1" applyProtection="1">
      <alignment horizontal="center" vertical="center"/>
      <protection locked="0"/>
    </xf>
    <xf numFmtId="0" fontId="76" fillId="38" borderId="43" xfId="0" applyFont="1" applyFill="1" applyBorder="1" applyAlignment="1" applyProtection="1">
      <alignment horizontal="center" vertical="center"/>
      <protection locked="0"/>
    </xf>
    <xf numFmtId="0" fontId="76" fillId="38" borderId="44" xfId="0" applyFont="1" applyFill="1" applyBorder="1" applyAlignment="1" applyProtection="1">
      <alignment horizontal="center" vertical="center"/>
      <protection locked="0"/>
    </xf>
    <xf numFmtId="0" fontId="11" fillId="0" borderId="36" xfId="0" applyFont="1" applyBorder="1" applyAlignment="1">
      <alignment horizontal="justify" vertical="center" wrapText="1"/>
    </xf>
    <xf numFmtId="0" fontId="11" fillId="0" borderId="0" xfId="0" applyFont="1" applyBorder="1" applyAlignment="1">
      <alignment horizontal="justify" vertical="center" wrapText="1"/>
    </xf>
    <xf numFmtId="0" fontId="11" fillId="0" borderId="45" xfId="0" applyFont="1" applyBorder="1" applyAlignment="1">
      <alignment horizontal="justify" vertical="center" wrapText="1"/>
    </xf>
    <xf numFmtId="0" fontId="10" fillId="0" borderId="36" xfId="0" applyFont="1" applyBorder="1" applyAlignment="1">
      <alignment horizontal="justify" vertical="center" wrapText="1"/>
    </xf>
    <xf numFmtId="0" fontId="10" fillId="0" borderId="0" xfId="0" applyFont="1" applyBorder="1" applyAlignment="1">
      <alignment horizontal="justify" vertical="center" wrapText="1"/>
    </xf>
    <xf numFmtId="0" fontId="11" fillId="0" borderId="47" xfId="0" applyFont="1" applyBorder="1" applyAlignment="1">
      <alignment horizontal="justify" vertical="center" wrapText="1"/>
    </xf>
    <xf numFmtId="0" fontId="11" fillId="0" borderId="48" xfId="0" applyFont="1" applyBorder="1" applyAlignment="1">
      <alignment horizontal="justify" vertical="center" wrapText="1"/>
    </xf>
    <xf numFmtId="0" fontId="11" fillId="0" borderId="46" xfId="0" applyFont="1" applyBorder="1" applyAlignment="1">
      <alignment horizontal="justify" vertical="center" wrapText="1"/>
    </xf>
    <xf numFmtId="49" fontId="139" fillId="39" borderId="42" xfId="0" applyNumberFormat="1" applyFont="1" applyFill="1" applyBorder="1" applyAlignment="1" applyProtection="1">
      <alignment horizontal="center" vertical="center"/>
      <protection locked="0"/>
    </xf>
    <xf numFmtId="49" fontId="139" fillId="39" borderId="43" xfId="0" applyNumberFormat="1" applyFont="1" applyFill="1" applyBorder="1" applyAlignment="1" applyProtection="1">
      <alignment horizontal="center" vertical="center"/>
      <protection locked="0"/>
    </xf>
    <xf numFmtId="49" fontId="139" fillId="39" borderId="44" xfId="0" applyNumberFormat="1" applyFont="1" applyFill="1" applyBorder="1" applyAlignment="1" applyProtection="1">
      <alignment horizontal="center" vertical="center"/>
      <protection locked="0"/>
    </xf>
    <xf numFmtId="49" fontId="139" fillId="39" borderId="36" xfId="0" applyNumberFormat="1" applyFont="1" applyFill="1" applyBorder="1" applyAlignment="1">
      <alignment horizontal="center" vertical="center"/>
    </xf>
    <xf numFmtId="49" fontId="139" fillId="39" borderId="0" xfId="0" applyNumberFormat="1" applyFont="1" applyFill="1" applyAlignment="1">
      <alignment horizontal="center" vertical="center"/>
    </xf>
    <xf numFmtId="49" fontId="139" fillId="39" borderId="45" xfId="0" applyNumberFormat="1" applyFont="1" applyFill="1" applyBorder="1" applyAlignment="1">
      <alignment horizontal="center" vertical="center"/>
    </xf>
    <xf numFmtId="49" fontId="187" fillId="39" borderId="36" xfId="0" applyNumberFormat="1" applyFont="1" applyFill="1" applyBorder="1" applyAlignment="1" applyProtection="1">
      <alignment horizontal="center" vertical="center"/>
      <protection locked="0"/>
    </xf>
    <xf numFmtId="49" fontId="187" fillId="39" borderId="0" xfId="0" applyNumberFormat="1" applyFont="1" applyFill="1" applyAlignment="1" applyProtection="1">
      <alignment horizontal="center" vertical="center"/>
      <protection locked="0"/>
    </xf>
    <xf numFmtId="49" fontId="187" fillId="39" borderId="45" xfId="0" applyNumberFormat="1" applyFont="1" applyFill="1" applyBorder="1" applyAlignment="1" applyProtection="1">
      <alignment horizontal="center" vertical="center"/>
      <protection locked="0"/>
    </xf>
    <xf numFmtId="49" fontId="139" fillId="39" borderId="46" xfId="0" applyNumberFormat="1" applyFont="1" applyFill="1" applyBorder="1" applyAlignment="1">
      <alignment horizontal="center" vertical="center"/>
    </xf>
    <xf numFmtId="49" fontId="139" fillId="39" borderId="47" xfId="0" applyNumberFormat="1" applyFont="1" applyFill="1" applyBorder="1" applyAlignment="1">
      <alignment horizontal="center" vertical="center"/>
    </xf>
    <xf numFmtId="49" fontId="139" fillId="39" borderId="48" xfId="0" applyNumberFormat="1" applyFont="1" applyFill="1" applyBorder="1" applyAlignment="1">
      <alignment horizontal="center" vertical="center"/>
    </xf>
    <xf numFmtId="0" fontId="10" fillId="28" borderId="19" xfId="82" applyFont="1" applyFill="1" applyBorder="1" applyAlignment="1">
      <alignment horizontal="left" vertical="top" wrapText="1"/>
    </xf>
    <xf numFmtId="0" fontId="11" fillId="25" borderId="42" xfId="49" applyFont="1" applyFill="1" applyBorder="1" applyAlignment="1" applyProtection="1">
      <alignment horizontal="center" vertical="center"/>
      <protection locked="0"/>
    </xf>
    <xf numFmtId="0" fontId="11" fillId="25" borderId="43" xfId="49" applyFont="1" applyFill="1" applyBorder="1" applyAlignment="1" applyProtection="1">
      <alignment horizontal="center" vertical="center"/>
      <protection locked="0"/>
    </xf>
    <xf numFmtId="0" fontId="11" fillId="25" borderId="44" xfId="49" applyFont="1" applyFill="1" applyBorder="1" applyAlignment="1" applyProtection="1">
      <alignment horizontal="center" vertical="center"/>
      <protection locked="0"/>
    </xf>
    <xf numFmtId="0" fontId="11" fillId="25" borderId="36" xfId="49" applyFont="1" applyFill="1" applyBorder="1" applyAlignment="1">
      <alignment horizontal="center" vertical="center"/>
    </xf>
    <xf numFmtId="0" fontId="11" fillId="25" borderId="0" xfId="49" applyFont="1" applyFill="1" applyAlignment="1">
      <alignment horizontal="center" vertical="center"/>
    </xf>
    <xf numFmtId="0" fontId="11" fillId="25" borderId="45" xfId="49" applyFont="1" applyFill="1" applyBorder="1" applyAlignment="1">
      <alignment horizontal="center" vertical="center"/>
    </xf>
    <xf numFmtId="0" fontId="181" fillId="25" borderId="46" xfId="49" applyFont="1" applyFill="1" applyBorder="1" applyAlignment="1" applyProtection="1">
      <alignment horizontal="center" vertical="center"/>
      <protection locked="0"/>
    </xf>
    <xf numFmtId="0" fontId="181" fillId="25" borderId="47" xfId="49" applyFont="1" applyFill="1" applyBorder="1" applyAlignment="1" applyProtection="1">
      <alignment horizontal="center" vertical="center"/>
      <protection locked="0"/>
    </xf>
    <xf numFmtId="0" fontId="181" fillId="25" borderId="48" xfId="49" applyFont="1" applyFill="1" applyBorder="1" applyAlignment="1" applyProtection="1">
      <alignment horizontal="center" vertical="center"/>
      <protection locked="0"/>
    </xf>
    <xf numFmtId="0" fontId="71" fillId="28" borderId="0" xfId="82" applyFont="1" applyFill="1" applyAlignment="1">
      <alignment horizontal="right"/>
    </xf>
    <xf numFmtId="0" fontId="71" fillId="28" borderId="0" xfId="82" applyFont="1" applyFill="1" applyAlignment="1">
      <alignment horizontal="left"/>
    </xf>
    <xf numFmtId="0" fontId="71" fillId="28" borderId="0" xfId="82" applyFont="1" applyFill="1" applyAlignment="1">
      <alignment horizontal="left" vertical="top"/>
    </xf>
    <xf numFmtId="0" fontId="51" fillId="34" borderId="24" xfId="49" applyFont="1" applyFill="1" applyBorder="1" applyAlignment="1">
      <alignment horizontal="center" vertical="center" wrapText="1"/>
    </xf>
    <xf numFmtId="0" fontId="51" fillId="34" borderId="19" xfId="49" applyFont="1" applyFill="1" applyBorder="1" applyAlignment="1">
      <alignment horizontal="center" vertical="center" wrapText="1"/>
    </xf>
    <xf numFmtId="0" fontId="11" fillId="28" borderId="10" xfId="84" applyNumberFormat="1" applyFont="1" applyFill="1" applyBorder="1" applyAlignment="1">
      <alignment horizontal="center" vertical="center"/>
    </xf>
    <xf numFmtId="0" fontId="11" fillId="28" borderId="11" xfId="84" applyNumberFormat="1" applyFont="1" applyFill="1" applyBorder="1" applyAlignment="1">
      <alignment horizontal="center" vertical="center"/>
    </xf>
    <xf numFmtId="0" fontId="11" fillId="28" borderId="10" xfId="84" applyNumberFormat="1" applyFont="1" applyFill="1" applyBorder="1" applyAlignment="1">
      <alignment horizontal="center" vertical="top"/>
    </xf>
    <xf numFmtId="0" fontId="11" fillId="28" borderId="0" xfId="84" applyNumberFormat="1" applyFont="1" applyFill="1" applyAlignment="1">
      <alignment horizontal="center" vertical="top"/>
    </xf>
    <xf numFmtId="0" fontId="11" fillId="28" borderId="11" xfId="84" applyNumberFormat="1" applyFont="1" applyFill="1" applyBorder="1" applyAlignment="1">
      <alignment horizontal="center" vertical="top"/>
    </xf>
    <xf numFmtId="0" fontId="76" fillId="28" borderId="0" xfId="82" applyFont="1" applyFill="1" applyAlignment="1">
      <alignment horizontal="left" vertical="top"/>
    </xf>
    <xf numFmtId="0" fontId="71" fillId="28" borderId="20" xfId="82" applyFont="1" applyFill="1" applyBorder="1" applyAlignment="1">
      <alignment horizontal="center" vertical="top"/>
    </xf>
    <xf numFmtId="0" fontId="71" fillId="28" borderId="19" xfId="82" applyFont="1" applyFill="1" applyBorder="1" applyAlignment="1">
      <alignment horizontal="center" vertical="top"/>
    </xf>
    <xf numFmtId="0" fontId="71" fillId="28" borderId="21" xfId="82" applyFont="1" applyFill="1" applyBorder="1" applyAlignment="1">
      <alignment horizontal="center" vertical="top"/>
    </xf>
    <xf numFmtId="0" fontId="71" fillId="28" borderId="0" xfId="82" applyFont="1" applyFill="1" applyAlignment="1" applyProtection="1">
      <alignment horizontal="center"/>
      <protection locked="0"/>
    </xf>
    <xf numFmtId="0" fontId="11" fillId="25" borderId="42" xfId="0" applyFont="1" applyFill="1" applyBorder="1" applyAlignment="1">
      <alignment horizontal="center" vertical="center" wrapText="1"/>
    </xf>
    <xf numFmtId="0" fontId="11" fillId="25" borderId="46" xfId="0" applyFont="1" applyFill="1" applyBorder="1" applyAlignment="1">
      <alignment horizontal="center" vertical="center" wrapText="1"/>
    </xf>
    <xf numFmtId="0" fontId="11" fillId="28" borderId="0" xfId="82" applyFont="1" applyFill="1" applyAlignment="1">
      <alignment horizontal="right"/>
    </xf>
    <xf numFmtId="0" fontId="10" fillId="28" borderId="0" xfId="82" applyFont="1" applyFill="1" applyAlignment="1">
      <alignment horizontal="left"/>
    </xf>
    <xf numFmtId="0" fontId="75" fillId="28" borderId="0" xfId="82" applyFont="1" applyFill="1" applyAlignment="1">
      <alignment horizontal="left" vertical="top"/>
    </xf>
    <xf numFmtId="0" fontId="11" fillId="28" borderId="0" xfId="82" applyFont="1" applyFill="1" applyAlignment="1">
      <alignment horizontal="left" vertical="top"/>
    </xf>
    <xf numFmtId="0" fontId="11" fillId="28" borderId="0" xfId="82" applyFont="1" applyFill="1" applyAlignment="1">
      <alignment horizontal="center" vertical="top"/>
    </xf>
    <xf numFmtId="0" fontId="75" fillId="28" borderId="19" xfId="82" applyFont="1" applyFill="1" applyBorder="1" applyAlignment="1">
      <alignment horizontal="left" vertical="top"/>
    </xf>
    <xf numFmtId="0" fontId="76" fillId="38" borderId="22" xfId="0" applyFont="1" applyFill="1" applyBorder="1" applyAlignment="1" applyProtection="1">
      <alignment horizontal="center" vertical="center"/>
      <protection locked="0"/>
    </xf>
    <xf numFmtId="0" fontId="76" fillId="38" borderId="24" xfId="0" applyFont="1" applyFill="1" applyBorder="1" applyAlignment="1" applyProtection="1">
      <alignment horizontal="center" vertical="center"/>
      <protection locked="0"/>
    </xf>
    <xf numFmtId="0" fontId="76" fillId="38" borderId="23" xfId="0" applyFont="1" applyFill="1" applyBorder="1" applyAlignment="1" applyProtection="1">
      <alignment horizontal="center" vertical="center"/>
      <protection locked="0"/>
    </xf>
    <xf numFmtId="0" fontId="11" fillId="39" borderId="10" xfId="0" applyFont="1" applyFill="1" applyBorder="1" applyAlignment="1">
      <alignment horizontal="center" vertical="center" wrapText="1"/>
    </xf>
    <xf numFmtId="0" fontId="11" fillId="39" borderId="0" xfId="0" applyFont="1" applyFill="1" applyAlignment="1">
      <alignment horizontal="center" vertical="center" wrapText="1"/>
    </xf>
    <xf numFmtId="0" fontId="11" fillId="39" borderId="11" xfId="0" applyFont="1" applyFill="1" applyBorder="1" applyAlignment="1">
      <alignment horizontal="center" vertical="center" wrapText="1"/>
    </xf>
    <xf numFmtId="0" fontId="181" fillId="38" borderId="20" xfId="0" applyFont="1" applyFill="1" applyBorder="1" applyAlignment="1" applyProtection="1">
      <alignment horizontal="center" vertical="center" wrapText="1"/>
      <protection locked="0"/>
    </xf>
    <xf numFmtId="0" fontId="181" fillId="38" borderId="19" xfId="0" applyFont="1" applyFill="1" applyBorder="1" applyAlignment="1" applyProtection="1">
      <alignment horizontal="center" vertical="center" wrapText="1"/>
      <protection locked="0"/>
    </xf>
    <xf numFmtId="0" fontId="181" fillId="38" borderId="21" xfId="0" applyFont="1" applyFill="1" applyBorder="1" applyAlignment="1" applyProtection="1">
      <alignment horizontal="center" vertical="center" wrapText="1"/>
      <protection locked="0"/>
    </xf>
    <xf numFmtId="0" fontId="11" fillId="28" borderId="37" xfId="82" applyFont="1" applyFill="1" applyBorder="1" applyAlignment="1">
      <alignment horizontal="left" vertical="top"/>
    </xf>
    <xf numFmtId="0" fontId="76" fillId="28" borderId="0" xfId="82" applyFont="1" applyFill="1" applyAlignment="1">
      <alignment horizontal="left" vertical="top" wrapText="1"/>
    </xf>
    <xf numFmtId="0" fontId="71" fillId="28" borderId="0" xfId="82" applyFont="1" applyFill="1" applyAlignment="1">
      <alignment horizontal="left" vertical="top" wrapText="1"/>
    </xf>
    <xf numFmtId="0" fontId="11" fillId="28" borderId="19" xfId="82" applyFont="1" applyFill="1" applyBorder="1" applyAlignment="1">
      <alignment horizontal="left" vertical="top"/>
    </xf>
    <xf numFmtId="0" fontId="0" fillId="0" borderId="0" xfId="0" applyAlignment="1">
      <alignment horizontal="left" vertical="top" wrapText="1"/>
    </xf>
    <xf numFmtId="0" fontId="71" fillId="28" borderId="0" xfId="82" applyFont="1" applyFill="1" applyAlignment="1" applyProtection="1">
      <alignment horizontal="left"/>
      <protection locked="0"/>
    </xf>
    <xf numFmtId="0" fontId="10" fillId="28" borderId="0" xfId="82" applyFont="1" applyFill="1" applyAlignment="1" applyProtection="1">
      <alignment horizontal="left"/>
      <protection locked="0"/>
    </xf>
    <xf numFmtId="0" fontId="71" fillId="28" borderId="0" xfId="82" applyFont="1" applyFill="1" applyAlignment="1" applyProtection="1">
      <alignment horizontal="right"/>
      <protection locked="0"/>
    </xf>
    <xf numFmtId="0" fontId="11" fillId="39" borderId="22" xfId="0" applyFont="1" applyFill="1" applyBorder="1" applyAlignment="1" applyProtection="1">
      <alignment horizontal="center" vertical="center" wrapText="1"/>
      <protection locked="0"/>
    </xf>
    <xf numFmtId="0" fontId="11" fillId="39" borderId="24" xfId="0" applyFont="1" applyFill="1" applyBorder="1" applyAlignment="1" applyProtection="1">
      <alignment horizontal="center" vertical="center" wrapText="1"/>
      <protection locked="0"/>
    </xf>
    <xf numFmtId="0" fontId="11" fillId="39" borderId="23" xfId="0" applyFont="1" applyFill="1" applyBorder="1" applyAlignment="1" applyProtection="1">
      <alignment horizontal="center" vertical="center" wrapText="1"/>
      <protection locked="0"/>
    </xf>
    <xf numFmtId="0" fontId="181" fillId="39" borderId="10" xfId="0" applyFont="1" applyFill="1" applyBorder="1" applyAlignment="1" applyProtection="1">
      <alignment horizontal="center" vertical="center" wrapText="1"/>
      <protection locked="0"/>
    </xf>
    <xf numFmtId="0" fontId="181" fillId="39" borderId="0" xfId="0" applyFont="1" applyFill="1" applyAlignment="1" applyProtection="1">
      <alignment horizontal="center" vertical="center" wrapText="1"/>
      <protection locked="0"/>
    </xf>
    <xf numFmtId="0" fontId="181" fillId="39" borderId="11" xfId="0" applyFont="1" applyFill="1" applyBorder="1" applyAlignment="1" applyProtection="1">
      <alignment horizontal="center" vertical="center" wrapText="1"/>
      <protection locked="0"/>
    </xf>
    <xf numFmtId="0" fontId="51" fillId="34" borderId="14" xfId="82" applyFont="1" applyFill="1" applyBorder="1" applyAlignment="1">
      <alignment horizontal="center" vertical="center"/>
    </xf>
    <xf numFmtId="0" fontId="11" fillId="28" borderId="0" xfId="49" applyFont="1" applyFill="1" applyAlignment="1">
      <alignment horizontal="left" vertical="top"/>
    </xf>
    <xf numFmtId="0" fontId="10" fillId="28" borderId="0" xfId="49" applyFont="1" applyFill="1" applyAlignment="1">
      <alignment horizontal="left" vertical="top"/>
    </xf>
    <xf numFmtId="0" fontId="10" fillId="28" borderId="0" xfId="49" applyFont="1" applyFill="1" applyAlignment="1">
      <alignment horizontal="left" vertical="top" wrapText="1"/>
    </xf>
    <xf numFmtId="0" fontId="11" fillId="28" borderId="0" xfId="49" applyFont="1" applyFill="1" applyAlignment="1">
      <alignment horizontal="left" vertical="top" wrapText="1"/>
    </xf>
    <xf numFmtId="0" fontId="10" fillId="0" borderId="36" xfId="0" applyFont="1" applyBorder="1" applyAlignment="1">
      <alignment horizontal="justify" vertical="center"/>
    </xf>
    <xf numFmtId="0" fontId="10" fillId="0" borderId="0" xfId="0" applyFont="1" applyAlignment="1">
      <alignment horizontal="justify" vertical="center"/>
    </xf>
    <xf numFmtId="0" fontId="10" fillId="0" borderId="45" xfId="0" applyFont="1" applyBorder="1" applyAlignment="1">
      <alignment horizontal="justify" vertical="center"/>
    </xf>
    <xf numFmtId="0" fontId="10" fillId="0" borderId="46" xfId="0" applyFont="1" applyBorder="1" applyAlignment="1">
      <alignment horizontal="justify" vertical="center"/>
    </xf>
    <xf numFmtId="0" fontId="10" fillId="0" borderId="47" xfId="0" applyFont="1" applyBorder="1" applyAlignment="1">
      <alignment horizontal="justify" vertical="center"/>
    </xf>
    <xf numFmtId="0" fontId="10" fillId="0" borderId="48" xfId="0" applyFont="1" applyBorder="1" applyAlignment="1">
      <alignment horizontal="justify" vertical="center"/>
    </xf>
    <xf numFmtId="0" fontId="76" fillId="25" borderId="42" xfId="0" applyFont="1" applyFill="1" applyBorder="1" applyAlignment="1" applyProtection="1">
      <alignment horizontal="center" vertical="center"/>
      <protection locked="0"/>
    </xf>
    <xf numFmtId="0" fontId="76" fillId="25" borderId="43" xfId="0" applyFont="1" applyFill="1" applyBorder="1" applyAlignment="1" applyProtection="1">
      <alignment horizontal="center" vertical="center"/>
      <protection locked="0"/>
    </xf>
    <xf numFmtId="0" fontId="76" fillId="25" borderId="44" xfId="0" applyFont="1" applyFill="1" applyBorder="1" applyAlignment="1" applyProtection="1">
      <alignment horizontal="center" vertical="center"/>
      <protection locked="0"/>
    </xf>
    <xf numFmtId="0" fontId="11" fillId="25" borderId="36" xfId="0" applyFont="1" applyFill="1" applyBorder="1" applyAlignment="1">
      <alignment horizontal="center" vertical="center"/>
    </xf>
    <xf numFmtId="0" fontId="11" fillId="25" borderId="0" xfId="0" applyFont="1" applyFill="1" applyAlignment="1">
      <alignment horizontal="center" vertical="center"/>
    </xf>
    <xf numFmtId="0" fontId="11" fillId="25" borderId="45" xfId="0" applyFont="1" applyFill="1" applyBorder="1" applyAlignment="1">
      <alignment horizontal="center" vertical="center"/>
    </xf>
    <xf numFmtId="0" fontId="181" fillId="25" borderId="36" xfId="0" applyFont="1" applyFill="1" applyBorder="1" applyAlignment="1" applyProtection="1">
      <alignment horizontal="center" vertical="center"/>
      <protection locked="0"/>
    </xf>
    <xf numFmtId="0" fontId="181" fillId="25" borderId="0" xfId="0" applyFont="1" applyFill="1" applyAlignment="1" applyProtection="1">
      <alignment horizontal="center" vertical="center"/>
      <protection locked="0"/>
    </xf>
    <xf numFmtId="0" fontId="181" fillId="25" borderId="45" xfId="0" applyFont="1" applyFill="1" applyBorder="1" applyAlignment="1" applyProtection="1">
      <alignment horizontal="center" vertical="center"/>
      <protection locked="0"/>
    </xf>
    <xf numFmtId="0" fontId="56" fillId="34" borderId="22" xfId="82" applyFont="1" applyFill="1" applyBorder="1" applyAlignment="1">
      <alignment horizontal="center"/>
    </xf>
    <xf numFmtId="0" fontId="56" fillId="34" borderId="24" xfId="82" applyFont="1" applyFill="1" applyBorder="1" applyAlignment="1">
      <alignment horizontal="center"/>
    </xf>
    <xf numFmtId="0" fontId="56" fillId="34" borderId="23" xfId="82" applyFont="1" applyFill="1" applyBorder="1" applyAlignment="1">
      <alignment horizontal="center"/>
    </xf>
    <xf numFmtId="0" fontId="56" fillId="34" borderId="10" xfId="82" applyFont="1" applyFill="1" applyBorder="1" applyAlignment="1">
      <alignment horizontal="center"/>
    </xf>
    <xf numFmtId="0" fontId="56" fillId="34" borderId="0" xfId="82" applyFont="1" applyFill="1" applyAlignment="1">
      <alignment horizontal="center"/>
    </xf>
    <xf numFmtId="0" fontId="56" fillId="34" borderId="11" xfId="82" applyFont="1" applyFill="1" applyBorder="1" applyAlignment="1">
      <alignment horizontal="center"/>
    </xf>
    <xf numFmtId="0" fontId="56" fillId="34" borderId="20" xfId="82" applyFont="1" applyFill="1" applyBorder="1" applyAlignment="1">
      <alignment horizontal="center"/>
    </xf>
    <xf numFmtId="0" fontId="56" fillId="34" borderId="19" xfId="82" applyFont="1" applyFill="1" applyBorder="1" applyAlignment="1">
      <alignment horizontal="center"/>
    </xf>
    <xf numFmtId="0" fontId="56" fillId="34" borderId="21" xfId="82" applyFont="1" applyFill="1" applyBorder="1" applyAlignment="1">
      <alignment horizontal="center"/>
    </xf>
    <xf numFmtId="37" fontId="56" fillId="34" borderId="17" xfId="85" applyNumberFormat="1" applyFont="1" applyFill="1" applyBorder="1" applyAlignment="1">
      <alignment horizontal="center" vertical="center"/>
    </xf>
    <xf numFmtId="37" fontId="56" fillId="34" borderId="17" xfId="85" applyNumberFormat="1" applyFont="1" applyFill="1" applyBorder="1" applyAlignment="1">
      <alignment horizontal="center" vertical="center" wrapText="1"/>
    </xf>
    <xf numFmtId="0" fontId="90" fillId="28" borderId="0" xfId="82" applyFont="1" applyFill="1" applyAlignment="1">
      <alignment horizontal="left" vertical="center" wrapText="1"/>
    </xf>
    <xf numFmtId="0" fontId="90" fillId="28" borderId="11" xfId="82" applyFont="1" applyFill="1" applyBorder="1" applyAlignment="1">
      <alignment horizontal="left" vertical="center" wrapText="1"/>
    </xf>
    <xf numFmtId="0" fontId="90" fillId="28" borderId="10" xfId="82" applyFont="1" applyFill="1" applyBorder="1" applyAlignment="1">
      <alignment horizontal="left" vertical="center" wrapText="1"/>
    </xf>
    <xf numFmtId="174" fontId="90" fillId="28" borderId="16" xfId="83" applyNumberFormat="1" applyFont="1" applyFill="1" applyBorder="1" applyAlignment="1">
      <alignment horizontal="right" vertical="center" wrapText="1"/>
    </xf>
    <xf numFmtId="174" fontId="90" fillId="28" borderId="18" xfId="83" applyNumberFormat="1" applyFont="1" applyFill="1" applyBorder="1" applyAlignment="1">
      <alignment horizontal="right" vertical="center" wrapText="1"/>
    </xf>
    <xf numFmtId="0" fontId="63" fillId="0" borderId="13" xfId="82" applyFont="1" applyBorder="1" applyAlignment="1">
      <alignment horizontal="center" vertical="top" wrapText="1"/>
    </xf>
    <xf numFmtId="0" fontId="63" fillId="0" borderId="15" xfId="82" applyFont="1" applyBorder="1" applyAlignment="1">
      <alignment horizontal="center" vertical="top" wrapText="1"/>
    </xf>
    <xf numFmtId="37" fontId="56" fillId="30" borderId="17" xfId="85" applyNumberFormat="1" applyFont="1" applyFill="1" applyBorder="1" applyAlignment="1">
      <alignment horizontal="center" vertical="center" wrapText="1"/>
    </xf>
    <xf numFmtId="37" fontId="56" fillId="30" borderId="17" xfId="85" applyNumberFormat="1" applyFont="1" applyFill="1" applyBorder="1" applyAlignment="1">
      <alignment horizontal="center" vertical="center"/>
    </xf>
    <xf numFmtId="0" fontId="14" fillId="28" borderId="0" xfId="82" applyFont="1" applyFill="1" applyAlignment="1">
      <alignment horizontal="left" vertical="top" wrapText="1"/>
    </xf>
    <xf numFmtId="174" fontId="91" fillId="28" borderId="16" xfId="85" applyNumberFormat="1" applyFont="1" applyFill="1" applyBorder="1" applyAlignment="1">
      <alignment horizontal="center"/>
    </xf>
    <xf numFmtId="174" fontId="91" fillId="28" borderId="18" xfId="85" applyNumberFormat="1" applyFont="1" applyFill="1" applyBorder="1" applyAlignment="1">
      <alignment horizontal="center"/>
    </xf>
    <xf numFmtId="4" fontId="139" fillId="0" borderId="16" xfId="0" applyNumberFormat="1" applyFont="1" applyBorder="1" applyAlignment="1">
      <alignment horizontal="right" vertical="center"/>
    </xf>
    <xf numFmtId="4" fontId="139" fillId="0" borderId="18" xfId="0" applyNumberFormat="1" applyFont="1" applyBorder="1" applyAlignment="1">
      <alignment horizontal="right" vertical="center"/>
    </xf>
    <xf numFmtId="4" fontId="139" fillId="0" borderId="13" xfId="0" applyNumberFormat="1" applyFont="1" applyBorder="1" applyAlignment="1">
      <alignment horizontal="center" vertical="center" wrapText="1"/>
    </xf>
    <xf numFmtId="4" fontId="139" fillId="0" borderId="15" xfId="0" applyNumberFormat="1" applyFont="1" applyBorder="1" applyAlignment="1">
      <alignment horizontal="center" vertical="center" wrapText="1"/>
    </xf>
    <xf numFmtId="49" fontId="139" fillId="39" borderId="22" xfId="0" applyNumberFormat="1" applyFont="1" applyFill="1" applyBorder="1" applyAlignment="1" applyProtection="1">
      <alignment horizontal="center" vertical="center"/>
      <protection locked="0"/>
    </xf>
    <xf numFmtId="49" fontId="139" fillId="39" borderId="24" xfId="0" applyNumberFormat="1" applyFont="1" applyFill="1" applyBorder="1" applyAlignment="1" applyProtection="1">
      <alignment horizontal="center" vertical="center"/>
      <protection locked="0"/>
    </xf>
    <xf numFmtId="49" fontId="139" fillId="39" borderId="23" xfId="0" applyNumberFormat="1" applyFont="1" applyFill="1" applyBorder="1" applyAlignment="1" applyProtection="1">
      <alignment horizontal="center" vertical="center"/>
      <protection locked="0"/>
    </xf>
    <xf numFmtId="49" fontId="139" fillId="39" borderId="10" xfId="0" applyNumberFormat="1" applyFont="1" applyFill="1" applyBorder="1" applyAlignment="1">
      <alignment horizontal="center" vertical="center"/>
    </xf>
    <xf numFmtId="49" fontId="139" fillId="39" borderId="11" xfId="0" applyNumberFormat="1" applyFont="1" applyFill="1" applyBorder="1" applyAlignment="1">
      <alignment horizontal="center" vertical="center"/>
    </xf>
    <xf numFmtId="49" fontId="187" fillId="39" borderId="20" xfId="0" applyNumberFormat="1" applyFont="1" applyFill="1" applyBorder="1" applyAlignment="1" applyProtection="1">
      <alignment horizontal="center" vertical="center"/>
      <protection locked="0"/>
    </xf>
    <xf numFmtId="49" fontId="187" fillId="39" borderId="19" xfId="0" applyNumberFormat="1" applyFont="1" applyFill="1" applyBorder="1" applyAlignment="1" applyProtection="1">
      <alignment horizontal="center" vertical="center"/>
      <protection locked="0"/>
    </xf>
    <xf numFmtId="49" fontId="187" fillId="39" borderId="21" xfId="0" applyNumberFormat="1" applyFont="1" applyFill="1" applyBorder="1" applyAlignment="1" applyProtection="1">
      <alignment horizontal="center" vertical="center"/>
      <protection locked="0"/>
    </xf>
    <xf numFmtId="49" fontId="139" fillId="39" borderId="16" xfId="0" applyNumberFormat="1" applyFont="1" applyFill="1" applyBorder="1" applyAlignment="1">
      <alignment horizontal="center" vertical="center" wrapText="1"/>
    </xf>
    <xf numFmtId="49" fontId="139" fillId="39" borderId="12" xfId="0" applyNumberFormat="1" applyFont="1" applyFill="1" applyBorder="1" applyAlignment="1">
      <alignment horizontal="center" vertical="center" wrapText="1"/>
    </xf>
    <xf numFmtId="49" fontId="139" fillId="39" borderId="18" xfId="0" applyNumberFormat="1" applyFont="1" applyFill="1" applyBorder="1" applyAlignment="1">
      <alignment horizontal="center" vertical="center" wrapText="1"/>
    </xf>
    <xf numFmtId="49" fontId="139" fillId="39" borderId="22" xfId="0" applyNumberFormat="1" applyFont="1" applyFill="1" applyBorder="1" applyAlignment="1">
      <alignment horizontal="center" vertical="center"/>
    </xf>
    <xf numFmtId="49" fontId="139" fillId="39" borderId="24" xfId="0" applyNumberFormat="1" applyFont="1" applyFill="1" applyBorder="1" applyAlignment="1">
      <alignment horizontal="center" vertical="center"/>
    </xf>
    <xf numFmtId="4" fontId="11" fillId="0" borderId="16" xfId="0" applyNumberFormat="1" applyFont="1" applyBorder="1" applyAlignment="1">
      <alignment horizontal="right" vertical="center"/>
    </xf>
    <xf numFmtId="4" fontId="11" fillId="0" borderId="18" xfId="0" applyNumberFormat="1" applyFont="1" applyBorder="1" applyAlignment="1">
      <alignment horizontal="right" vertical="center"/>
    </xf>
    <xf numFmtId="4" fontId="11" fillId="0" borderId="13" xfId="0" applyNumberFormat="1" applyFont="1" applyBorder="1" applyAlignment="1">
      <alignment horizontal="center" vertical="center" wrapText="1"/>
    </xf>
    <xf numFmtId="4" fontId="11" fillId="0" borderId="15" xfId="0" applyNumberFormat="1" applyFont="1" applyBorder="1" applyAlignment="1">
      <alignment horizontal="center" vertical="center" wrapText="1"/>
    </xf>
    <xf numFmtId="49" fontId="11" fillId="39" borderId="10" xfId="0" applyNumberFormat="1" applyFont="1" applyFill="1" applyBorder="1" applyAlignment="1">
      <alignment horizontal="center" vertical="center"/>
    </xf>
    <xf numFmtId="49" fontId="11" fillId="39" borderId="0" xfId="0" applyNumberFormat="1" applyFont="1" applyFill="1" applyAlignment="1">
      <alignment horizontal="center" vertical="center"/>
    </xf>
    <xf numFmtId="49" fontId="11" fillId="39" borderId="11" xfId="0" applyNumberFormat="1" applyFont="1" applyFill="1" applyBorder="1" applyAlignment="1">
      <alignment horizontal="center" vertical="center"/>
    </xf>
    <xf numFmtId="49" fontId="11" fillId="39" borderId="16" xfId="0" applyNumberFormat="1" applyFont="1" applyFill="1" applyBorder="1" applyAlignment="1">
      <alignment horizontal="center" vertical="center" wrapText="1"/>
    </xf>
    <xf numFmtId="49" fontId="11" fillId="39" borderId="12" xfId="0" applyNumberFormat="1" applyFont="1" applyFill="1" applyBorder="1" applyAlignment="1">
      <alignment horizontal="center" vertical="center" wrapText="1"/>
    </xf>
    <xf numFmtId="49" fontId="11" fillId="39" borderId="18" xfId="0" applyNumberFormat="1" applyFont="1" applyFill="1" applyBorder="1" applyAlignment="1">
      <alignment horizontal="center" vertical="center" wrapText="1"/>
    </xf>
    <xf numFmtId="49" fontId="11" fillId="39" borderId="13" xfId="0" applyNumberFormat="1" applyFont="1" applyFill="1" applyBorder="1" applyAlignment="1">
      <alignment horizontal="center" vertical="center"/>
    </xf>
    <xf numFmtId="49" fontId="11" fillId="39" borderId="14" xfId="0" applyNumberFormat="1" applyFont="1" applyFill="1" applyBorder="1" applyAlignment="1">
      <alignment horizontal="center" vertical="center"/>
    </xf>
    <xf numFmtId="49" fontId="11" fillId="39" borderId="15" xfId="0" applyNumberFormat="1" applyFont="1" applyFill="1" applyBorder="1" applyAlignment="1">
      <alignment horizontal="center" vertical="center"/>
    </xf>
    <xf numFmtId="0" fontId="139" fillId="0" borderId="13" xfId="0" applyFont="1" applyBorder="1" applyAlignment="1">
      <alignment horizontal="center" vertical="center" wrapText="1"/>
    </xf>
    <xf numFmtId="0" fontId="139" fillId="0" borderId="15" xfId="0" applyFont="1" applyBorder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center" vertical="center" wrapText="1"/>
    </xf>
    <xf numFmtId="49" fontId="139" fillId="39" borderId="20" xfId="0" applyNumberFormat="1" applyFont="1" applyFill="1" applyBorder="1" applyAlignment="1">
      <alignment horizontal="center" vertical="center"/>
    </xf>
    <xf numFmtId="49" fontId="139" fillId="39" borderId="13" xfId="0" applyNumberFormat="1" applyFont="1" applyFill="1" applyBorder="1" applyAlignment="1">
      <alignment horizontal="center" vertical="center"/>
    </xf>
    <xf numFmtId="49" fontId="139" fillId="39" borderId="14" xfId="0" applyNumberFormat="1" applyFont="1" applyFill="1" applyBorder="1" applyAlignment="1">
      <alignment horizontal="center" vertical="center"/>
    </xf>
    <xf numFmtId="49" fontId="139" fillId="39" borderId="15" xfId="0" applyNumberFormat="1" applyFont="1" applyFill="1" applyBorder="1" applyAlignment="1">
      <alignment horizontal="center" vertical="center"/>
    </xf>
    <xf numFmtId="49" fontId="139" fillId="39" borderId="23" xfId="0" applyNumberFormat="1" applyFont="1" applyFill="1" applyBorder="1" applyAlignment="1">
      <alignment horizontal="center" vertical="center" wrapText="1"/>
    </xf>
    <xf numFmtId="49" fontId="139" fillId="39" borderId="11" xfId="0" applyNumberFormat="1" applyFont="1" applyFill="1" applyBorder="1" applyAlignment="1">
      <alignment horizontal="center" vertical="center" wrapText="1"/>
    </xf>
    <xf numFmtId="4" fontId="76" fillId="0" borderId="45" xfId="33" applyNumberFormat="1" applyFont="1" applyFill="1" applyBorder="1" applyAlignment="1" applyProtection="1">
      <alignment horizontal="right" vertical="center"/>
    </xf>
    <xf numFmtId="49" fontId="76" fillId="25" borderId="42" xfId="0" applyNumberFormat="1" applyFont="1" applyFill="1" applyBorder="1" applyAlignment="1" applyProtection="1">
      <alignment horizontal="center" vertical="center"/>
      <protection locked="0"/>
    </xf>
    <xf numFmtId="49" fontId="76" fillId="25" borderId="43" xfId="0" applyNumberFormat="1" applyFont="1" applyFill="1" applyBorder="1" applyAlignment="1" applyProtection="1">
      <alignment horizontal="center" vertical="center"/>
      <protection locked="0"/>
    </xf>
    <xf numFmtId="49" fontId="76" fillId="25" borderId="44" xfId="0" applyNumberFormat="1" applyFont="1" applyFill="1" applyBorder="1" applyAlignment="1" applyProtection="1">
      <alignment horizontal="center" vertical="center"/>
      <protection locked="0"/>
    </xf>
    <xf numFmtId="49" fontId="76" fillId="25" borderId="36" xfId="0" applyNumberFormat="1" applyFont="1" applyFill="1" applyBorder="1" applyAlignment="1">
      <alignment horizontal="center" vertical="center"/>
    </xf>
    <xf numFmtId="49" fontId="76" fillId="25" borderId="0" xfId="0" applyNumberFormat="1" applyFont="1" applyFill="1" applyAlignment="1">
      <alignment horizontal="center" vertical="center"/>
    </xf>
    <xf numFmtId="49" fontId="76" fillId="25" borderId="45" xfId="0" applyNumberFormat="1" applyFont="1" applyFill="1" applyBorder="1" applyAlignment="1">
      <alignment horizontal="center" vertical="center"/>
    </xf>
    <xf numFmtId="49" fontId="76" fillId="25" borderId="36" xfId="0" applyNumberFormat="1" applyFont="1" applyFill="1" applyBorder="1" applyAlignment="1" applyProtection="1">
      <alignment horizontal="center" vertical="center"/>
      <protection locked="0"/>
    </xf>
    <xf numFmtId="49" fontId="76" fillId="25" borderId="0" xfId="0" applyNumberFormat="1" applyFont="1" applyFill="1" applyAlignment="1" applyProtection="1">
      <alignment horizontal="center" vertical="center"/>
      <protection locked="0"/>
    </xf>
    <xf numFmtId="49" fontId="76" fillId="25" borderId="45" xfId="0" applyNumberFormat="1" applyFont="1" applyFill="1" applyBorder="1" applyAlignment="1" applyProtection="1">
      <alignment horizontal="center" vertical="center"/>
      <protection locked="0"/>
    </xf>
    <xf numFmtId="49" fontId="76" fillId="25" borderId="46" xfId="0" applyNumberFormat="1" applyFont="1" applyFill="1" applyBorder="1" applyAlignment="1">
      <alignment horizontal="center" vertical="center"/>
    </xf>
    <xf numFmtId="49" fontId="76" fillId="25" borderId="47" xfId="0" applyNumberFormat="1" applyFont="1" applyFill="1" applyBorder="1" applyAlignment="1">
      <alignment horizontal="center" vertical="center"/>
    </xf>
    <xf numFmtId="49" fontId="76" fillId="25" borderId="48" xfId="0" applyNumberFormat="1" applyFont="1" applyFill="1" applyBorder="1" applyAlignment="1">
      <alignment horizontal="center" vertical="center"/>
    </xf>
    <xf numFmtId="49" fontId="76" fillId="25" borderId="62" xfId="0" applyNumberFormat="1" applyFont="1" applyFill="1" applyBorder="1" applyAlignment="1">
      <alignment horizontal="center" vertical="center"/>
    </xf>
    <xf numFmtId="49" fontId="76" fillId="25" borderId="63" xfId="0" applyNumberFormat="1" applyFont="1" applyFill="1" applyBorder="1" applyAlignment="1">
      <alignment horizontal="center" vertical="center"/>
    </xf>
    <xf numFmtId="49" fontId="76" fillId="25" borderId="26" xfId="0" applyNumberFormat="1" applyFont="1" applyFill="1" applyBorder="1" applyAlignment="1">
      <alignment horizontal="center" vertical="center"/>
    </xf>
    <xf numFmtId="49" fontId="76" fillId="25" borderId="28" xfId="0" applyNumberFormat="1" applyFont="1" applyFill="1" applyBorder="1" applyAlignment="1">
      <alignment horizontal="center" vertical="center"/>
    </xf>
    <xf numFmtId="49" fontId="76" fillId="25" borderId="27" xfId="0" applyNumberFormat="1" applyFont="1" applyFill="1" applyBorder="1" applyAlignment="1">
      <alignment horizontal="center" vertical="center"/>
    </xf>
    <xf numFmtId="49" fontId="76" fillId="25" borderId="62" xfId="0" applyNumberFormat="1" applyFont="1" applyFill="1" applyBorder="1" applyAlignment="1">
      <alignment horizontal="center" vertical="center" wrapText="1"/>
    </xf>
    <xf numFmtId="49" fontId="76" fillId="25" borderId="63" xfId="0" applyNumberFormat="1" applyFont="1" applyFill="1" applyBorder="1" applyAlignment="1">
      <alignment horizontal="center" vertical="center" wrapText="1"/>
    </xf>
    <xf numFmtId="4" fontId="76" fillId="0" borderId="45" xfId="33" applyNumberFormat="1" applyFont="1" applyFill="1" applyBorder="1" applyAlignment="1">
      <alignment horizontal="right" vertical="center"/>
    </xf>
    <xf numFmtId="0" fontId="87" fillId="0" borderId="0" xfId="82" applyFont="1" applyAlignment="1">
      <alignment horizontal="center"/>
    </xf>
    <xf numFmtId="0" fontId="56" fillId="34" borderId="17" xfId="82" applyFont="1" applyFill="1" applyBorder="1" applyAlignment="1">
      <alignment horizontal="center" vertical="center"/>
    </xf>
    <xf numFmtId="0" fontId="56" fillId="34" borderId="17" xfId="82" applyFont="1" applyFill="1" applyBorder="1" applyAlignment="1">
      <alignment horizontal="center" vertical="center" wrapText="1"/>
    </xf>
    <xf numFmtId="0" fontId="92" fillId="28" borderId="10" xfId="82" applyFont="1" applyFill="1" applyBorder="1" applyAlignment="1">
      <alignment horizontal="left" vertical="center" wrapText="1"/>
    </xf>
    <xf numFmtId="0" fontId="92" fillId="28" borderId="0" xfId="82" applyFont="1" applyFill="1" applyAlignment="1">
      <alignment horizontal="left" vertical="center" wrapText="1"/>
    </xf>
    <xf numFmtId="49" fontId="76" fillId="25" borderId="64" xfId="0" applyNumberFormat="1" applyFont="1" applyFill="1" applyBorder="1" applyAlignment="1">
      <alignment horizontal="center" vertical="center"/>
    </xf>
    <xf numFmtId="49" fontId="76" fillId="25" borderId="26" xfId="0" applyNumberFormat="1" applyFont="1" applyFill="1" applyBorder="1" applyAlignment="1">
      <alignment horizontal="center" vertical="center" wrapText="1"/>
    </xf>
    <xf numFmtId="49" fontId="76" fillId="25" borderId="28" xfId="0" applyNumberFormat="1" applyFont="1" applyFill="1" applyBorder="1" applyAlignment="1">
      <alignment horizontal="center" vertical="center" wrapText="1"/>
    </xf>
    <xf numFmtId="49" fontId="76" fillId="25" borderId="27" xfId="0" applyNumberFormat="1" applyFont="1" applyFill="1" applyBorder="1" applyAlignment="1">
      <alignment horizontal="center" vertical="center" wrapText="1"/>
    </xf>
    <xf numFmtId="49" fontId="76" fillId="25" borderId="65" xfId="0" applyNumberFormat="1" applyFont="1" applyFill="1" applyBorder="1" applyAlignment="1" applyProtection="1">
      <alignment horizontal="center" vertical="center"/>
      <protection locked="0"/>
    </xf>
    <xf numFmtId="49" fontId="76" fillId="25" borderId="66" xfId="0" applyNumberFormat="1" applyFont="1" applyFill="1" applyBorder="1" applyAlignment="1">
      <alignment horizontal="center" vertical="center"/>
    </xf>
    <xf numFmtId="49" fontId="76" fillId="25" borderId="66" xfId="0" applyNumberFormat="1" applyFont="1" applyFill="1" applyBorder="1" applyAlignment="1" applyProtection="1">
      <alignment horizontal="center" vertical="center"/>
      <protection locked="0"/>
    </xf>
    <xf numFmtId="49" fontId="76" fillId="25" borderId="67" xfId="0" applyNumberFormat="1" applyFont="1" applyFill="1" applyBorder="1" applyAlignment="1">
      <alignment horizontal="center" vertical="center"/>
    </xf>
    <xf numFmtId="49" fontId="187" fillId="25" borderId="46" xfId="0" applyNumberFormat="1" applyFont="1" applyFill="1" applyBorder="1" applyAlignment="1" applyProtection="1">
      <alignment horizontal="center" vertical="center"/>
      <protection locked="0"/>
    </xf>
    <xf numFmtId="49" fontId="187" fillId="25" borderId="47" xfId="0" applyNumberFormat="1" applyFont="1" applyFill="1" applyBorder="1" applyAlignment="1" applyProtection="1">
      <alignment horizontal="center" vertical="center"/>
      <protection locked="0"/>
    </xf>
    <xf numFmtId="49" fontId="187" fillId="25" borderId="67" xfId="0" applyNumberFormat="1" applyFont="1" applyFill="1" applyBorder="1" applyAlignment="1" applyProtection="1">
      <alignment horizontal="center" vertical="center"/>
      <protection locked="0"/>
    </xf>
    <xf numFmtId="49" fontId="11" fillId="25" borderId="62" xfId="0" applyNumberFormat="1" applyFont="1" applyFill="1" applyBorder="1" applyAlignment="1">
      <alignment horizontal="center" vertical="center" wrapText="1"/>
    </xf>
    <xf numFmtId="49" fontId="11" fillId="25" borderId="63" xfId="0" applyNumberFormat="1" applyFont="1" applyFill="1" applyBorder="1" applyAlignment="1">
      <alignment horizontal="center" vertical="center" wrapText="1"/>
    </xf>
    <xf numFmtId="49" fontId="11" fillId="25" borderId="26" xfId="0" applyNumberFormat="1" applyFont="1" applyFill="1" applyBorder="1" applyAlignment="1">
      <alignment horizontal="center" vertical="center" wrapText="1"/>
    </xf>
    <xf numFmtId="49" fontId="11" fillId="25" borderId="28" xfId="0" applyNumberFormat="1" applyFont="1" applyFill="1" applyBorder="1" applyAlignment="1">
      <alignment horizontal="center" vertical="center" wrapText="1"/>
    </xf>
    <xf numFmtId="49" fontId="11" fillId="25" borderId="27" xfId="0" applyNumberFormat="1" applyFont="1" applyFill="1" applyBorder="1" applyAlignment="1">
      <alignment horizontal="center" vertical="center" wrapText="1"/>
    </xf>
    <xf numFmtId="49" fontId="11" fillId="25" borderId="42" xfId="0" applyNumberFormat="1" applyFont="1" applyFill="1" applyBorder="1" applyAlignment="1" applyProtection="1">
      <alignment horizontal="center" vertical="center" wrapText="1"/>
      <protection locked="0"/>
    </xf>
    <xf numFmtId="49" fontId="11" fillId="25" borderId="43" xfId="0" applyNumberFormat="1" applyFont="1" applyFill="1" applyBorder="1" applyAlignment="1" applyProtection="1">
      <alignment horizontal="center" vertical="center" wrapText="1"/>
      <protection locked="0"/>
    </xf>
    <xf numFmtId="49" fontId="11" fillId="25" borderId="44" xfId="0" applyNumberFormat="1" applyFont="1" applyFill="1" applyBorder="1" applyAlignment="1" applyProtection="1">
      <alignment horizontal="center" vertical="center" wrapText="1"/>
      <protection locked="0"/>
    </xf>
    <xf numFmtId="49" fontId="11" fillId="25" borderId="36" xfId="0" applyNumberFormat="1" applyFont="1" applyFill="1" applyBorder="1" applyAlignment="1">
      <alignment horizontal="center" vertical="center" wrapText="1"/>
    </xf>
    <xf numFmtId="49" fontId="11" fillId="25" borderId="0" xfId="0" applyNumberFormat="1" applyFont="1" applyFill="1" applyAlignment="1">
      <alignment horizontal="center" vertical="center" wrapText="1"/>
    </xf>
    <xf numFmtId="49" fontId="11" fillId="25" borderId="45" xfId="0" applyNumberFormat="1" applyFont="1" applyFill="1" applyBorder="1" applyAlignment="1">
      <alignment horizontal="center" vertical="center" wrapText="1"/>
    </xf>
    <xf numFmtId="49" fontId="11" fillId="25" borderId="36" xfId="0" applyNumberFormat="1" applyFont="1" applyFill="1" applyBorder="1" applyAlignment="1" applyProtection="1">
      <alignment horizontal="center" vertical="center" wrapText="1"/>
      <protection locked="0"/>
    </xf>
    <xf numFmtId="49" fontId="11" fillId="25" borderId="0" xfId="0" applyNumberFormat="1" applyFont="1" applyFill="1" applyAlignment="1" applyProtection="1">
      <alignment horizontal="center" vertical="center" wrapText="1"/>
      <protection locked="0"/>
    </xf>
    <xf numFmtId="49" fontId="11" fillId="25" borderId="45" xfId="0" applyNumberFormat="1" applyFont="1" applyFill="1" applyBorder="1" applyAlignment="1" applyProtection="1">
      <alignment horizontal="center" vertical="center" wrapText="1"/>
      <protection locked="0"/>
    </xf>
    <xf numFmtId="49" fontId="11" fillId="25" borderId="46" xfId="0" applyNumberFormat="1" applyFont="1" applyFill="1" applyBorder="1" applyAlignment="1">
      <alignment horizontal="center" vertical="center" wrapText="1"/>
    </xf>
    <xf numFmtId="49" fontId="11" fillId="25" borderId="47" xfId="0" applyNumberFormat="1" applyFont="1" applyFill="1" applyBorder="1" applyAlignment="1">
      <alignment horizontal="center" vertical="center" wrapText="1"/>
    </xf>
    <xf numFmtId="49" fontId="11" fillId="25" borderId="48" xfId="0" applyNumberFormat="1" applyFont="1" applyFill="1" applyBorder="1" applyAlignment="1">
      <alignment horizontal="center" vertical="center" wrapText="1"/>
    </xf>
    <xf numFmtId="0" fontId="56" fillId="34" borderId="22" xfId="82" applyFont="1" applyFill="1" applyBorder="1" applyAlignment="1">
      <alignment horizontal="center" vertical="center"/>
    </xf>
    <xf numFmtId="0" fontId="56" fillId="34" borderId="23" xfId="82" applyFont="1" applyFill="1" applyBorder="1" applyAlignment="1">
      <alignment horizontal="center" vertical="center"/>
    </xf>
    <xf numFmtId="0" fontId="56" fillId="34" borderId="10" xfId="82" applyFont="1" applyFill="1" applyBorder="1" applyAlignment="1">
      <alignment horizontal="center" vertical="center"/>
    </xf>
    <xf numFmtId="0" fontId="56" fillId="34" borderId="11" xfId="82" applyFont="1" applyFill="1" applyBorder="1" applyAlignment="1">
      <alignment horizontal="center" vertical="center"/>
    </xf>
    <xf numFmtId="0" fontId="56" fillId="34" borderId="20" xfId="82" applyFont="1" applyFill="1" applyBorder="1" applyAlignment="1">
      <alignment horizontal="center" vertical="center"/>
    </xf>
    <xf numFmtId="0" fontId="56" fillId="34" borderId="21" xfId="82" applyFont="1" applyFill="1" applyBorder="1" applyAlignment="1">
      <alignment horizontal="center" vertical="center"/>
    </xf>
    <xf numFmtId="0" fontId="88" fillId="28" borderId="10" xfId="82" applyFont="1" applyFill="1" applyBorder="1" applyAlignment="1">
      <alignment horizontal="left" vertical="top" wrapText="1"/>
    </xf>
    <xf numFmtId="0" fontId="88" fillId="28" borderId="11" xfId="82" applyFont="1" applyFill="1" applyBorder="1" applyAlignment="1">
      <alignment horizontal="left" vertical="top" wrapText="1"/>
    </xf>
    <xf numFmtId="49" fontId="11" fillId="25" borderId="36" xfId="0" applyNumberFormat="1" applyFont="1" applyFill="1" applyBorder="1" applyAlignment="1">
      <alignment horizontal="center" vertical="center"/>
    </xf>
    <xf numFmtId="49" fontId="11" fillId="25" borderId="0" xfId="0" applyNumberFormat="1" applyFont="1" applyFill="1" applyAlignment="1">
      <alignment horizontal="center" vertical="center"/>
    </xf>
    <xf numFmtId="49" fontId="11" fillId="25" borderId="66" xfId="0" applyNumberFormat="1" applyFont="1" applyFill="1" applyBorder="1" applyAlignment="1">
      <alignment horizontal="center" vertical="center"/>
    </xf>
    <xf numFmtId="49" fontId="11" fillId="25" borderId="62" xfId="0" applyNumberFormat="1" applyFont="1" applyFill="1" applyBorder="1" applyAlignment="1">
      <alignment horizontal="center" vertical="center"/>
    </xf>
    <xf numFmtId="49" fontId="11" fillId="25" borderId="63" xfId="0" applyNumberFormat="1" applyFont="1" applyFill="1" applyBorder="1" applyAlignment="1">
      <alignment horizontal="center" vertical="center"/>
    </xf>
    <xf numFmtId="49" fontId="11" fillId="25" borderId="42" xfId="0" applyNumberFormat="1" applyFont="1" applyFill="1" applyBorder="1" applyAlignment="1" applyProtection="1">
      <alignment horizontal="center" vertical="center"/>
      <protection locked="0"/>
    </xf>
    <xf numFmtId="49" fontId="11" fillId="25" borderId="43" xfId="0" applyNumberFormat="1" applyFont="1" applyFill="1" applyBorder="1" applyAlignment="1" applyProtection="1">
      <alignment horizontal="center" vertical="center"/>
      <protection locked="0"/>
    </xf>
    <xf numFmtId="49" fontId="11" fillId="25" borderId="44" xfId="0" applyNumberFormat="1" applyFont="1" applyFill="1" applyBorder="1" applyAlignment="1" applyProtection="1">
      <alignment horizontal="center" vertical="center"/>
      <protection locked="0"/>
    </xf>
    <xf numFmtId="49" fontId="11" fillId="25" borderId="45" xfId="0" applyNumberFormat="1" applyFont="1" applyFill="1" applyBorder="1" applyAlignment="1">
      <alignment horizontal="center" vertical="center"/>
    </xf>
    <xf numFmtId="49" fontId="11" fillId="25" borderId="36" xfId="0" applyNumberFormat="1" applyFont="1" applyFill="1" applyBorder="1" applyAlignment="1" applyProtection="1">
      <alignment horizontal="center" vertical="center"/>
      <protection locked="0"/>
    </xf>
    <xf numFmtId="49" fontId="11" fillId="25" borderId="0" xfId="0" applyNumberFormat="1" applyFont="1" applyFill="1" applyAlignment="1" applyProtection="1">
      <alignment horizontal="center" vertical="center"/>
      <protection locked="0"/>
    </xf>
    <xf numFmtId="49" fontId="11" fillId="25" borderId="45" xfId="0" applyNumberFormat="1" applyFont="1" applyFill="1" applyBorder="1" applyAlignment="1" applyProtection="1">
      <alignment horizontal="center" vertical="center"/>
      <protection locked="0"/>
    </xf>
    <xf numFmtId="49" fontId="11" fillId="25" borderId="46" xfId="0" applyNumberFormat="1" applyFont="1" applyFill="1" applyBorder="1" applyAlignment="1">
      <alignment horizontal="center" vertical="center"/>
    </xf>
    <xf numFmtId="49" fontId="11" fillId="25" borderId="47" xfId="0" applyNumberFormat="1" applyFont="1" applyFill="1" applyBorder="1" applyAlignment="1">
      <alignment horizontal="center" vertical="center"/>
    </xf>
    <xf numFmtId="49" fontId="11" fillId="25" borderId="48" xfId="0" applyNumberFormat="1" applyFont="1" applyFill="1" applyBorder="1" applyAlignment="1">
      <alignment horizontal="center" vertical="center"/>
    </xf>
    <xf numFmtId="0" fontId="87" fillId="28" borderId="0" xfId="82" applyFont="1" applyFill="1" applyAlignment="1">
      <alignment horizontal="justify" vertical="center" wrapText="1"/>
    </xf>
    <xf numFmtId="0" fontId="87" fillId="28" borderId="11" xfId="82" applyFont="1" applyFill="1" applyBorder="1" applyAlignment="1">
      <alignment horizontal="justify" vertical="center" wrapText="1"/>
    </xf>
    <xf numFmtId="0" fontId="56" fillId="34" borderId="24" xfId="82" applyFont="1" applyFill="1" applyBorder="1" applyAlignment="1">
      <alignment horizontal="center" vertical="center"/>
    </xf>
    <xf numFmtId="0" fontId="56" fillId="34" borderId="0" xfId="82" applyFont="1" applyFill="1" applyAlignment="1">
      <alignment horizontal="center" vertical="center"/>
    </xf>
    <xf numFmtId="0" fontId="56" fillId="34" borderId="19" xfId="82" applyFont="1" applyFill="1" applyBorder="1" applyAlignment="1">
      <alignment horizontal="center" vertical="center"/>
    </xf>
    <xf numFmtId="0" fontId="87" fillId="28" borderId="10" xfId="82" applyFont="1" applyFill="1" applyBorder="1" applyAlignment="1">
      <alignment horizontal="left" vertical="center" wrapText="1"/>
    </xf>
    <xf numFmtId="0" fontId="87" fillId="28" borderId="0" xfId="82" applyFont="1" applyFill="1" applyAlignment="1">
      <alignment horizontal="left" vertical="center" wrapText="1"/>
    </xf>
    <xf numFmtId="0" fontId="87" fillId="28" borderId="11" xfId="82" applyFont="1" applyFill="1" applyBorder="1" applyAlignment="1">
      <alignment horizontal="left" vertical="center" wrapText="1"/>
    </xf>
    <xf numFmtId="0" fontId="88" fillId="28" borderId="14" xfId="82" applyFont="1" applyFill="1" applyBorder="1" applyAlignment="1">
      <alignment horizontal="left" vertical="center" wrapText="1" indent="3"/>
    </xf>
    <xf numFmtId="0" fontId="88" fillId="28" borderId="15" xfId="82" applyFont="1" applyFill="1" applyBorder="1" applyAlignment="1">
      <alignment horizontal="left" vertical="center" wrapText="1" indent="3"/>
    </xf>
    <xf numFmtId="0" fontId="11" fillId="25" borderId="42" xfId="0" applyFont="1" applyFill="1" applyBorder="1" applyAlignment="1" applyProtection="1">
      <alignment horizontal="center"/>
      <protection locked="0"/>
    </xf>
    <xf numFmtId="0" fontId="11" fillId="25" borderId="43" xfId="0" applyFont="1" applyFill="1" applyBorder="1" applyAlignment="1" applyProtection="1">
      <alignment horizontal="center"/>
      <protection locked="0"/>
    </xf>
    <xf numFmtId="0" fontId="11" fillId="25" borderId="44" xfId="0" applyFont="1" applyFill="1" applyBorder="1" applyAlignment="1" applyProtection="1">
      <alignment horizontal="center"/>
      <protection locked="0"/>
    </xf>
    <xf numFmtId="0" fontId="11" fillId="25" borderId="36" xfId="0" applyFont="1" applyFill="1" applyBorder="1" applyAlignment="1">
      <alignment horizontal="center"/>
    </xf>
    <xf numFmtId="0" fontId="11" fillId="25" borderId="0" xfId="0" applyFont="1" applyFill="1" applyAlignment="1">
      <alignment horizontal="center"/>
    </xf>
    <xf numFmtId="0" fontId="11" fillId="25" borderId="45" xfId="0" applyFont="1" applyFill="1" applyBorder="1" applyAlignment="1">
      <alignment horizontal="center"/>
    </xf>
    <xf numFmtId="0" fontId="187" fillId="25" borderId="46" xfId="0" applyFont="1" applyFill="1" applyBorder="1" applyAlignment="1" applyProtection="1">
      <alignment horizontal="center"/>
      <protection locked="0"/>
    </xf>
    <xf numFmtId="0" fontId="187" fillId="25" borderId="47" xfId="0" applyFont="1" applyFill="1" applyBorder="1" applyAlignment="1" applyProtection="1">
      <alignment horizontal="center"/>
      <protection locked="0"/>
    </xf>
    <xf numFmtId="0" fontId="187" fillId="25" borderId="48" xfId="0" applyFont="1" applyFill="1" applyBorder="1" applyAlignment="1" applyProtection="1">
      <alignment horizontal="center"/>
      <protection locked="0"/>
    </xf>
    <xf numFmtId="0" fontId="76" fillId="25" borderId="62" xfId="0" applyFont="1" applyFill="1" applyBorder="1" applyAlignment="1">
      <alignment horizontal="center" vertical="center"/>
    </xf>
    <xf numFmtId="0" fontId="76" fillId="25" borderId="64" xfId="0" applyFont="1" applyFill="1" applyBorder="1" applyAlignment="1">
      <alignment horizontal="center" vertical="center"/>
    </xf>
    <xf numFmtId="0" fontId="76" fillId="25" borderId="63" xfId="0" applyFont="1" applyFill="1" applyBorder="1" applyAlignment="1">
      <alignment horizontal="center" vertical="center"/>
    </xf>
    <xf numFmtId="0" fontId="76" fillId="25" borderId="26" xfId="0" applyFont="1" applyFill="1" applyBorder="1" applyAlignment="1">
      <alignment horizontal="center" vertical="center"/>
    </xf>
    <xf numFmtId="0" fontId="76" fillId="25" borderId="28" xfId="0" applyFont="1" applyFill="1" applyBorder="1" applyAlignment="1">
      <alignment horizontal="center" vertical="center"/>
    </xf>
    <xf numFmtId="0" fontId="76" fillId="25" borderId="27" xfId="0" applyFont="1" applyFill="1" applyBorder="1" applyAlignment="1">
      <alignment horizontal="center" vertical="center"/>
    </xf>
    <xf numFmtId="0" fontId="56" fillId="34" borderId="17" xfId="49" applyFont="1" applyFill="1" applyBorder="1" applyAlignment="1">
      <alignment horizontal="center"/>
    </xf>
    <xf numFmtId="0" fontId="87" fillId="28" borderId="17" xfId="82" applyFont="1" applyFill="1" applyBorder="1" applyAlignment="1">
      <alignment horizontal="center"/>
    </xf>
    <xf numFmtId="0" fontId="87" fillId="28" borderId="17" xfId="82" applyFont="1" applyFill="1" applyBorder="1" applyAlignment="1">
      <alignment horizontal="right"/>
    </xf>
    <xf numFmtId="0" fontId="87" fillId="28" borderId="13" xfId="82" applyFont="1" applyFill="1" applyBorder="1" applyAlignment="1">
      <alignment horizontal="right"/>
    </xf>
    <xf numFmtId="0" fontId="87" fillId="28" borderId="15" xfId="82" applyFont="1" applyFill="1" applyBorder="1" applyAlignment="1">
      <alignment horizontal="right"/>
    </xf>
    <xf numFmtId="165" fontId="87" fillId="28" borderId="13" xfId="82" applyNumberFormat="1" applyFont="1" applyFill="1" applyBorder="1" applyAlignment="1">
      <alignment horizontal="right"/>
    </xf>
    <xf numFmtId="0" fontId="87" fillId="28" borderId="13" xfId="82" applyFont="1" applyFill="1" applyBorder="1" applyAlignment="1">
      <alignment horizontal="center"/>
    </xf>
    <xf numFmtId="0" fontId="87" fillId="28" borderId="15" xfId="82" applyFont="1" applyFill="1" applyBorder="1" applyAlignment="1">
      <alignment horizontal="center"/>
    </xf>
    <xf numFmtId="166" fontId="87" fillId="28" borderId="13" xfId="33" applyNumberFormat="1" applyFont="1" applyFill="1" applyBorder="1" applyAlignment="1">
      <alignment horizontal="right"/>
    </xf>
    <xf numFmtId="166" fontId="87" fillId="28" borderId="15" xfId="33" applyNumberFormat="1" applyFont="1" applyFill="1" applyBorder="1" applyAlignment="1">
      <alignment horizontal="right"/>
    </xf>
    <xf numFmtId="166" fontId="87" fillId="28" borderId="17" xfId="33" applyNumberFormat="1" applyFont="1" applyFill="1" applyBorder="1" applyAlignment="1">
      <alignment horizontal="right"/>
    </xf>
    <xf numFmtId="0" fontId="76" fillId="25" borderId="42" xfId="0" applyFont="1" applyFill="1" applyBorder="1" applyAlignment="1">
      <alignment horizontal="center" vertical="center"/>
    </xf>
    <xf numFmtId="0" fontId="71" fillId="25" borderId="43" xfId="0" applyFont="1" applyFill="1" applyBorder="1" applyAlignment="1">
      <alignment horizontal="center" vertical="center"/>
    </xf>
    <xf numFmtId="0" fontId="71" fillId="25" borderId="44" xfId="0" applyFont="1" applyFill="1" applyBorder="1" applyAlignment="1">
      <alignment horizontal="center" vertical="center"/>
    </xf>
    <xf numFmtId="49" fontId="187" fillId="25" borderId="48" xfId="0" applyNumberFormat="1" applyFont="1" applyFill="1" applyBorder="1" applyAlignment="1" applyProtection="1">
      <alignment horizontal="center" vertical="center"/>
      <protection locked="0"/>
    </xf>
    <xf numFmtId="0" fontId="87" fillId="28" borderId="13" xfId="143" applyFont="1" applyFill="1" applyBorder="1" applyAlignment="1">
      <alignment horizontal="center"/>
    </xf>
    <xf numFmtId="0" fontId="87" fillId="28" borderId="15" xfId="143" applyFont="1" applyFill="1" applyBorder="1" applyAlignment="1">
      <alignment horizontal="center"/>
    </xf>
    <xf numFmtId="0" fontId="56" fillId="34" borderId="13" xfId="143" applyFont="1" applyFill="1" applyBorder="1" applyAlignment="1">
      <alignment horizontal="center"/>
    </xf>
    <xf numFmtId="0" fontId="56" fillId="34" borderId="14" xfId="143" applyFont="1" applyFill="1" applyBorder="1" applyAlignment="1">
      <alignment horizontal="center"/>
    </xf>
    <xf numFmtId="0" fontId="56" fillId="34" borderId="15" xfId="143" applyFont="1" applyFill="1" applyBorder="1" applyAlignment="1">
      <alignment horizontal="center"/>
    </xf>
    <xf numFmtId="0" fontId="56" fillId="34" borderId="22" xfId="143" applyFont="1" applyFill="1" applyBorder="1" applyAlignment="1">
      <alignment horizontal="center"/>
    </xf>
    <xf numFmtId="0" fontId="56" fillId="34" borderId="24" xfId="143" applyFont="1" applyFill="1" applyBorder="1" applyAlignment="1">
      <alignment horizontal="center"/>
    </xf>
    <xf numFmtId="0" fontId="56" fillId="34" borderId="23" xfId="143" applyFont="1" applyFill="1" applyBorder="1" applyAlignment="1">
      <alignment horizontal="center"/>
    </xf>
    <xf numFmtId="0" fontId="56" fillId="34" borderId="10" xfId="143" applyFont="1" applyFill="1" applyBorder="1" applyAlignment="1">
      <alignment horizontal="center"/>
    </xf>
    <xf numFmtId="0" fontId="56" fillId="34" borderId="0" xfId="143" applyFont="1" applyFill="1" applyAlignment="1">
      <alignment horizontal="center"/>
    </xf>
    <xf numFmtId="0" fontId="56" fillId="34" borderId="11" xfId="143" applyFont="1" applyFill="1" applyBorder="1" applyAlignment="1">
      <alignment horizontal="center"/>
    </xf>
    <xf numFmtId="0" fontId="56" fillId="34" borderId="20" xfId="143" applyFont="1" applyFill="1" applyBorder="1" applyAlignment="1">
      <alignment horizontal="center"/>
    </xf>
    <xf numFmtId="0" fontId="56" fillId="34" borderId="19" xfId="143" applyFont="1" applyFill="1" applyBorder="1" applyAlignment="1">
      <alignment horizontal="center"/>
    </xf>
    <xf numFmtId="0" fontId="56" fillId="34" borderId="21" xfId="143" applyFont="1" applyFill="1" applyBorder="1" applyAlignment="1">
      <alignment horizontal="center"/>
    </xf>
    <xf numFmtId="0" fontId="87" fillId="28" borderId="20" xfId="82" applyFont="1" applyFill="1" applyBorder="1" applyAlignment="1">
      <alignment horizontal="left" vertical="center" wrapText="1"/>
    </xf>
    <xf numFmtId="0" fontId="87" fillId="28" borderId="21" xfId="82" applyFont="1" applyFill="1" applyBorder="1" applyAlignment="1">
      <alignment horizontal="left" vertical="center" wrapText="1"/>
    </xf>
    <xf numFmtId="0" fontId="87" fillId="28" borderId="13" xfId="82" applyFont="1" applyFill="1" applyBorder="1" applyAlignment="1">
      <alignment horizontal="left" vertical="center" wrapText="1"/>
    </xf>
    <xf numFmtId="0" fontId="87" fillId="28" borderId="15" xfId="82" applyFont="1" applyFill="1" applyBorder="1" applyAlignment="1">
      <alignment horizontal="left" vertical="center" wrapText="1"/>
    </xf>
    <xf numFmtId="0" fontId="87" fillId="28" borderId="40" xfId="82" applyFont="1" applyFill="1" applyBorder="1" applyAlignment="1">
      <alignment horizontal="left" vertical="top" wrapText="1" indent="1"/>
    </xf>
    <xf numFmtId="0" fontId="87" fillId="28" borderId="41" xfId="82" applyFont="1" applyFill="1" applyBorder="1" applyAlignment="1">
      <alignment horizontal="left" vertical="top" wrapText="1" indent="1"/>
    </xf>
    <xf numFmtId="0" fontId="88" fillId="28" borderId="13" xfId="82" applyFont="1" applyFill="1" applyBorder="1" applyAlignment="1">
      <alignment horizontal="left" vertical="center" wrapText="1"/>
    </xf>
    <xf numFmtId="0" fontId="88" fillId="28" borderId="15" xfId="82" applyFont="1" applyFill="1" applyBorder="1" applyAlignment="1">
      <alignment horizontal="left" vertical="center" wrapText="1"/>
    </xf>
    <xf numFmtId="0" fontId="87" fillId="28" borderId="0" xfId="82" applyFont="1" applyFill="1" applyAlignment="1">
      <alignment horizontal="left" wrapText="1"/>
    </xf>
    <xf numFmtId="0" fontId="87" fillId="28" borderId="0" xfId="82" applyFont="1" applyFill="1" applyAlignment="1">
      <alignment horizontal="left"/>
    </xf>
    <xf numFmtId="49" fontId="183" fillId="25" borderId="36" xfId="0" applyNumberFormat="1" applyFont="1" applyFill="1" applyBorder="1" applyAlignment="1" applyProtection="1">
      <alignment horizontal="center" vertical="center"/>
      <protection locked="0"/>
    </xf>
    <xf numFmtId="49" fontId="183" fillId="25" borderId="0" xfId="0" applyNumberFormat="1" applyFont="1" applyFill="1" applyAlignment="1" applyProtection="1">
      <alignment horizontal="center" vertical="center"/>
      <protection locked="0"/>
    </xf>
    <xf numFmtId="49" fontId="183" fillId="25" borderId="45" xfId="0" applyNumberFormat="1" applyFont="1" applyFill="1" applyBorder="1" applyAlignment="1" applyProtection="1">
      <alignment horizontal="center" vertical="center"/>
      <protection locked="0"/>
    </xf>
    <xf numFmtId="0" fontId="76" fillId="0" borderId="64" xfId="0" applyFont="1" applyBorder="1" applyAlignment="1">
      <alignment horizontal="left" vertical="center" indent="1"/>
    </xf>
    <xf numFmtId="0" fontId="76" fillId="0" borderId="63" xfId="0" applyFont="1" applyBorder="1" applyAlignment="1">
      <alignment horizontal="left" vertical="center" indent="1"/>
    </xf>
    <xf numFmtId="4" fontId="76" fillId="0" borderId="64" xfId="33" applyNumberFormat="1" applyFont="1" applyFill="1" applyBorder="1" applyAlignment="1">
      <alignment horizontal="right" vertical="center"/>
    </xf>
    <xf numFmtId="4" fontId="76" fillId="0" borderId="63" xfId="33" applyNumberFormat="1" applyFont="1" applyFill="1" applyBorder="1" applyAlignment="1">
      <alignment horizontal="right" vertical="center"/>
    </xf>
    <xf numFmtId="49" fontId="139" fillId="39" borderId="16" xfId="0" applyNumberFormat="1" applyFont="1" applyFill="1" applyBorder="1" applyAlignment="1">
      <alignment horizontal="center" vertical="center"/>
    </xf>
    <xf numFmtId="49" fontId="139" fillId="39" borderId="18" xfId="0" applyNumberFormat="1" applyFont="1" applyFill="1" applyBorder="1" applyAlignment="1">
      <alignment horizontal="center" vertical="center"/>
    </xf>
    <xf numFmtId="0" fontId="51" fillId="34" borderId="42" xfId="82" applyFont="1" applyFill="1" applyBorder="1" applyAlignment="1">
      <alignment horizontal="center" vertical="center"/>
    </xf>
    <xf numFmtId="0" fontId="51" fillId="34" borderId="43" xfId="82" applyFont="1" applyFill="1" applyBorder="1" applyAlignment="1">
      <alignment horizontal="center" vertical="center"/>
    </xf>
    <xf numFmtId="0" fontId="51" fillId="34" borderId="44" xfId="82" applyFont="1" applyFill="1" applyBorder="1" applyAlignment="1">
      <alignment horizontal="center" vertical="center"/>
    </xf>
    <xf numFmtId="0" fontId="51" fillId="34" borderId="36" xfId="82" applyFont="1" applyFill="1" applyBorder="1" applyAlignment="1">
      <alignment horizontal="center" vertical="center"/>
    </xf>
    <xf numFmtId="0" fontId="51" fillId="34" borderId="0" xfId="82" applyFont="1" applyFill="1" applyAlignment="1">
      <alignment horizontal="center" vertical="center"/>
    </xf>
    <xf numFmtId="0" fontId="51" fillId="34" borderId="45" xfId="82" applyFont="1" applyFill="1" applyBorder="1" applyAlignment="1">
      <alignment horizontal="center" vertical="center"/>
    </xf>
    <xf numFmtId="0" fontId="51" fillId="34" borderId="46" xfId="82" applyFont="1" applyFill="1" applyBorder="1" applyAlignment="1">
      <alignment horizontal="center" vertical="center"/>
    </xf>
    <xf numFmtId="0" fontId="51" fillId="34" borderId="47" xfId="82" applyFont="1" applyFill="1" applyBorder="1" applyAlignment="1">
      <alignment horizontal="center" vertical="center"/>
    </xf>
    <xf numFmtId="0" fontId="51" fillId="34" borderId="48" xfId="82" applyFont="1" applyFill="1" applyBorder="1" applyAlignment="1">
      <alignment horizontal="center" vertical="center"/>
    </xf>
    <xf numFmtId="0" fontId="71" fillId="28" borderId="49" xfId="82" applyFont="1" applyFill="1" applyBorder="1" applyAlignment="1">
      <alignment horizontal="center" vertical="center" wrapText="1"/>
    </xf>
    <xf numFmtId="0" fontId="71" fillId="28" borderId="51" xfId="82" applyFont="1" applyFill="1" applyBorder="1" applyAlignment="1">
      <alignment horizontal="center" vertical="center" wrapText="1"/>
    </xf>
    <xf numFmtId="0" fontId="71" fillId="28" borderId="18" xfId="82" applyFont="1" applyFill="1" applyBorder="1" applyAlignment="1">
      <alignment horizontal="center" vertical="center" wrapText="1"/>
    </xf>
    <xf numFmtId="0" fontId="71" fillId="28" borderId="50" xfId="82" applyFont="1" applyFill="1" applyBorder="1" applyAlignment="1">
      <alignment horizontal="center" vertical="center" wrapText="1"/>
    </xf>
    <xf numFmtId="0" fontId="64" fillId="0" borderId="22" xfId="0" applyFont="1" applyFill="1" applyBorder="1" applyAlignment="1">
      <alignment horizontal="left"/>
    </xf>
    <xf numFmtId="0" fontId="64" fillId="0" borderId="24" xfId="0" applyFont="1" applyFill="1" applyBorder="1" applyAlignment="1">
      <alignment horizontal="left"/>
    </xf>
    <xf numFmtId="0" fontId="64" fillId="0" borderId="23" xfId="0" applyFont="1" applyFill="1" applyBorder="1" applyAlignment="1">
      <alignment horizontal="left"/>
    </xf>
    <xf numFmtId="0" fontId="64" fillId="0" borderId="13" xfId="0" applyFont="1" applyFill="1" applyBorder="1" applyAlignment="1">
      <alignment horizontal="center"/>
    </xf>
    <xf numFmtId="0" fontId="64" fillId="0" borderId="14" xfId="0" applyFont="1" applyFill="1" applyBorder="1" applyAlignment="1">
      <alignment horizontal="center"/>
    </xf>
    <xf numFmtId="0" fontId="64" fillId="0" borderId="15" xfId="0" applyFont="1" applyFill="1" applyBorder="1" applyAlignment="1">
      <alignment horizontal="center"/>
    </xf>
    <xf numFmtId="43" fontId="64" fillId="0" borderId="13" xfId="37" applyFont="1" applyFill="1" applyBorder="1" applyAlignment="1">
      <alignment horizontal="center"/>
    </xf>
    <xf numFmtId="43" fontId="64" fillId="0" borderId="14" xfId="37" applyFont="1" applyFill="1" applyBorder="1" applyAlignment="1">
      <alignment horizontal="center"/>
    </xf>
    <xf numFmtId="43" fontId="64" fillId="0" borderId="15" xfId="37" applyFont="1" applyFill="1" applyBorder="1" applyAlignment="1">
      <alignment horizontal="center"/>
    </xf>
    <xf numFmtId="0" fontId="8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0" fontId="64" fillId="0" borderId="20" xfId="0" applyFont="1" applyFill="1" applyBorder="1" applyAlignment="1">
      <alignment horizontal="left"/>
    </xf>
    <xf numFmtId="0" fontId="64" fillId="0" borderId="19" xfId="0" applyFont="1" applyFill="1" applyBorder="1" applyAlignment="1">
      <alignment horizontal="left"/>
    </xf>
    <xf numFmtId="0" fontId="64" fillId="0" borderId="21" xfId="0" applyFont="1" applyFill="1" applyBorder="1" applyAlignment="1">
      <alignment horizontal="left"/>
    </xf>
    <xf numFmtId="0" fontId="201" fillId="0" borderId="13" xfId="0" applyFont="1" applyFill="1" applyBorder="1" applyAlignment="1">
      <alignment horizontal="center"/>
    </xf>
    <xf numFmtId="0" fontId="201" fillId="0" borderId="14" xfId="0" applyFont="1" applyFill="1" applyBorder="1" applyAlignment="1">
      <alignment horizontal="center"/>
    </xf>
    <xf numFmtId="0" fontId="201" fillId="0" borderId="15" xfId="0" applyFont="1" applyFill="1" applyBorder="1" applyAlignment="1">
      <alignment horizontal="center"/>
    </xf>
    <xf numFmtId="0" fontId="9" fillId="0" borderId="0" xfId="0" applyFont="1" applyAlignment="1">
      <alignment horizontal="left"/>
    </xf>
    <xf numFmtId="0" fontId="9" fillId="0" borderId="16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167" fontId="0" fillId="0" borderId="17" xfId="47" applyNumberFormat="1" applyFont="1" applyBorder="1" applyAlignment="1">
      <alignment horizontal="center" vertical="center" wrapText="1"/>
    </xf>
    <xf numFmtId="0" fontId="0" fillId="25" borderId="17" xfId="0" applyFill="1" applyBorder="1" applyAlignment="1">
      <alignment horizontal="center"/>
    </xf>
    <xf numFmtId="0" fontId="9" fillId="0" borderId="18" xfId="0" applyFont="1" applyBorder="1" applyAlignment="1">
      <alignment horizontal="center" vertical="center" wrapText="1"/>
    </xf>
    <xf numFmtId="0" fontId="9" fillId="0" borderId="17" xfId="0" applyFont="1" applyBorder="1" applyAlignment="1">
      <alignment horizontal="left" vertical="center" wrapText="1"/>
    </xf>
    <xf numFmtId="0" fontId="8" fillId="26" borderId="17" xfId="0" applyFont="1" applyFill="1" applyBorder="1" applyAlignment="1">
      <alignment horizontal="center" vertical="center" wrapText="1"/>
    </xf>
    <xf numFmtId="164" fontId="9" fillId="0" borderId="17" xfId="47" applyFill="1" applyBorder="1" applyAlignment="1">
      <alignment horizontal="center" vertical="center" wrapText="1"/>
    </xf>
    <xf numFmtId="166" fontId="9" fillId="0" borderId="17" xfId="33" applyNumberFormat="1" applyBorder="1" applyAlignment="1">
      <alignment horizontal="center" vertical="center" wrapText="1"/>
    </xf>
    <xf numFmtId="164" fontId="0" fillId="0" borderId="17" xfId="47" applyFont="1" applyBorder="1" applyAlignment="1">
      <alignment horizontal="center" vertical="center" wrapText="1"/>
    </xf>
    <xf numFmtId="166" fontId="9" fillId="0" borderId="16" xfId="33" applyNumberFormat="1" applyBorder="1" applyAlignment="1">
      <alignment horizontal="center" vertical="center" wrapText="1"/>
    </xf>
    <xf numFmtId="166" fontId="9" fillId="0" borderId="12" xfId="33" applyNumberFormat="1" applyBorder="1" applyAlignment="1">
      <alignment horizontal="center" vertical="center" wrapText="1"/>
    </xf>
    <xf numFmtId="166" fontId="9" fillId="0" borderId="18" xfId="33" applyNumberFormat="1" applyBorder="1" applyAlignment="1">
      <alignment horizontal="center" vertical="center" wrapText="1"/>
    </xf>
    <xf numFmtId="0" fontId="9" fillId="0" borderId="16" xfId="0" applyFont="1" applyBorder="1" applyAlignment="1">
      <alignment vertical="center" wrapText="1"/>
    </xf>
    <xf numFmtId="0" fontId="9" fillId="0" borderId="12" xfId="0" applyFont="1" applyBorder="1" applyAlignment="1">
      <alignment vertical="center" wrapText="1"/>
    </xf>
    <xf numFmtId="0" fontId="9" fillId="0" borderId="18" xfId="0" applyFont="1" applyBorder="1" applyAlignment="1">
      <alignment vertical="center" wrapText="1"/>
    </xf>
    <xf numFmtId="0" fontId="9" fillId="0" borderId="16" xfId="0" applyFont="1" applyBorder="1" applyAlignment="1">
      <alignment horizontal="center" vertical="center"/>
    </xf>
    <xf numFmtId="0" fontId="9" fillId="0" borderId="18" xfId="0" applyFont="1" applyBorder="1" applyAlignment="1">
      <alignment horizontal="center" vertical="center"/>
    </xf>
    <xf numFmtId="0" fontId="0" fillId="0" borderId="18" xfId="0" applyBorder="1" applyAlignment="1">
      <alignment vertical="center" wrapText="1"/>
    </xf>
    <xf numFmtId="49" fontId="9" fillId="0" borderId="16" xfId="0" applyNumberFormat="1" applyFont="1" applyBorder="1" applyAlignment="1">
      <alignment vertical="center" wrapText="1"/>
    </xf>
    <xf numFmtId="49" fontId="0" fillId="0" borderId="18" xfId="0" applyNumberFormat="1" applyBorder="1" applyAlignment="1">
      <alignment vertical="center" wrapText="1"/>
    </xf>
    <xf numFmtId="0" fontId="9" fillId="0" borderId="17" xfId="0" applyFont="1" applyBorder="1" applyAlignment="1">
      <alignment vertical="center" wrapText="1"/>
    </xf>
    <xf numFmtId="167" fontId="0" fillId="0" borderId="17" xfId="47" applyNumberFormat="1" applyFont="1" applyBorder="1" applyAlignment="1">
      <alignment vertical="center" wrapText="1"/>
    </xf>
    <xf numFmtId="0" fontId="0" fillId="0" borderId="17" xfId="0" applyBorder="1" applyAlignment="1">
      <alignment vertical="center" wrapText="1"/>
    </xf>
    <xf numFmtId="0" fontId="52" fillId="34" borderId="13" xfId="0" applyFont="1" applyFill="1" applyBorder="1" applyAlignment="1">
      <alignment horizontal="center" vertical="center"/>
    </xf>
    <xf numFmtId="0" fontId="52" fillId="34" borderId="15" xfId="0" applyFont="1" applyFill="1" applyBorder="1" applyAlignment="1">
      <alignment horizontal="center" vertical="center"/>
    </xf>
    <xf numFmtId="10" fontId="0" fillId="0" borderId="17" xfId="81" applyNumberFormat="1" applyFont="1" applyBorder="1" applyAlignment="1">
      <alignment horizontal="center" vertical="center" wrapText="1"/>
    </xf>
    <xf numFmtId="9" fontId="0" fillId="0" borderId="17" xfId="70" applyFont="1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13" fillId="0" borderId="0" xfId="0" applyFont="1" applyFill="1" applyAlignment="1">
      <alignment horizontal="center"/>
    </xf>
    <xf numFmtId="10" fontId="0" fillId="0" borderId="17" xfId="70" applyNumberFormat="1" applyFont="1" applyBorder="1" applyAlignment="1">
      <alignment horizontal="center" vertical="center" wrapText="1"/>
    </xf>
    <xf numFmtId="0" fontId="8" fillId="27" borderId="0" xfId="131" applyFont="1" applyFill="1" applyAlignment="1">
      <alignment horizontal="center"/>
    </xf>
    <xf numFmtId="0" fontId="8" fillId="25" borderId="13" xfId="0" applyFont="1" applyFill="1" applyBorder="1" applyAlignment="1">
      <alignment horizontal="center"/>
    </xf>
    <xf numFmtId="0" fontId="8" fillId="25" borderId="14" xfId="0" applyFont="1" applyFill="1" applyBorder="1" applyAlignment="1">
      <alignment horizontal="center"/>
    </xf>
    <xf numFmtId="0" fontId="8" fillId="25" borderId="15" xfId="0" applyFont="1" applyFill="1" applyBorder="1" applyAlignment="1">
      <alignment horizontal="center"/>
    </xf>
    <xf numFmtId="179" fontId="9" fillId="0" borderId="17" xfId="81" applyNumberFormat="1" applyFont="1" applyBorder="1" applyAlignment="1">
      <alignment horizontal="center" vertical="center" wrapText="1"/>
    </xf>
    <xf numFmtId="0" fontId="9" fillId="0" borderId="17" xfId="0" applyFont="1" applyBorder="1" applyAlignment="1">
      <alignment horizontal="center" vertical="center" wrapText="1"/>
    </xf>
    <xf numFmtId="0" fontId="36" fillId="0" borderId="0" xfId="131" applyFont="1" applyAlignment="1">
      <alignment horizontal="center"/>
    </xf>
    <xf numFmtId="0" fontId="36" fillId="0" borderId="0" xfId="106" applyFont="1" applyAlignment="1">
      <alignment horizontal="center"/>
    </xf>
    <xf numFmtId="0" fontId="174" fillId="0" borderId="0" xfId="106" applyFont="1" applyAlignment="1">
      <alignment horizontal="center"/>
    </xf>
    <xf numFmtId="0" fontId="159" fillId="0" borderId="0" xfId="131" applyFont="1" applyAlignment="1">
      <alignment horizontal="center" vertical="center"/>
    </xf>
    <xf numFmtId="0" fontId="154" fillId="36" borderId="0" xfId="131" applyFont="1" applyFill="1" applyAlignment="1">
      <alignment horizontal="center" vertical="center"/>
    </xf>
    <xf numFmtId="0" fontId="159" fillId="0" borderId="0" xfId="131" applyFont="1" applyAlignment="1">
      <alignment horizontal="center" vertical="center" wrapText="1"/>
    </xf>
    <xf numFmtId="0" fontId="0" fillId="35" borderId="0" xfId="0" applyFill="1" applyAlignment="1">
      <alignment horizontal="left" vertical="top" wrapText="1"/>
    </xf>
    <xf numFmtId="0" fontId="133" fillId="35" borderId="0" xfId="0" applyFont="1" applyFill="1" applyAlignment="1">
      <alignment horizontal="center" vertical="top" wrapText="1"/>
    </xf>
    <xf numFmtId="0" fontId="134" fillId="35" borderId="0" xfId="0" applyFont="1" applyFill="1" applyAlignment="1">
      <alignment horizontal="center" vertical="top" wrapText="1"/>
    </xf>
    <xf numFmtId="0" fontId="135" fillId="35" borderId="0" xfId="0" applyFont="1" applyFill="1" applyAlignment="1">
      <alignment horizontal="center" vertical="top" wrapText="1"/>
    </xf>
    <xf numFmtId="0" fontId="136" fillId="35" borderId="0" xfId="0" applyFont="1" applyFill="1" applyAlignment="1">
      <alignment horizontal="right" vertical="center" wrapText="1"/>
    </xf>
    <xf numFmtId="0" fontId="136" fillId="35" borderId="0" xfId="0" applyFont="1" applyFill="1" applyAlignment="1">
      <alignment horizontal="left" vertical="center" wrapText="1"/>
    </xf>
    <xf numFmtId="0" fontId="138" fillId="35" borderId="0" xfId="0" applyFont="1" applyFill="1" applyAlignment="1">
      <alignment horizontal="center" wrapText="1"/>
    </xf>
    <xf numFmtId="0" fontId="139" fillId="35" borderId="0" xfId="0" applyFont="1" applyFill="1" applyAlignment="1">
      <alignment horizontal="right" wrapText="1"/>
    </xf>
    <xf numFmtId="0" fontId="139" fillId="35" borderId="0" xfId="0" applyFont="1" applyFill="1" applyAlignment="1">
      <alignment horizontal="left" vertical="center" wrapText="1"/>
    </xf>
    <xf numFmtId="0" fontId="141" fillId="35" borderId="0" xfId="0" applyFont="1" applyFill="1" applyAlignment="1">
      <alignment horizontal="left" wrapText="1"/>
    </xf>
    <xf numFmtId="7" fontId="142" fillId="35" borderId="0" xfId="0" applyNumberFormat="1" applyFont="1" applyFill="1" applyAlignment="1">
      <alignment horizontal="right" wrapText="1"/>
    </xf>
    <xf numFmtId="0" fontId="144" fillId="35" borderId="0" xfId="0" applyFont="1" applyFill="1" applyAlignment="1">
      <alignment horizontal="left" wrapText="1"/>
    </xf>
    <xf numFmtId="7" fontId="144" fillId="35" borderId="0" xfId="0" applyNumberFormat="1" applyFont="1" applyFill="1" applyAlignment="1">
      <alignment horizontal="right" wrapText="1"/>
    </xf>
    <xf numFmtId="0" fontId="145" fillId="35" borderId="0" xfId="0" applyFont="1" applyFill="1" applyAlignment="1">
      <alignment horizontal="left" wrapText="1"/>
    </xf>
    <xf numFmtId="7" fontId="145" fillId="35" borderId="0" xfId="0" applyNumberFormat="1" applyFont="1" applyFill="1" applyAlignment="1">
      <alignment horizontal="right" wrapText="1"/>
    </xf>
    <xf numFmtId="7" fontId="146" fillId="35" borderId="0" xfId="0" applyNumberFormat="1" applyFont="1" applyFill="1" applyAlignment="1">
      <alignment horizontal="right" wrapText="1"/>
    </xf>
    <xf numFmtId="7" fontId="151" fillId="35" borderId="0" xfId="0" applyNumberFormat="1" applyFont="1" applyFill="1" applyAlignment="1">
      <alignment horizontal="right" wrapText="1"/>
    </xf>
    <xf numFmtId="0" fontId="9" fillId="0" borderId="17" xfId="70" applyNumberFormat="1" applyFill="1" applyBorder="1" applyAlignment="1">
      <alignment horizontal="center" vertical="center" wrapText="1"/>
    </xf>
    <xf numFmtId="0" fontId="9" fillId="0" borderId="17" xfId="47" applyNumberFormat="1" applyFill="1" applyBorder="1" applyAlignment="1">
      <alignment horizontal="center" vertical="center" wrapText="1"/>
    </xf>
    <xf numFmtId="0" fontId="9" fillId="0" borderId="17" xfId="0" applyFont="1" applyFill="1" applyBorder="1" applyAlignment="1">
      <alignment horizontal="center" vertical="center" wrapText="1"/>
    </xf>
    <xf numFmtId="165" fontId="0" fillId="0" borderId="17" xfId="33" applyFont="1" applyFill="1" applyBorder="1" applyAlignment="1">
      <alignment horizontal="center" vertical="center" wrapText="1"/>
    </xf>
  </cellXfs>
  <cellStyles count="144">
    <cellStyle name="=C:\WINNT\SYSTEM32\COMMAND.COM" xfId="84" xr:uid="{00000000-0005-0000-0000-000000000000}"/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o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1" xfId="65" builtinId="16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Hipervínculo 2" xfId="31" xr:uid="{00000000-0005-0000-0000-00001F000000}"/>
    <cellStyle name="Incorrecto" xfId="32" builtinId="27" customBuiltin="1"/>
    <cellStyle name="Millares" xfId="33" builtinId="3"/>
    <cellStyle name="Millares 10" xfId="34" xr:uid="{00000000-0005-0000-0000-000022000000}"/>
    <cellStyle name="Millares 11" xfId="35" xr:uid="{00000000-0005-0000-0000-000023000000}"/>
    <cellStyle name="Millares 12" xfId="69" xr:uid="{00000000-0005-0000-0000-000024000000}"/>
    <cellStyle name="Millares 13" xfId="36" xr:uid="{00000000-0005-0000-0000-000025000000}"/>
    <cellStyle name="Millares 14" xfId="71" xr:uid="{00000000-0005-0000-0000-000026000000}"/>
    <cellStyle name="Millares 15" xfId="73" xr:uid="{00000000-0005-0000-0000-000027000000}"/>
    <cellStyle name="Millares 16" xfId="74" xr:uid="{00000000-0005-0000-0000-000028000000}"/>
    <cellStyle name="Millares 17" xfId="76" xr:uid="{00000000-0005-0000-0000-000029000000}"/>
    <cellStyle name="Millares 18" xfId="77" xr:uid="{00000000-0005-0000-0000-00002A000000}"/>
    <cellStyle name="Millares 19" xfId="78" xr:uid="{00000000-0005-0000-0000-00002B000000}"/>
    <cellStyle name="Millares 2" xfId="37" xr:uid="{00000000-0005-0000-0000-00002C000000}"/>
    <cellStyle name="Millares 2 2" xfId="86" xr:uid="{00000000-0005-0000-0000-00002D000000}"/>
    <cellStyle name="Millares 20" xfId="79" xr:uid="{00000000-0005-0000-0000-00002E000000}"/>
    <cellStyle name="Millares 21" xfId="83" xr:uid="{00000000-0005-0000-0000-00002F000000}"/>
    <cellStyle name="Millares 22" xfId="88" xr:uid="{00000000-0005-0000-0000-000030000000}"/>
    <cellStyle name="Millares 23" xfId="90" xr:uid="{00000000-0005-0000-0000-000031000000}"/>
    <cellStyle name="Millares 24" xfId="94" xr:uid="{00000000-0005-0000-0000-000032000000}"/>
    <cellStyle name="Millares 25" xfId="97" xr:uid="{00000000-0005-0000-0000-000033000000}"/>
    <cellStyle name="Millares 26" xfId="99" xr:uid="{00000000-0005-0000-0000-000034000000}"/>
    <cellStyle name="Millares 27" xfId="107" xr:uid="{00000000-0005-0000-0000-000035000000}"/>
    <cellStyle name="Millares 28" xfId="108" xr:uid="{00000000-0005-0000-0000-000036000000}"/>
    <cellStyle name="Millares 29" xfId="112" xr:uid="{00000000-0005-0000-0000-000037000000}"/>
    <cellStyle name="Millares 3" xfId="38" xr:uid="{00000000-0005-0000-0000-000038000000}"/>
    <cellStyle name="Millares 3 2" xfId="39" xr:uid="{00000000-0005-0000-0000-000039000000}"/>
    <cellStyle name="Millares 30" xfId="114" xr:uid="{00000000-0005-0000-0000-00003A000000}"/>
    <cellStyle name="Millares 31" xfId="116" xr:uid="{00000000-0005-0000-0000-00003B000000}"/>
    <cellStyle name="Millares 32" xfId="122" xr:uid="{00000000-0005-0000-0000-00003C000000}"/>
    <cellStyle name="Millares 33" xfId="132" xr:uid="{6EF1C6EF-10CE-4BCA-8ED2-A5906E6AC786}"/>
    <cellStyle name="Millares 34" xfId="137" xr:uid="{C1D62BE1-017E-4380-B8E2-2BD22437B9BC}"/>
    <cellStyle name="Millares 35" xfId="141" xr:uid="{319B9795-850E-471B-9669-080B2D3167D8}"/>
    <cellStyle name="Millares 4" xfId="40" xr:uid="{00000000-0005-0000-0000-00003D000000}"/>
    <cellStyle name="Millares 4 2" xfId="41" xr:uid="{00000000-0005-0000-0000-00003E000000}"/>
    <cellStyle name="Millares 5" xfId="42" xr:uid="{00000000-0005-0000-0000-00003F000000}"/>
    <cellStyle name="Millares 6" xfId="43" xr:uid="{00000000-0005-0000-0000-000040000000}"/>
    <cellStyle name="Millares 7" xfId="44" xr:uid="{00000000-0005-0000-0000-000041000000}"/>
    <cellStyle name="Millares 8" xfId="45" xr:uid="{00000000-0005-0000-0000-000042000000}"/>
    <cellStyle name="Millares 9" xfId="46" xr:uid="{00000000-0005-0000-0000-000043000000}"/>
    <cellStyle name="Moneda" xfId="47" builtinId="4"/>
    <cellStyle name="Neutral" xfId="48" builtinId="28" customBuiltin="1"/>
    <cellStyle name="Normal" xfId="0" builtinId="0"/>
    <cellStyle name="Normal 10" xfId="102" xr:uid="{00000000-0005-0000-0000-000047000000}"/>
    <cellStyle name="Normal 11" xfId="103" xr:uid="{00000000-0005-0000-0000-000048000000}"/>
    <cellStyle name="Normal 12" xfId="104" xr:uid="{00000000-0005-0000-0000-000049000000}"/>
    <cellStyle name="Normal 13" xfId="105" xr:uid="{00000000-0005-0000-0000-00004A000000}"/>
    <cellStyle name="Normal 14" xfId="106" xr:uid="{00000000-0005-0000-0000-00004B000000}"/>
    <cellStyle name="Normal 15" xfId="110" xr:uid="{00000000-0005-0000-0000-00004C000000}"/>
    <cellStyle name="Normal 16" xfId="111" xr:uid="{00000000-0005-0000-0000-00004D000000}"/>
    <cellStyle name="Normal 17" xfId="118" xr:uid="{00000000-0005-0000-0000-00004E000000}"/>
    <cellStyle name="Normal 18" xfId="119" xr:uid="{00000000-0005-0000-0000-00004F000000}"/>
    <cellStyle name="Normal 19" xfId="120" xr:uid="{00000000-0005-0000-0000-000050000000}"/>
    <cellStyle name="Normal 2" xfId="49" xr:uid="{00000000-0005-0000-0000-000051000000}"/>
    <cellStyle name="Normal 20" xfId="121" xr:uid="{00000000-0005-0000-0000-000052000000}"/>
    <cellStyle name="Normal 21" xfId="124" xr:uid="{00000000-0005-0000-0000-000053000000}"/>
    <cellStyle name="Normal 22" xfId="125" xr:uid="{00000000-0005-0000-0000-000054000000}"/>
    <cellStyle name="Normal 23" xfId="126" xr:uid="{00000000-0005-0000-0000-000055000000}"/>
    <cellStyle name="Normal 24" xfId="127" xr:uid="{00000000-0005-0000-0000-000056000000}"/>
    <cellStyle name="Normal 25" xfId="128" xr:uid="{00000000-0005-0000-0000-000057000000}"/>
    <cellStyle name="Normal 26" xfId="129" xr:uid="{00000000-0005-0000-0000-000058000000}"/>
    <cellStyle name="Normal 27" xfId="130" xr:uid="{00000000-0005-0000-0000-000059000000}"/>
    <cellStyle name="Normal 28" xfId="134" xr:uid="{871B7D40-2144-4095-AECB-47CE1313B9FC}"/>
    <cellStyle name="Normal 29" xfId="135" xr:uid="{9A8C550C-72FB-47F4-9738-C4AD4A0F5A54}"/>
    <cellStyle name="Normal 3" xfId="82" xr:uid="{00000000-0005-0000-0000-00005A000000}"/>
    <cellStyle name="Normal 3 2" xfId="131" xr:uid="{00000000-0005-0000-0000-00005B000000}"/>
    <cellStyle name="Normal 3 3" xfId="143" xr:uid="{57381361-641F-48DB-8ED3-ACD120694CD5}"/>
    <cellStyle name="Normal 30" xfId="139" xr:uid="{7EB8BB63-38AC-47B0-AED1-85C8A35934A2}"/>
    <cellStyle name="Normal 31" xfId="140" xr:uid="{0CEBF840-ED5D-4A42-8873-B3E703424785}"/>
    <cellStyle name="Normal 4" xfId="87" xr:uid="{00000000-0005-0000-0000-00005C000000}"/>
    <cellStyle name="Normal 5" xfId="92" xr:uid="{00000000-0005-0000-0000-00005D000000}"/>
    <cellStyle name="Normal 6" xfId="93" xr:uid="{00000000-0005-0000-0000-00005E000000}"/>
    <cellStyle name="Normal 7" xfId="96" xr:uid="{00000000-0005-0000-0000-00005F000000}"/>
    <cellStyle name="Normal 8" xfId="101" xr:uid="{00000000-0005-0000-0000-000060000000}"/>
    <cellStyle name="Normal 9" xfId="85" xr:uid="{00000000-0005-0000-0000-000061000000}"/>
    <cellStyle name="Notas" xfId="50" builtinId="10" customBuiltin="1"/>
    <cellStyle name="Porcentaje" xfId="81" xr:uid="{00000000-0005-0000-0000-000063000000}"/>
    <cellStyle name="Porcentaje 2" xfId="123" xr:uid="{00000000-0005-0000-0000-000064000000}"/>
    <cellStyle name="Porcentaje 3" xfId="133" xr:uid="{82BF1EB9-679C-4D04-A426-BC1D1624E4BF}"/>
    <cellStyle name="Porcentaje 4" xfId="136" xr:uid="{62AFD84D-6926-4CDE-98E5-CB9D758BFB7F}"/>
    <cellStyle name="Porcentaje 5" xfId="138" xr:uid="{F705DF0E-521A-40A5-BD99-FBC592C94E15}"/>
    <cellStyle name="Porcentaje 6" xfId="142" xr:uid="{F10FF48A-2CB0-447E-A973-55AC0156A6D6}"/>
    <cellStyle name="Porcentual 10" xfId="70" xr:uid="{00000000-0005-0000-0000-000065000000}"/>
    <cellStyle name="Porcentual 11" xfId="51" xr:uid="{00000000-0005-0000-0000-000066000000}"/>
    <cellStyle name="Porcentual 12" xfId="72" xr:uid="{00000000-0005-0000-0000-000067000000}"/>
    <cellStyle name="Porcentual 13" xfId="75" xr:uid="{00000000-0005-0000-0000-000068000000}"/>
    <cellStyle name="Porcentual 14" xfId="80" xr:uid="{00000000-0005-0000-0000-000069000000}"/>
    <cellStyle name="Porcentual 15" xfId="89" xr:uid="{00000000-0005-0000-0000-00006A000000}"/>
    <cellStyle name="Porcentual 16" xfId="91" xr:uid="{00000000-0005-0000-0000-00006B000000}"/>
    <cellStyle name="Porcentual 17" xfId="95" xr:uid="{00000000-0005-0000-0000-00006C000000}"/>
    <cellStyle name="Porcentual 18" xfId="98" xr:uid="{00000000-0005-0000-0000-00006D000000}"/>
    <cellStyle name="Porcentual 19" xfId="100" xr:uid="{00000000-0005-0000-0000-00006E000000}"/>
    <cellStyle name="Porcentual 2" xfId="52" xr:uid="{00000000-0005-0000-0000-00006F000000}"/>
    <cellStyle name="Porcentual 20" xfId="109" xr:uid="{00000000-0005-0000-0000-000070000000}"/>
    <cellStyle name="Porcentual 21" xfId="113" xr:uid="{00000000-0005-0000-0000-000071000000}"/>
    <cellStyle name="Porcentual 22" xfId="115" xr:uid="{00000000-0005-0000-0000-000072000000}"/>
    <cellStyle name="Porcentual 23" xfId="117" xr:uid="{00000000-0005-0000-0000-000073000000}"/>
    <cellStyle name="Porcentual 3" xfId="53" xr:uid="{00000000-0005-0000-0000-000074000000}"/>
    <cellStyle name="Porcentual 4" xfId="54" xr:uid="{00000000-0005-0000-0000-000075000000}"/>
    <cellStyle name="Porcentual 5" xfId="55" xr:uid="{00000000-0005-0000-0000-000076000000}"/>
    <cellStyle name="Porcentual 6" xfId="56" xr:uid="{00000000-0005-0000-0000-000077000000}"/>
    <cellStyle name="Porcentual 7" xfId="57" xr:uid="{00000000-0005-0000-0000-000078000000}"/>
    <cellStyle name="Porcentual 8" xfId="58" xr:uid="{00000000-0005-0000-0000-000079000000}"/>
    <cellStyle name="Porcentual 9" xfId="59" xr:uid="{00000000-0005-0000-0000-00007A000000}"/>
    <cellStyle name="Saldos" xfId="60" xr:uid="{00000000-0005-0000-0000-00007B000000}"/>
    <cellStyle name="Salida" xfId="61" builtinId="21" customBuiltin="1"/>
    <cellStyle name="Texto de advertencia" xfId="62" builtinId="11" customBuiltin="1"/>
    <cellStyle name="Texto explicativo" xfId="63" builtinId="53" customBuiltin="1"/>
    <cellStyle name="Título" xfId="64" builtinId="15" customBuiltin="1"/>
    <cellStyle name="Título 2" xfId="66" builtinId="17" customBuiltin="1"/>
    <cellStyle name="Título 3" xfId="67" builtinId="18" customBuiltin="1"/>
    <cellStyle name="Total" xfId="68" builtinId="25" customBuiltin="1"/>
  </cellStyles>
  <dxfs count="2">
    <dxf>
      <font>
        <color rgb="FFCC0000"/>
      </font>
    </dxf>
    <dxf>
      <font>
        <color rgb="FFCC0000"/>
      </font>
    </dxf>
  </dxfs>
  <tableStyles count="0" defaultTableStyle="TableStyleMedium9" defaultPivotStyle="PivotStyleLight16"/>
  <colors>
    <mruColors>
      <color rgb="FF003192"/>
      <color rgb="FF7C3B06"/>
      <color rgb="FF9D4B0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GRAFICAS!$B$8</c:f>
              <c:strCache>
                <c:ptCount val="1"/>
                <c:pt idx="0">
                  <c:v>Presupuesto</c:v>
                </c:pt>
              </c:strCache>
            </c:strRef>
          </c:tx>
          <c:invertIfNegative val="0"/>
          <c:cat>
            <c:strRef>
              <c:f>GRAFICAS!$A$9:$A$11</c:f>
              <c:strCache>
                <c:ptCount val="3"/>
                <c:pt idx="0">
                  <c:v>Servicios Personales</c:v>
                </c:pt>
                <c:pt idx="1">
                  <c:v>Materiales y Suministros</c:v>
                </c:pt>
                <c:pt idx="2">
                  <c:v>Servicios Generales</c:v>
                </c:pt>
              </c:strCache>
            </c:strRef>
          </c:cat>
          <c:val>
            <c:numRef>
              <c:f>GRAFICAS!$B$9:$B$11</c:f>
              <c:numCache>
                <c:formatCode>_(* #,##0_);_(* \(#,##0\);_(* "-"??_);_(@_)</c:formatCode>
                <c:ptCount val="3"/>
                <c:pt idx="0">
                  <c:v>5769256.5786666656</c:v>
                </c:pt>
                <c:pt idx="1">
                  <c:v>265700</c:v>
                </c:pt>
                <c:pt idx="2">
                  <c:v>12373357.158493334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6D-4E2C-8ACE-DEC268082DD7}"/>
            </c:ext>
          </c:extLst>
        </c:ser>
        <c:ser>
          <c:idx val="1"/>
          <c:order val="1"/>
          <c:tx>
            <c:strRef>
              <c:f>GRAFICAS!$C$8</c:f>
              <c:strCache>
                <c:ptCount val="1"/>
                <c:pt idx="0">
                  <c:v>Devengado</c:v>
                </c:pt>
              </c:strCache>
            </c:strRef>
          </c:tx>
          <c:invertIfNegative val="0"/>
          <c:cat>
            <c:strRef>
              <c:f>GRAFICAS!$A$9:$A$11</c:f>
              <c:strCache>
                <c:ptCount val="3"/>
                <c:pt idx="0">
                  <c:v>Servicios Personales</c:v>
                </c:pt>
                <c:pt idx="1">
                  <c:v>Materiales y Suministros</c:v>
                </c:pt>
                <c:pt idx="2">
                  <c:v>Servicios Generales</c:v>
                </c:pt>
              </c:strCache>
            </c:strRef>
          </c:cat>
          <c:val>
            <c:numRef>
              <c:f>GRAFICAS!$C$9:$C$11</c:f>
              <c:numCache>
                <c:formatCode>_(* #,##0_);_(* \(#,##0\);_(* "-"??_);_(@_)</c:formatCode>
                <c:ptCount val="3"/>
                <c:pt idx="0">
                  <c:v>4375817.34</c:v>
                </c:pt>
                <c:pt idx="1">
                  <c:v>80737.680000000008</c:v>
                </c:pt>
                <c:pt idx="2">
                  <c:v>3414512.9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6D-4E2C-8ACE-DEC268082D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542464"/>
        <c:axId val="90544000"/>
      </c:barChart>
      <c:catAx>
        <c:axId val="9054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90544000"/>
        <c:crosses val="autoZero"/>
        <c:auto val="1"/>
        <c:lblAlgn val="ctr"/>
        <c:lblOffset val="100"/>
        <c:noMultiLvlLbl val="0"/>
      </c:catAx>
      <c:valAx>
        <c:axId val="90544000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9054246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3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MX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GRAFICAS!$B$36</c:f>
              <c:strCache>
                <c:ptCount val="1"/>
                <c:pt idx="0">
                  <c:v>Presupuesto</c:v>
                </c:pt>
              </c:strCache>
            </c:strRef>
          </c:tx>
          <c:invertIfNegative val="0"/>
          <c:cat>
            <c:strRef>
              <c:f>GRAFICAS!$A$37:$A$38</c:f>
              <c:strCache>
                <c:ptCount val="2"/>
                <c:pt idx="0">
                  <c:v>Materiales y Suministros</c:v>
                </c:pt>
                <c:pt idx="1">
                  <c:v>Servicios Generales</c:v>
                </c:pt>
              </c:strCache>
            </c:strRef>
          </c:cat>
          <c:val>
            <c:numRef>
              <c:f>GRAFICAS!$B$37:$B$38</c:f>
              <c:numCache>
                <c:formatCode>_(* #,##0_);_(* \(#,##0\);_(* "-"??_);_(@_)</c:formatCode>
                <c:ptCount val="2"/>
                <c:pt idx="0">
                  <c:v>354423.68</c:v>
                </c:pt>
                <c:pt idx="1">
                  <c:v>46744256.868266672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46-44C8-B931-3F07145B2D7A}"/>
            </c:ext>
          </c:extLst>
        </c:ser>
        <c:ser>
          <c:idx val="1"/>
          <c:order val="1"/>
          <c:tx>
            <c:strRef>
              <c:f>GRAFICAS!$C$36</c:f>
              <c:strCache>
                <c:ptCount val="1"/>
                <c:pt idx="0">
                  <c:v>Devengado</c:v>
                </c:pt>
              </c:strCache>
            </c:strRef>
          </c:tx>
          <c:invertIfNegative val="0"/>
          <c:cat>
            <c:strRef>
              <c:f>GRAFICAS!$A$37:$A$38</c:f>
              <c:strCache>
                <c:ptCount val="2"/>
                <c:pt idx="0">
                  <c:v>Materiales y Suministros</c:v>
                </c:pt>
                <c:pt idx="1">
                  <c:v>Servicios Generales</c:v>
                </c:pt>
              </c:strCache>
            </c:strRef>
          </c:cat>
          <c:val>
            <c:numRef>
              <c:f>GRAFICAS!$C$37:$C$38</c:f>
              <c:numCache>
                <c:formatCode>_(* #,##0_);_(* \(#,##0\);_(* "-"??_);_(@_)</c:formatCode>
                <c:ptCount val="2"/>
                <c:pt idx="0">
                  <c:v>117639.26</c:v>
                </c:pt>
                <c:pt idx="1">
                  <c:v>6829267.6600000001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46-44C8-B931-3F07145B2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21280"/>
        <c:axId val="90444544"/>
      </c:barChart>
      <c:catAx>
        <c:axId val="90721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90444544"/>
        <c:crosses val="autoZero"/>
        <c:auto val="1"/>
        <c:lblAlgn val="ctr"/>
        <c:lblOffset val="100"/>
        <c:noMultiLvlLbl val="0"/>
      </c:catAx>
      <c:valAx>
        <c:axId val="90444544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9072128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3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MX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1371600</xdr:colOff>
      <xdr:row>0</xdr:row>
      <xdr:rowOff>0</xdr:rowOff>
    </xdr:from>
    <xdr:to>
      <xdr:col>2</xdr:col>
      <xdr:colOff>323850</xdr:colOff>
      <xdr:row>0</xdr:row>
      <xdr:rowOff>0</xdr:rowOff>
    </xdr:to>
    <xdr:pic>
      <xdr:nvPicPr>
        <xdr:cNvPr id="2131733" name="Picture 1">
          <a:extLst>
            <a:ext uri="{FF2B5EF4-FFF2-40B4-BE49-F238E27FC236}">
              <a16:creationId xmlns:a16="http://schemas.microsoft.com/office/drawing/2014/main" id="{00000000-0008-0000-0200-000015872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95425" y="0"/>
          <a:ext cx="12763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400050</xdr:colOff>
      <xdr:row>70</xdr:row>
      <xdr:rowOff>57150</xdr:rowOff>
    </xdr:from>
    <xdr:to>
      <xdr:col>1</xdr:col>
      <xdr:colOff>3352800</xdr:colOff>
      <xdr:row>73</xdr:row>
      <xdr:rowOff>104775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581025" y="11544300"/>
          <a:ext cx="2952750" cy="5429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100"/>
            <a:t>ING.</a:t>
          </a:r>
          <a:r>
            <a:rPr lang="es-MX" sz="1100" baseline="0"/>
            <a:t> FABIÁN ALEJANDRO SANTANA MÁRQUEZ</a:t>
          </a:r>
          <a:endParaRPr lang="es-MX" sz="1100" b="0" i="0" u="none" strike="noStrike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es-MX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COORDINADOR GENERAL</a:t>
          </a:r>
          <a:endParaRPr lang="es-MX" sz="1100"/>
        </a:p>
      </xdr:txBody>
    </xdr:sp>
    <xdr:clientData/>
  </xdr:twoCellAnchor>
  <xdr:twoCellAnchor>
    <xdr:from>
      <xdr:col>2</xdr:col>
      <xdr:colOff>352424</xdr:colOff>
      <xdr:row>70</xdr:row>
      <xdr:rowOff>38100</xdr:rowOff>
    </xdr:from>
    <xdr:to>
      <xdr:col>3</xdr:col>
      <xdr:colOff>1466849</xdr:colOff>
      <xdr:row>73</xdr:row>
      <xdr:rowOff>85725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 txBox="1"/>
      </xdr:nvSpPr>
      <xdr:spPr>
        <a:xfrm>
          <a:off x="4952999" y="11525250"/>
          <a:ext cx="2952750" cy="5429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100"/>
            <a:t>C.P. BACILIO JAVIER MARRUFO</a:t>
          </a:r>
          <a:r>
            <a:rPr lang="es-MX" sz="1100" baseline="0"/>
            <a:t> PÉREZ</a:t>
          </a:r>
        </a:p>
        <a:p>
          <a:pPr algn="ctr"/>
          <a:r>
            <a:rPr lang="es-MX" sz="1100" baseline="0"/>
            <a:t>JEFE DE UNIDAD DE ADMINISTRACIÓN</a:t>
          </a:r>
          <a:endParaRPr lang="es-MX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57150</xdr:colOff>
          <xdr:row>9</xdr:row>
          <xdr:rowOff>85725</xdr:rowOff>
        </xdr:from>
        <xdr:to>
          <xdr:col>11</xdr:col>
          <xdr:colOff>57150</xdr:colOff>
          <xdr:row>11</xdr:row>
          <xdr:rowOff>133350</xdr:rowOff>
        </xdr:to>
        <xdr:sp macro="" textlink="">
          <xdr:nvSpPr>
            <xdr:cNvPr id="3514369" name="Button 1" hidden="1">
              <a:extLst>
                <a:ext uri="{63B3BB69-23CF-44E3-9099-C40C66FF867C}">
                  <a14:compatExt spid="_x0000_s3514369"/>
                </a:ext>
                <a:ext uri="{FF2B5EF4-FFF2-40B4-BE49-F238E27FC236}">
                  <a16:creationId xmlns:a16="http://schemas.microsoft.com/office/drawing/2014/main" id="{00000000-0008-0000-2500-000001A03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MX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Agregar fila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57150</xdr:colOff>
          <xdr:row>12</xdr:row>
          <xdr:rowOff>142875</xdr:rowOff>
        </xdr:from>
        <xdr:to>
          <xdr:col>11</xdr:col>
          <xdr:colOff>57150</xdr:colOff>
          <xdr:row>14</xdr:row>
          <xdr:rowOff>0</xdr:rowOff>
        </xdr:to>
        <xdr:sp macro="" textlink="">
          <xdr:nvSpPr>
            <xdr:cNvPr id="3514370" name="Button 2" hidden="1">
              <a:extLst>
                <a:ext uri="{63B3BB69-23CF-44E3-9099-C40C66FF867C}">
                  <a14:compatExt spid="_x0000_s3514370"/>
                </a:ext>
                <a:ext uri="{FF2B5EF4-FFF2-40B4-BE49-F238E27FC236}">
                  <a16:creationId xmlns:a16="http://schemas.microsoft.com/office/drawing/2014/main" id="{00000000-0008-0000-2500-000002A03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MX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Borrar fila</a:t>
              </a:r>
            </a:p>
          </xdr:txBody>
        </xdr:sp>
        <xdr:clientData fPrintsWithSheet="0"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19050</xdr:colOff>
      <xdr:row>53</xdr:row>
      <xdr:rowOff>57150</xdr:rowOff>
    </xdr:from>
    <xdr:to>
      <xdr:col>12</xdr:col>
      <xdr:colOff>276226</xdr:colOff>
      <xdr:row>67</xdr:row>
      <xdr:rowOff>9525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9653" t="27868" r="29127" b="23429"/>
        <a:stretch/>
      </xdr:blipFill>
      <xdr:spPr>
        <a:xfrm>
          <a:off x="13239750" y="10496550"/>
          <a:ext cx="5362576" cy="3562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2234921</xdr:colOff>
      <xdr:row>4</xdr:row>
      <xdr:rowOff>12589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234921" cy="88888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19050</xdr:colOff>
      <xdr:row>2</xdr:row>
      <xdr:rowOff>9525</xdr:rowOff>
    </xdr:to>
    <xdr:pic>
      <xdr:nvPicPr>
        <xdr:cNvPr id="2" name="Imagen 1" descr="image1.png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43050" cy="3333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14</xdr:row>
      <xdr:rowOff>47625</xdr:rowOff>
    </xdr:from>
    <xdr:to>
      <xdr:col>2</xdr:col>
      <xdr:colOff>866775</xdr:colOff>
      <xdr:row>31</xdr:row>
      <xdr:rowOff>38100</xdr:rowOff>
    </xdr:to>
    <xdr:graphicFrame macro="">
      <xdr:nvGraphicFramePr>
        <xdr:cNvPr id="2623620" name="10 Gráfico">
          <a:extLst>
            <a:ext uri="{FF2B5EF4-FFF2-40B4-BE49-F238E27FC236}">
              <a16:creationId xmlns:a16="http://schemas.microsoft.com/office/drawing/2014/main" id="{00000000-0008-0000-0400-000084082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95250</xdr:colOff>
      <xdr:row>41</xdr:row>
      <xdr:rowOff>28575</xdr:rowOff>
    </xdr:from>
    <xdr:to>
      <xdr:col>2</xdr:col>
      <xdr:colOff>857250</xdr:colOff>
      <xdr:row>58</xdr:row>
      <xdr:rowOff>19050</xdr:rowOff>
    </xdr:to>
    <xdr:graphicFrame macro="">
      <xdr:nvGraphicFramePr>
        <xdr:cNvPr id="2623621" name="11 Gráfico">
          <a:extLst>
            <a:ext uri="{FF2B5EF4-FFF2-40B4-BE49-F238E27FC236}">
              <a16:creationId xmlns:a16="http://schemas.microsoft.com/office/drawing/2014/main" id="{00000000-0008-0000-0400-000085082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9</xdr:col>
      <xdr:colOff>0</xdr:colOff>
      <xdr:row>4</xdr:row>
      <xdr:rowOff>0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0025"/>
          <a:ext cx="1600200" cy="4762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60</xdr:row>
      <xdr:rowOff>0</xdr:rowOff>
    </xdr:from>
    <xdr:to>
      <xdr:col>9</xdr:col>
      <xdr:colOff>0</xdr:colOff>
      <xdr:row>63</xdr:row>
      <xdr:rowOff>0</xdr:rowOff>
    </xdr:to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067550"/>
          <a:ext cx="1600200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120</xdr:row>
      <xdr:rowOff>0</xdr:rowOff>
    </xdr:from>
    <xdr:to>
      <xdr:col>9</xdr:col>
      <xdr:colOff>0</xdr:colOff>
      <xdr:row>123</xdr:row>
      <xdr:rowOff>0</xdr:rowOff>
    </xdr:to>
    <xdr:pic>
      <xdr:nvPicPr>
        <xdr:cNvPr id="4" name="image3.png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3801725"/>
          <a:ext cx="1600200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180</xdr:row>
      <xdr:rowOff>0</xdr:rowOff>
    </xdr:from>
    <xdr:to>
      <xdr:col>9</xdr:col>
      <xdr:colOff>0</xdr:colOff>
      <xdr:row>183</xdr:row>
      <xdr:rowOff>0</xdr:rowOff>
    </xdr:to>
    <xdr:pic>
      <xdr:nvPicPr>
        <xdr:cNvPr id="5" name="image4.png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0535900"/>
          <a:ext cx="1600200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240</xdr:row>
      <xdr:rowOff>0</xdr:rowOff>
    </xdr:from>
    <xdr:to>
      <xdr:col>9</xdr:col>
      <xdr:colOff>0</xdr:colOff>
      <xdr:row>243</xdr:row>
      <xdr:rowOff>0</xdr:rowOff>
    </xdr:to>
    <xdr:pic>
      <xdr:nvPicPr>
        <xdr:cNvPr id="6" name="image5.png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7279600"/>
          <a:ext cx="1600200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300</xdr:row>
      <xdr:rowOff>0</xdr:rowOff>
    </xdr:from>
    <xdr:to>
      <xdr:col>9</xdr:col>
      <xdr:colOff>0</xdr:colOff>
      <xdr:row>303</xdr:row>
      <xdr:rowOff>0</xdr:rowOff>
    </xdr:to>
    <xdr:pic>
      <xdr:nvPicPr>
        <xdr:cNvPr id="7" name="image6.png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4023300"/>
          <a:ext cx="1600200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360</xdr:row>
      <xdr:rowOff>0</xdr:rowOff>
    </xdr:from>
    <xdr:to>
      <xdr:col>9</xdr:col>
      <xdr:colOff>0</xdr:colOff>
      <xdr:row>363</xdr:row>
      <xdr:rowOff>0</xdr:rowOff>
    </xdr:to>
    <xdr:pic>
      <xdr:nvPicPr>
        <xdr:cNvPr id="8" name="image7.png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0767000"/>
          <a:ext cx="1600200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420</xdr:row>
      <xdr:rowOff>0</xdr:rowOff>
    </xdr:from>
    <xdr:to>
      <xdr:col>9</xdr:col>
      <xdr:colOff>0</xdr:colOff>
      <xdr:row>423</xdr:row>
      <xdr:rowOff>0</xdr:rowOff>
    </xdr:to>
    <xdr:pic>
      <xdr:nvPicPr>
        <xdr:cNvPr id="9" name="image8.png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7501175"/>
          <a:ext cx="1600200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480</xdr:row>
      <xdr:rowOff>0</xdr:rowOff>
    </xdr:from>
    <xdr:to>
      <xdr:col>9</xdr:col>
      <xdr:colOff>0</xdr:colOff>
      <xdr:row>483</xdr:row>
      <xdr:rowOff>0</xdr:rowOff>
    </xdr:to>
    <xdr:pic>
      <xdr:nvPicPr>
        <xdr:cNvPr id="10" name="image9.png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4244875"/>
          <a:ext cx="1600200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539</xdr:row>
      <xdr:rowOff>0</xdr:rowOff>
    </xdr:from>
    <xdr:to>
      <xdr:col>9</xdr:col>
      <xdr:colOff>0</xdr:colOff>
      <xdr:row>542</xdr:row>
      <xdr:rowOff>0</xdr:rowOff>
    </xdr:to>
    <xdr:pic>
      <xdr:nvPicPr>
        <xdr:cNvPr id="11" name="image10.png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0998100"/>
          <a:ext cx="1600200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599</xdr:row>
      <xdr:rowOff>0</xdr:rowOff>
    </xdr:from>
    <xdr:to>
      <xdr:col>9</xdr:col>
      <xdr:colOff>0</xdr:colOff>
      <xdr:row>602</xdr:row>
      <xdr:rowOff>0</xdr:rowOff>
    </xdr:to>
    <xdr:pic>
      <xdr:nvPicPr>
        <xdr:cNvPr id="12" name="image11.png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7751325"/>
          <a:ext cx="1600200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659</xdr:row>
      <xdr:rowOff>0</xdr:rowOff>
    </xdr:from>
    <xdr:to>
      <xdr:col>9</xdr:col>
      <xdr:colOff>0</xdr:colOff>
      <xdr:row>662</xdr:row>
      <xdr:rowOff>0</xdr:rowOff>
    </xdr:to>
    <xdr:pic>
      <xdr:nvPicPr>
        <xdr:cNvPr id="13" name="image12.png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4495025"/>
          <a:ext cx="1600200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719</xdr:row>
      <xdr:rowOff>0</xdr:rowOff>
    </xdr:from>
    <xdr:to>
      <xdr:col>9</xdr:col>
      <xdr:colOff>0</xdr:colOff>
      <xdr:row>722</xdr:row>
      <xdr:rowOff>0</xdr:rowOff>
    </xdr:to>
    <xdr:pic>
      <xdr:nvPicPr>
        <xdr:cNvPr id="14" name="image13.png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1238725"/>
          <a:ext cx="1600200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779</xdr:row>
      <xdr:rowOff>0</xdr:rowOff>
    </xdr:from>
    <xdr:to>
      <xdr:col>9</xdr:col>
      <xdr:colOff>0</xdr:colOff>
      <xdr:row>782</xdr:row>
      <xdr:rowOff>0</xdr:rowOff>
    </xdr:to>
    <xdr:pic>
      <xdr:nvPicPr>
        <xdr:cNvPr id="15" name="image14.png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7972900"/>
          <a:ext cx="1600200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838</xdr:row>
      <xdr:rowOff>0</xdr:rowOff>
    </xdr:from>
    <xdr:to>
      <xdr:col>9</xdr:col>
      <xdr:colOff>0</xdr:colOff>
      <xdr:row>841</xdr:row>
      <xdr:rowOff>0</xdr:rowOff>
    </xdr:to>
    <xdr:pic>
      <xdr:nvPicPr>
        <xdr:cNvPr id="16" name="image15.png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4745175"/>
          <a:ext cx="1600200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898</xdr:row>
      <xdr:rowOff>0</xdr:rowOff>
    </xdr:from>
    <xdr:to>
      <xdr:col>9</xdr:col>
      <xdr:colOff>0</xdr:colOff>
      <xdr:row>901</xdr:row>
      <xdr:rowOff>0</xdr:rowOff>
    </xdr:to>
    <xdr:pic>
      <xdr:nvPicPr>
        <xdr:cNvPr id="17" name="image16.png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1498400"/>
          <a:ext cx="1600200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957</xdr:row>
      <xdr:rowOff>0</xdr:rowOff>
    </xdr:from>
    <xdr:to>
      <xdr:col>9</xdr:col>
      <xdr:colOff>0</xdr:colOff>
      <xdr:row>960</xdr:row>
      <xdr:rowOff>0</xdr:rowOff>
    </xdr:to>
    <xdr:pic>
      <xdr:nvPicPr>
        <xdr:cNvPr id="18" name="image17.png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8270675"/>
          <a:ext cx="1600200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1016</xdr:row>
      <xdr:rowOff>0</xdr:rowOff>
    </xdr:from>
    <xdr:to>
      <xdr:col>9</xdr:col>
      <xdr:colOff>0</xdr:colOff>
      <xdr:row>1019</xdr:row>
      <xdr:rowOff>0</xdr:rowOff>
    </xdr:to>
    <xdr:pic>
      <xdr:nvPicPr>
        <xdr:cNvPr id="19" name="image18.png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5042950"/>
          <a:ext cx="1600200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1075</xdr:row>
      <xdr:rowOff>0</xdr:rowOff>
    </xdr:from>
    <xdr:to>
      <xdr:col>9</xdr:col>
      <xdr:colOff>0</xdr:colOff>
      <xdr:row>1078</xdr:row>
      <xdr:rowOff>0</xdr:rowOff>
    </xdr:to>
    <xdr:pic>
      <xdr:nvPicPr>
        <xdr:cNvPr id="20" name="image19.png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21815225"/>
          <a:ext cx="1600200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1134</xdr:row>
      <xdr:rowOff>0</xdr:rowOff>
    </xdr:from>
    <xdr:to>
      <xdr:col>9</xdr:col>
      <xdr:colOff>0</xdr:colOff>
      <xdr:row>1137</xdr:row>
      <xdr:rowOff>0</xdr:rowOff>
    </xdr:to>
    <xdr:pic>
      <xdr:nvPicPr>
        <xdr:cNvPr id="21" name="image20.png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28568450"/>
          <a:ext cx="1600200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1194</xdr:row>
      <xdr:rowOff>0</xdr:rowOff>
    </xdr:from>
    <xdr:to>
      <xdr:col>9</xdr:col>
      <xdr:colOff>0</xdr:colOff>
      <xdr:row>1197</xdr:row>
      <xdr:rowOff>0</xdr:rowOff>
    </xdr:to>
    <xdr:pic>
      <xdr:nvPicPr>
        <xdr:cNvPr id="22" name="image21.png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35321675"/>
          <a:ext cx="1600200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1254</xdr:row>
      <xdr:rowOff>0</xdr:rowOff>
    </xdr:from>
    <xdr:to>
      <xdr:col>9</xdr:col>
      <xdr:colOff>0</xdr:colOff>
      <xdr:row>1257</xdr:row>
      <xdr:rowOff>0</xdr:rowOff>
    </xdr:to>
    <xdr:pic>
      <xdr:nvPicPr>
        <xdr:cNvPr id="23" name="image22.png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42065375"/>
          <a:ext cx="1600200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1314</xdr:row>
      <xdr:rowOff>0</xdr:rowOff>
    </xdr:from>
    <xdr:to>
      <xdr:col>9</xdr:col>
      <xdr:colOff>0</xdr:colOff>
      <xdr:row>1317</xdr:row>
      <xdr:rowOff>0</xdr:rowOff>
    </xdr:to>
    <xdr:pic>
      <xdr:nvPicPr>
        <xdr:cNvPr id="24" name="image23.png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48828125"/>
          <a:ext cx="1600200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1374</xdr:row>
      <xdr:rowOff>0</xdr:rowOff>
    </xdr:from>
    <xdr:to>
      <xdr:col>9</xdr:col>
      <xdr:colOff>0</xdr:colOff>
      <xdr:row>1377</xdr:row>
      <xdr:rowOff>0</xdr:rowOff>
    </xdr:to>
    <xdr:pic>
      <xdr:nvPicPr>
        <xdr:cNvPr id="25" name="image24.png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55571825"/>
          <a:ext cx="1600200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1434</xdr:row>
      <xdr:rowOff>0</xdr:rowOff>
    </xdr:from>
    <xdr:to>
      <xdr:col>9</xdr:col>
      <xdr:colOff>0</xdr:colOff>
      <xdr:row>1437</xdr:row>
      <xdr:rowOff>0</xdr:rowOff>
    </xdr:to>
    <xdr:pic>
      <xdr:nvPicPr>
        <xdr:cNvPr id="26" name="image25.png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62325050"/>
          <a:ext cx="1600200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1494</xdr:row>
      <xdr:rowOff>0</xdr:rowOff>
    </xdr:from>
    <xdr:to>
      <xdr:col>9</xdr:col>
      <xdr:colOff>0</xdr:colOff>
      <xdr:row>1497</xdr:row>
      <xdr:rowOff>0</xdr:rowOff>
    </xdr:to>
    <xdr:pic>
      <xdr:nvPicPr>
        <xdr:cNvPr id="27" name="image26.png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69068750"/>
          <a:ext cx="1600200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1554</xdr:row>
      <xdr:rowOff>0</xdr:rowOff>
    </xdr:from>
    <xdr:to>
      <xdr:col>9</xdr:col>
      <xdr:colOff>0</xdr:colOff>
      <xdr:row>1557</xdr:row>
      <xdr:rowOff>0</xdr:rowOff>
    </xdr:to>
    <xdr:pic>
      <xdr:nvPicPr>
        <xdr:cNvPr id="28" name="image27.png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75821975"/>
          <a:ext cx="1600200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1614</xdr:row>
      <xdr:rowOff>0</xdr:rowOff>
    </xdr:from>
    <xdr:to>
      <xdr:col>9</xdr:col>
      <xdr:colOff>0</xdr:colOff>
      <xdr:row>1617</xdr:row>
      <xdr:rowOff>0</xdr:rowOff>
    </xdr:to>
    <xdr:pic>
      <xdr:nvPicPr>
        <xdr:cNvPr id="29" name="image28.png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82565675"/>
          <a:ext cx="1600200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1674</xdr:row>
      <xdr:rowOff>0</xdr:rowOff>
    </xdr:from>
    <xdr:to>
      <xdr:col>9</xdr:col>
      <xdr:colOff>0</xdr:colOff>
      <xdr:row>1677</xdr:row>
      <xdr:rowOff>0</xdr:rowOff>
    </xdr:to>
    <xdr:pic>
      <xdr:nvPicPr>
        <xdr:cNvPr id="30" name="image29.png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89318900"/>
          <a:ext cx="1600200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1734</xdr:row>
      <xdr:rowOff>0</xdr:rowOff>
    </xdr:from>
    <xdr:to>
      <xdr:col>9</xdr:col>
      <xdr:colOff>0</xdr:colOff>
      <xdr:row>1737</xdr:row>
      <xdr:rowOff>0</xdr:rowOff>
    </xdr:to>
    <xdr:pic>
      <xdr:nvPicPr>
        <xdr:cNvPr id="31" name="image30.png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96072125"/>
          <a:ext cx="1600200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1794</xdr:row>
      <xdr:rowOff>0</xdr:rowOff>
    </xdr:from>
    <xdr:to>
      <xdr:col>9</xdr:col>
      <xdr:colOff>0</xdr:colOff>
      <xdr:row>1797</xdr:row>
      <xdr:rowOff>0</xdr:rowOff>
    </xdr:to>
    <xdr:pic>
      <xdr:nvPicPr>
        <xdr:cNvPr id="32" name="image31.png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02825350"/>
          <a:ext cx="1600200" cy="3429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647701</xdr:colOff>
      <xdr:row>69</xdr:row>
      <xdr:rowOff>0</xdr:rowOff>
    </xdr:from>
    <xdr:to>
      <xdr:col>2</xdr:col>
      <xdr:colOff>933451</xdr:colOff>
      <xdr:row>72</xdr:row>
      <xdr:rowOff>57150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866776" y="12058650"/>
          <a:ext cx="2952750" cy="5429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100"/>
            <a:t>ING.</a:t>
          </a:r>
          <a:r>
            <a:rPr lang="es-MX" sz="1100" baseline="0"/>
            <a:t> FABIÁN ALEJANDRO SANTANA MÁRQUEZ</a:t>
          </a:r>
          <a:endParaRPr lang="es-MX" sz="1100" b="0" i="0" u="none" strike="noStrike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es-MX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COORDINADOR GENERAL</a:t>
          </a:r>
          <a:endParaRPr lang="es-MX" sz="1100"/>
        </a:p>
      </xdr:txBody>
    </xdr:sp>
    <xdr:clientData/>
  </xdr:twoCellAnchor>
  <xdr:twoCellAnchor>
    <xdr:from>
      <xdr:col>3</xdr:col>
      <xdr:colOff>447675</xdr:colOff>
      <xdr:row>68</xdr:row>
      <xdr:rowOff>142875</xdr:rowOff>
    </xdr:from>
    <xdr:to>
      <xdr:col>5</xdr:col>
      <xdr:colOff>342900</xdr:colOff>
      <xdr:row>72</xdr:row>
      <xdr:rowOff>38100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 txBox="1"/>
      </xdr:nvSpPr>
      <xdr:spPr>
        <a:xfrm>
          <a:off x="5238750" y="12039600"/>
          <a:ext cx="2952750" cy="5429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100"/>
            <a:t>C.P. BACILIO JAVIER MARRUFO</a:t>
          </a:r>
          <a:r>
            <a:rPr lang="es-MX" sz="1100" baseline="0"/>
            <a:t> PÉREZ</a:t>
          </a:r>
        </a:p>
        <a:p>
          <a:pPr algn="ctr"/>
          <a:r>
            <a:rPr lang="es-MX" sz="1100" baseline="0"/>
            <a:t>JEFE DE UNIDAD DE ADMINISTRACIÓN</a:t>
          </a:r>
          <a:endParaRPr lang="es-MX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742950</xdr:colOff>
      <xdr:row>55</xdr:row>
      <xdr:rowOff>57150</xdr:rowOff>
    </xdr:from>
    <xdr:to>
      <xdr:col>3</xdr:col>
      <xdr:colOff>171450</xdr:colOff>
      <xdr:row>58</xdr:row>
      <xdr:rowOff>28575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23925" y="12325350"/>
          <a:ext cx="2952750" cy="5429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100"/>
            <a:t>ING.</a:t>
          </a:r>
          <a:r>
            <a:rPr lang="es-MX" sz="1100" baseline="0"/>
            <a:t> FABIÁN ALEJANDRO SANTANA MÁRQUEZ</a:t>
          </a:r>
          <a:endParaRPr lang="es-MX" sz="1100" b="0" i="0" u="none" strike="noStrike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es-MX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COORDINADOR GENERAL</a:t>
          </a:r>
          <a:endParaRPr lang="es-MX" sz="1100"/>
        </a:p>
      </xdr:txBody>
    </xdr:sp>
    <xdr:clientData/>
  </xdr:twoCellAnchor>
  <xdr:twoCellAnchor>
    <xdr:from>
      <xdr:col>5</xdr:col>
      <xdr:colOff>85724</xdr:colOff>
      <xdr:row>55</xdr:row>
      <xdr:rowOff>38100</xdr:rowOff>
    </xdr:from>
    <xdr:to>
      <xdr:col>6</xdr:col>
      <xdr:colOff>695324</xdr:colOff>
      <xdr:row>58</xdr:row>
      <xdr:rowOff>9525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/>
      </xdr:nvSpPr>
      <xdr:spPr>
        <a:xfrm>
          <a:off x="5295899" y="12306300"/>
          <a:ext cx="2952750" cy="5429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100"/>
            <a:t>C.P. BACILIO JAVIER MARRUFO</a:t>
          </a:r>
          <a:r>
            <a:rPr lang="es-MX" sz="1100" baseline="0"/>
            <a:t> PÉREZ</a:t>
          </a:r>
        </a:p>
        <a:p>
          <a:pPr algn="ctr"/>
          <a:r>
            <a:rPr lang="es-MX" sz="1100" baseline="0"/>
            <a:t>JEFE DE UNIDAD DE ADMINISTRACIÓN</a:t>
          </a:r>
          <a:endParaRPr lang="es-MX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64</xdr:row>
      <xdr:rowOff>9525</xdr:rowOff>
    </xdr:from>
    <xdr:to>
      <xdr:col>1</xdr:col>
      <xdr:colOff>2809875</xdr:colOff>
      <xdr:row>67</xdr:row>
      <xdr:rowOff>66675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161925" y="9896475"/>
          <a:ext cx="2952750" cy="5429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100"/>
            <a:t>ING.</a:t>
          </a:r>
          <a:r>
            <a:rPr lang="es-MX" sz="1100" baseline="0"/>
            <a:t> FABIÁN ALEJANDRO SANTANA MÁRQUEZ</a:t>
          </a:r>
          <a:endParaRPr lang="es-MX" sz="1100" b="0" i="0" u="none" strike="noStrike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es-MX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COORDINADOR GENERAL</a:t>
          </a:r>
          <a:endParaRPr lang="es-MX" sz="1100"/>
        </a:p>
      </xdr:txBody>
    </xdr:sp>
    <xdr:clientData/>
  </xdr:twoCellAnchor>
  <xdr:twoCellAnchor>
    <xdr:from>
      <xdr:col>1</xdr:col>
      <xdr:colOff>4229099</xdr:colOff>
      <xdr:row>63</xdr:row>
      <xdr:rowOff>152400</xdr:rowOff>
    </xdr:from>
    <xdr:to>
      <xdr:col>5</xdr:col>
      <xdr:colOff>19049</xdr:colOff>
      <xdr:row>67</xdr:row>
      <xdr:rowOff>47625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 txBox="1"/>
      </xdr:nvSpPr>
      <xdr:spPr>
        <a:xfrm>
          <a:off x="4533899" y="9877425"/>
          <a:ext cx="2952750" cy="5429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100"/>
            <a:t>C.P. BACILIO JAVIER MARRUFO</a:t>
          </a:r>
          <a:r>
            <a:rPr lang="es-MX" sz="1100" baseline="0"/>
            <a:t> PÉREZ</a:t>
          </a:r>
        </a:p>
        <a:p>
          <a:pPr algn="ctr"/>
          <a:r>
            <a:rPr lang="es-MX" sz="1100" baseline="0"/>
            <a:t>JEFE DE UNIDAD DE ADMINISTRACIÓN</a:t>
          </a:r>
          <a:endParaRPr lang="es-MX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34</xdr:row>
      <xdr:rowOff>19050</xdr:rowOff>
    </xdr:from>
    <xdr:to>
      <xdr:col>2</xdr:col>
      <xdr:colOff>104775</xdr:colOff>
      <xdr:row>37</xdr:row>
      <xdr:rowOff>104775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85725" y="5848350"/>
          <a:ext cx="2952750" cy="5429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100"/>
            <a:t>ING.</a:t>
          </a:r>
          <a:r>
            <a:rPr lang="es-MX" sz="1100" baseline="0"/>
            <a:t> FABIÁN ALEJANDRO SANTANA MÁRQUEZ</a:t>
          </a:r>
          <a:endParaRPr lang="es-MX" sz="1100" b="0" i="0" u="none" strike="noStrike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es-MX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COORDINADOR GENERAL</a:t>
          </a:r>
          <a:endParaRPr lang="es-MX" sz="1100"/>
        </a:p>
      </xdr:txBody>
    </xdr:sp>
    <xdr:clientData/>
  </xdr:twoCellAnchor>
  <xdr:twoCellAnchor>
    <xdr:from>
      <xdr:col>3</xdr:col>
      <xdr:colOff>742949</xdr:colOff>
      <xdr:row>34</xdr:row>
      <xdr:rowOff>0</xdr:rowOff>
    </xdr:from>
    <xdr:to>
      <xdr:col>7</xdr:col>
      <xdr:colOff>466724</xdr:colOff>
      <xdr:row>37</xdr:row>
      <xdr:rowOff>85725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 txBox="1"/>
      </xdr:nvSpPr>
      <xdr:spPr>
        <a:xfrm>
          <a:off x="4457699" y="5829300"/>
          <a:ext cx="2952750" cy="5429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100"/>
            <a:t>C.P. BACILIO JAVIER MARRUFO</a:t>
          </a:r>
          <a:r>
            <a:rPr lang="es-MX" sz="1100" baseline="0"/>
            <a:t> PÉREZ</a:t>
          </a:r>
        </a:p>
        <a:p>
          <a:pPr algn="ctr"/>
          <a:r>
            <a:rPr lang="es-MX" sz="1100" baseline="0"/>
            <a:t>JEFE DE UNIDAD DE ADMINISTRACIÓN</a:t>
          </a:r>
          <a:endParaRPr lang="es-MX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40</xdr:row>
      <xdr:rowOff>142875</xdr:rowOff>
    </xdr:from>
    <xdr:to>
      <xdr:col>2</xdr:col>
      <xdr:colOff>504825</xdr:colOff>
      <xdr:row>43</xdr:row>
      <xdr:rowOff>114300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381000" y="7877175"/>
          <a:ext cx="2952750" cy="5429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100"/>
            <a:t>ING.</a:t>
          </a:r>
          <a:r>
            <a:rPr lang="es-MX" sz="1100" baseline="0"/>
            <a:t> FABIÁN ALEJANDRO SANTANA MÁRQUEZ</a:t>
          </a:r>
          <a:endParaRPr lang="es-MX" sz="1100" b="0" i="0" u="none" strike="noStrike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es-MX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COORDINADOR GENERAL</a:t>
          </a:r>
          <a:endParaRPr lang="es-MX" sz="1100"/>
        </a:p>
      </xdr:txBody>
    </xdr:sp>
    <xdr:clientData/>
  </xdr:twoCellAnchor>
  <xdr:twoCellAnchor>
    <xdr:from>
      <xdr:col>3</xdr:col>
      <xdr:colOff>333374</xdr:colOff>
      <xdr:row>40</xdr:row>
      <xdr:rowOff>123825</xdr:rowOff>
    </xdr:from>
    <xdr:to>
      <xdr:col>5</xdr:col>
      <xdr:colOff>790574</xdr:colOff>
      <xdr:row>43</xdr:row>
      <xdr:rowOff>95250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 txBox="1"/>
      </xdr:nvSpPr>
      <xdr:spPr>
        <a:xfrm>
          <a:off x="4752974" y="7858125"/>
          <a:ext cx="2952750" cy="5429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100"/>
            <a:t>C.P. BACILIO JAVIER MARRUFO</a:t>
          </a:r>
          <a:r>
            <a:rPr lang="es-MX" sz="1100" baseline="0"/>
            <a:t> PÉREZ</a:t>
          </a:r>
        </a:p>
        <a:p>
          <a:pPr algn="ctr"/>
          <a:r>
            <a:rPr lang="es-MX" sz="1100" baseline="0"/>
            <a:t>JEFE DE UNIDAD DE ADMINISTRACIÓN</a:t>
          </a:r>
          <a:endParaRPr lang="es-MX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2767263</xdr:colOff>
      <xdr:row>44</xdr:row>
      <xdr:rowOff>79207</xdr:rowOff>
    </xdr:from>
    <xdr:to>
      <xdr:col>3</xdr:col>
      <xdr:colOff>666750</xdr:colOff>
      <xdr:row>47</xdr:row>
      <xdr:rowOff>50632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2947737" y="9453812"/>
          <a:ext cx="2952750" cy="5429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100"/>
            <a:t>ING.</a:t>
          </a:r>
          <a:r>
            <a:rPr lang="es-MX" sz="1100" baseline="0"/>
            <a:t> FABIÁN ALEJANDRO SANTANA MÁRQUEZ</a:t>
          </a:r>
          <a:endParaRPr lang="es-MX" sz="1100" b="0" i="0" u="none" strike="noStrike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es-MX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COORDINADOR GENERAL</a:t>
          </a:r>
          <a:endParaRPr lang="es-MX" sz="1100"/>
        </a:p>
      </xdr:txBody>
    </xdr:sp>
    <xdr:clientData/>
  </xdr:twoCellAnchor>
  <xdr:twoCellAnchor>
    <xdr:from>
      <xdr:col>4</xdr:col>
      <xdr:colOff>170948</xdr:colOff>
      <xdr:row>44</xdr:row>
      <xdr:rowOff>60157</xdr:rowOff>
    </xdr:from>
    <xdr:to>
      <xdr:col>5</xdr:col>
      <xdr:colOff>1208672</xdr:colOff>
      <xdr:row>47</xdr:row>
      <xdr:rowOff>31582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 txBox="1"/>
      </xdr:nvSpPr>
      <xdr:spPr>
        <a:xfrm>
          <a:off x="7319711" y="9434762"/>
          <a:ext cx="2952750" cy="5429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100"/>
            <a:t>C.P. BACILIO JAVIER MARRUFO</a:t>
          </a:r>
          <a:r>
            <a:rPr lang="es-MX" sz="1100" baseline="0"/>
            <a:t> PÉREZ</a:t>
          </a:r>
        </a:p>
        <a:p>
          <a:pPr algn="ctr"/>
          <a:r>
            <a:rPr lang="es-MX" sz="1100" baseline="0"/>
            <a:t>JEFE DE UNIDAD DE ADMINISTRACIÓN</a:t>
          </a:r>
          <a:endParaRPr lang="es-MX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avier.marrufo/Documents/IRC%20TRIMESTRAL/2020/Formatos%20SIF%202do%202020%20Prueba/16_Anal&#237;tico%20del%20Ejercicio%20del%20Presupuesto%20de%20Egresos-Clasificaci&#243;n%20Administrativa%20por%20Dependenci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EPE_CA_DEP"/>
      <sheetName val="16_Analítico del Ejercicio del "/>
    </sheetNames>
    <definedNames>
      <definedName name="Agregar_fila"/>
      <definedName name="Borrar_fila"/>
    </defined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9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4.vml"/><Relationship Id="rId1" Type="http://schemas.openxmlformats.org/officeDocument/2006/relationships/hyperlink" Target="../../../Datos%20de%20programa/Microsoft/Promotora%202005/PROMOTORA%202005/ADQ.%20TERRENOS%20ANAHUAC%20AL%202005.xls" TargetMode="Externa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7.bin"/><Relationship Id="rId4" Type="http://schemas.openxmlformats.org/officeDocument/2006/relationships/comments" Target="../comments4.xml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F62"/>
  <sheetViews>
    <sheetView tabSelected="1" workbookViewId="0">
      <selection activeCell="B12" sqref="B12"/>
    </sheetView>
  </sheetViews>
  <sheetFormatPr baseColWidth="10" defaultRowHeight="12.75"/>
  <cols>
    <col min="1" max="1" width="48.42578125" customWidth="1"/>
    <col min="2" max="2" width="16.28515625" style="57" customWidth="1"/>
    <col min="3" max="3" width="3.7109375" style="57" customWidth="1"/>
    <col min="4" max="4" width="48.42578125" style="6" customWidth="1"/>
    <col min="5" max="5" width="16.85546875" style="6" customWidth="1"/>
    <col min="6" max="6" width="13.7109375" bestFit="1" customWidth="1"/>
  </cols>
  <sheetData>
    <row r="1" spans="1:5">
      <c r="A1" s="8"/>
      <c r="B1" s="11"/>
      <c r="C1" s="11"/>
      <c r="D1" s="11"/>
    </row>
    <row r="2" spans="1:5">
      <c r="A2" s="8"/>
      <c r="B2" s="11"/>
      <c r="C2" s="11"/>
      <c r="D2" s="11"/>
    </row>
    <row r="3" spans="1:5" ht="15.75">
      <c r="A3" s="1553" t="s">
        <v>2992</v>
      </c>
      <c r="B3" s="1553"/>
      <c r="C3" s="1553"/>
      <c r="D3" s="1553"/>
      <c r="E3" s="1553"/>
    </row>
    <row r="4" spans="1:5" ht="15">
      <c r="A4" s="1552" t="s">
        <v>1008</v>
      </c>
      <c r="B4" s="1552"/>
      <c r="C4" s="1552"/>
      <c r="D4" s="1552"/>
      <c r="E4" s="1552"/>
    </row>
    <row r="5" spans="1:5" ht="15">
      <c r="A5" s="1552" t="s">
        <v>6753</v>
      </c>
      <c r="B5" s="1552"/>
      <c r="C5" s="1552"/>
      <c r="D5" s="1552"/>
      <c r="E5" s="1552"/>
    </row>
    <row r="6" spans="1:5">
      <c r="B6" s="58"/>
      <c r="C6" s="58"/>
      <c r="D6" s="58"/>
    </row>
    <row r="7" spans="1:5">
      <c r="A7" s="592"/>
      <c r="B7" s="593"/>
      <c r="C7" s="593"/>
      <c r="D7" s="593"/>
      <c r="E7" s="594"/>
    </row>
    <row r="8" spans="1:5" s="104" customFormat="1">
      <c r="B8" s="105"/>
      <c r="C8" s="105"/>
      <c r="D8" s="105"/>
      <c r="E8" s="122"/>
    </row>
    <row r="9" spans="1:5" ht="16.5" customHeight="1">
      <c r="A9" s="103" t="s">
        <v>81</v>
      </c>
      <c r="B9" s="6"/>
      <c r="C9" s="6"/>
      <c r="D9" s="103" t="s">
        <v>82</v>
      </c>
    </row>
    <row r="10" spans="1:5" ht="16.5" customHeight="1">
      <c r="B10" s="6"/>
      <c r="C10" s="6"/>
      <c r="D10"/>
    </row>
    <row r="11" spans="1:5" s="2" customFormat="1" ht="16.5" customHeight="1">
      <c r="A11" s="2" t="s">
        <v>68</v>
      </c>
      <c r="B11" s="9"/>
      <c r="C11" s="9"/>
      <c r="D11" s="2" t="s">
        <v>68</v>
      </c>
      <c r="E11" s="9"/>
    </row>
    <row r="12" spans="1:5" ht="16.5" customHeight="1">
      <c r="A12" s="73" t="s">
        <v>187</v>
      </c>
      <c r="B12" s="57">
        <v>11000</v>
      </c>
      <c r="D12" s="73"/>
    </row>
    <row r="13" spans="1:5" ht="16.5" customHeight="1">
      <c r="A13" t="s">
        <v>83</v>
      </c>
      <c r="B13" s="57">
        <v>12780838.359999999</v>
      </c>
      <c r="D13" s="73"/>
    </row>
    <row r="14" spans="1:5" ht="16.5" customHeight="1">
      <c r="A14" t="s">
        <v>76</v>
      </c>
      <c r="B14" s="57">
        <v>171876012.13</v>
      </c>
      <c r="D14" s="73" t="s">
        <v>201</v>
      </c>
      <c r="E14" s="6">
        <v>1560882.94</v>
      </c>
    </row>
    <row r="15" spans="1:5" ht="16.5" customHeight="1">
      <c r="A15" s="73" t="s">
        <v>188</v>
      </c>
      <c r="B15" s="57">
        <v>9771171.2899999991</v>
      </c>
      <c r="D15" s="73" t="s">
        <v>202</v>
      </c>
      <c r="E15" s="6">
        <v>103445.73</v>
      </c>
    </row>
    <row r="16" spans="1:5" ht="16.5" customHeight="1">
      <c r="A16" s="73" t="s">
        <v>189</v>
      </c>
      <c r="B16" s="87">
        <v>24997.27</v>
      </c>
      <c r="C16" s="87"/>
      <c r="D16" s="73" t="s">
        <v>210</v>
      </c>
      <c r="E16" s="6">
        <v>0</v>
      </c>
    </row>
    <row r="17" spans="1:6" ht="16.5" customHeight="1">
      <c r="A17" s="73" t="s">
        <v>212</v>
      </c>
      <c r="B17" s="87">
        <v>8551162.3599999994</v>
      </c>
      <c r="C17" s="87"/>
      <c r="D17" s="73" t="s">
        <v>214</v>
      </c>
      <c r="E17" s="6">
        <v>11210.76</v>
      </c>
    </row>
    <row r="18" spans="1:6" ht="16.5" customHeight="1">
      <c r="A18" s="73" t="s">
        <v>213</v>
      </c>
      <c r="B18" s="87">
        <v>0</v>
      </c>
      <c r="C18" s="87"/>
      <c r="D18" s="73"/>
    </row>
    <row r="19" spans="1:6" ht="16.5" customHeight="1">
      <c r="A19" t="s">
        <v>6</v>
      </c>
      <c r="B19" s="13">
        <v>8604.6</v>
      </c>
      <c r="C19" s="6"/>
      <c r="D19" s="2" t="s">
        <v>66</v>
      </c>
      <c r="E19" s="9">
        <f>SUM(E12:E18)</f>
        <v>1675539.43</v>
      </c>
    </row>
    <row r="20" spans="1:6" ht="17.25" customHeight="1">
      <c r="A20" s="73" t="s">
        <v>190</v>
      </c>
      <c r="B20" s="57">
        <v>128109.72</v>
      </c>
    </row>
    <row r="21" spans="1:6" ht="17.25" customHeight="1">
      <c r="A21" s="73" t="s">
        <v>6487</v>
      </c>
      <c r="B21" s="57">
        <v>648670.99</v>
      </c>
    </row>
    <row r="22" spans="1:6" ht="16.5" customHeight="1">
      <c r="A22" s="73" t="s">
        <v>191</v>
      </c>
      <c r="B22" s="57">
        <f>157809.14+5294</f>
        <v>163103.14000000001</v>
      </c>
      <c r="D22" s="2" t="s">
        <v>89</v>
      </c>
      <c r="E22" s="9">
        <f>+E27+E19</f>
        <v>1675539.43</v>
      </c>
    </row>
    <row r="23" spans="1:6" ht="16.5" customHeight="1">
      <c r="F23" s="45"/>
    </row>
    <row r="24" spans="1:6" ht="16.5" customHeight="1">
      <c r="D24" s="9"/>
      <c r="E24" s="57"/>
      <c r="F24" s="45"/>
    </row>
    <row r="25" spans="1:6" s="2" customFormat="1" ht="16.5" customHeight="1">
      <c r="A25" s="2" t="s">
        <v>66</v>
      </c>
      <c r="B25" s="44">
        <f>SUM(B12:B24)</f>
        <v>203963669.86000001</v>
      </c>
      <c r="D25" s="6"/>
      <c r="E25" s="6"/>
      <c r="F25" s="46"/>
    </row>
    <row r="26" spans="1:6" ht="16.5" customHeight="1">
      <c r="E26" s="9"/>
      <c r="F26" s="45"/>
    </row>
    <row r="27" spans="1:6" s="2" customFormat="1" ht="16.5" customHeight="1">
      <c r="A27" s="2" t="s">
        <v>69</v>
      </c>
      <c r="E27" s="9"/>
      <c r="F27" s="45"/>
    </row>
    <row r="28" spans="1:6" ht="16.5" customHeight="1">
      <c r="A28" s="73" t="s">
        <v>192</v>
      </c>
      <c r="B28" s="826">
        <v>1758830</v>
      </c>
    </row>
    <row r="29" spans="1:6" ht="16.5" customHeight="1">
      <c r="A29" s="73" t="s">
        <v>193</v>
      </c>
      <c r="B29" s="57">
        <v>0</v>
      </c>
    </row>
    <row r="30" spans="1:6" ht="16.5" customHeight="1">
      <c r="A30" s="73" t="s">
        <v>194</v>
      </c>
      <c r="B30" s="57">
        <v>769326796.46000004</v>
      </c>
    </row>
    <row r="31" spans="1:6" ht="16.5" customHeight="1">
      <c r="A31" s="73" t="s">
        <v>195</v>
      </c>
      <c r="B31" s="57">
        <v>95294994.420000002</v>
      </c>
      <c r="E31" s="57"/>
    </row>
    <row r="32" spans="1:6" ht="16.5" customHeight="1">
      <c r="A32" s="73" t="s">
        <v>2881</v>
      </c>
      <c r="B32" s="57">
        <v>115675860.2</v>
      </c>
      <c r="E32" s="57"/>
    </row>
    <row r="33" spans="1:6" ht="16.5" customHeight="1">
      <c r="A33" s="73" t="s">
        <v>196</v>
      </c>
      <c r="B33" s="57">
        <v>3613906.97</v>
      </c>
    </row>
    <row r="34" spans="1:6" ht="16.5" customHeight="1">
      <c r="A34" s="73" t="s">
        <v>84</v>
      </c>
      <c r="B34" s="57">
        <v>4309336.95</v>
      </c>
      <c r="D34" s="103" t="s">
        <v>103</v>
      </c>
      <c r="E34" s="9"/>
    </row>
    <row r="35" spans="1:6" ht="16.5" customHeight="1">
      <c r="A35" s="73" t="s">
        <v>197</v>
      </c>
      <c r="B35" s="57">
        <v>4394997.5199999996</v>
      </c>
      <c r="D35"/>
    </row>
    <row r="36" spans="1:6" ht="16.5" customHeight="1">
      <c r="A36" s="73" t="s">
        <v>198</v>
      </c>
      <c r="B36" s="57">
        <v>8744971.7599999998</v>
      </c>
      <c r="D36" t="s">
        <v>85</v>
      </c>
      <c r="E36" s="6">
        <f>278482908.9+20576226.51</f>
        <v>299059135.40999997</v>
      </c>
    </row>
    <row r="37" spans="1:6" ht="16.5" customHeight="1">
      <c r="A37" s="73" t="s">
        <v>199</v>
      </c>
      <c r="B37" s="57">
        <v>-29252902.489999998</v>
      </c>
      <c r="D37" t="s">
        <v>70</v>
      </c>
      <c r="E37" s="6">
        <v>855388979.28999996</v>
      </c>
    </row>
    <row r="38" spans="1:6" ht="16.5" customHeight="1">
      <c r="A38" s="73" t="s">
        <v>200</v>
      </c>
      <c r="B38" s="57">
        <v>-7726963.3099999996</v>
      </c>
      <c r="D38" t="s">
        <v>232</v>
      </c>
      <c r="E38" s="6">
        <v>13979844.210000001</v>
      </c>
    </row>
    <row r="39" spans="1:6" ht="16.5" customHeight="1">
      <c r="D39"/>
    </row>
    <row r="40" spans="1:6" s="2" customFormat="1" ht="16.5" customHeight="1">
      <c r="A40" s="2" t="s">
        <v>67</v>
      </c>
      <c r="B40" s="44">
        <f>SUM(B28:B39)</f>
        <v>966139828.48000014</v>
      </c>
      <c r="D40" s="2" t="s">
        <v>104</v>
      </c>
      <c r="E40" s="9">
        <f>SUM(E36:E39)</f>
        <v>1168427958.9099998</v>
      </c>
    </row>
    <row r="41" spans="1:6" ht="16.5" customHeight="1">
      <c r="B41" s="6"/>
      <c r="C41" s="6"/>
    </row>
    <row r="42" spans="1:6" ht="13.5" thickBot="1">
      <c r="B42" s="6"/>
      <c r="C42" s="6"/>
      <c r="F42" s="45"/>
    </row>
    <row r="43" spans="1:6" s="70" customFormat="1" ht="15.75" thickBot="1">
      <c r="A43" s="101" t="s">
        <v>86</v>
      </c>
      <c r="B43" s="102">
        <f>+B40+B25</f>
        <v>1170103498.3400002</v>
      </c>
      <c r="C43" s="88"/>
      <c r="D43" s="101" t="s">
        <v>105</v>
      </c>
      <c r="E43" s="102">
        <f>+E40+E22</f>
        <v>1170103498.3399999</v>
      </c>
      <c r="F43" s="69"/>
    </row>
    <row r="44" spans="1:6">
      <c r="B44" s="6"/>
      <c r="C44" s="6"/>
      <c r="F44" s="45"/>
    </row>
    <row r="45" spans="1:6">
      <c r="F45" s="45"/>
    </row>
    <row r="46" spans="1:6">
      <c r="D46" s="10"/>
      <c r="E46" s="568"/>
      <c r="F46" s="45"/>
    </row>
    <row r="50" spans="2:6">
      <c r="B50" s="567"/>
    </row>
    <row r="51" spans="2:6">
      <c r="F51" s="45"/>
    </row>
    <row r="52" spans="2:6" s="2" customFormat="1">
      <c r="E52" s="6"/>
      <c r="F52" s="46"/>
    </row>
    <row r="60" spans="2:6" s="2" customFormat="1">
      <c r="E60" s="6"/>
    </row>
    <row r="62" spans="2:6" s="70" customFormat="1" ht="15">
      <c r="E62" s="123"/>
    </row>
  </sheetData>
  <mergeCells count="3">
    <mergeCell ref="A4:E4"/>
    <mergeCell ref="A3:E3"/>
    <mergeCell ref="A5:E5"/>
  </mergeCells>
  <phoneticPr fontId="0" type="noConversion"/>
  <pageMargins left="0.84" right="0.47" top="1.07" bottom="0.27559055118110237" header="0" footer="0"/>
  <pageSetup scale="6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>
    <pageSetUpPr fitToPage="1"/>
  </sheetPr>
  <dimension ref="A1:AF251"/>
  <sheetViews>
    <sheetView zoomScale="80" zoomScaleNormal="80" workbookViewId="0">
      <pane xSplit="3" ySplit="8" topLeftCell="D179" activePane="bottomRight" state="frozen"/>
      <selection pane="topRight" activeCell="D1" sqref="D1"/>
      <selection pane="bottomLeft" activeCell="A10" sqref="A10"/>
      <selection pane="bottomRight" activeCell="F187" sqref="F187"/>
    </sheetView>
  </sheetViews>
  <sheetFormatPr baseColWidth="10" defaultRowHeight="12.75"/>
  <cols>
    <col min="1" max="1" width="9.7109375" style="73" customWidth="1"/>
    <col min="2" max="2" width="9" style="73" customWidth="1"/>
    <col min="3" max="3" width="49.28515625" style="73" customWidth="1"/>
    <col min="4" max="4" width="15.42578125" style="73" bestFit="1" customWidth="1"/>
    <col min="5" max="5" width="15" style="73" bestFit="1" customWidth="1"/>
    <col min="6" max="6" width="17" style="73" customWidth="1"/>
    <col min="7" max="7" width="17.42578125" style="73" customWidth="1"/>
    <col min="8" max="9" width="14" style="73" bestFit="1" customWidth="1"/>
    <col min="10" max="10" width="15" style="73" bestFit="1" customWidth="1"/>
    <col min="11" max="12" width="14" style="73" bestFit="1" customWidth="1"/>
    <col min="13" max="13" width="15" style="73" bestFit="1" customWidth="1"/>
    <col min="14" max="14" width="14" style="73" customWidth="1"/>
    <col min="15" max="15" width="14" style="73" bestFit="1" customWidth="1"/>
    <col min="16" max="16" width="15.42578125" style="73" bestFit="1" customWidth="1"/>
    <col min="17" max="17" width="12" style="73" bestFit="1" customWidth="1"/>
    <col min="18" max="18" width="12.85546875" style="73" customWidth="1"/>
    <col min="19" max="19" width="13.85546875" style="73" customWidth="1"/>
    <col min="20" max="30" width="11.42578125" style="73" customWidth="1"/>
    <col min="31" max="31" width="13.85546875" style="73" customWidth="1"/>
    <col min="32" max="16384" width="11.42578125" style="73"/>
  </cols>
  <sheetData>
    <row r="1" spans="1:32">
      <c r="A1" s="135" t="s">
        <v>2992</v>
      </c>
      <c r="P1" s="13"/>
    </row>
    <row r="2" spans="1:32" ht="15.75">
      <c r="A2" s="724" t="s">
        <v>5925</v>
      </c>
      <c r="B2" s="725"/>
      <c r="C2" s="725"/>
      <c r="D2" s="725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</row>
    <row r="3" spans="1:32" ht="15">
      <c r="A3" s="70"/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R3" s="488"/>
      <c r="S3" s="488"/>
      <c r="T3" s="488"/>
      <c r="U3" s="488"/>
      <c r="V3" s="488"/>
    </row>
    <row r="4" spans="1:32">
      <c r="P4" s="13"/>
    </row>
    <row r="5" spans="1:32">
      <c r="A5" s="574" t="s">
        <v>143</v>
      </c>
      <c r="B5" s="574" t="s">
        <v>106</v>
      </c>
      <c r="C5" s="575" t="s">
        <v>144</v>
      </c>
      <c r="D5" s="574" t="s">
        <v>51</v>
      </c>
      <c r="E5" s="574" t="s">
        <v>52</v>
      </c>
      <c r="F5" s="574" t="s">
        <v>53</v>
      </c>
      <c r="G5" s="574" t="s">
        <v>54</v>
      </c>
      <c r="H5" s="574" t="s">
        <v>55</v>
      </c>
      <c r="I5" s="574" t="s">
        <v>56</v>
      </c>
      <c r="J5" s="574" t="s">
        <v>57</v>
      </c>
      <c r="K5" s="574" t="s">
        <v>58</v>
      </c>
      <c r="L5" s="574" t="s">
        <v>59</v>
      </c>
      <c r="M5" s="574" t="s">
        <v>60</v>
      </c>
      <c r="N5" s="574" t="s">
        <v>61</v>
      </c>
      <c r="O5" s="574" t="s">
        <v>62</v>
      </c>
      <c r="P5" s="574" t="s">
        <v>3260</v>
      </c>
    </row>
    <row r="7" spans="1:32" ht="15">
      <c r="A7" s="1586" t="s">
        <v>233</v>
      </c>
      <c r="B7" s="1587"/>
      <c r="C7" s="1587"/>
      <c r="D7" s="1587"/>
      <c r="E7" s="1587"/>
      <c r="F7" s="1587"/>
      <c r="G7" s="1587"/>
      <c r="H7" s="1587"/>
      <c r="I7" s="1587"/>
      <c r="J7" s="1587"/>
      <c r="K7" s="1587"/>
      <c r="L7" s="1587"/>
      <c r="M7" s="1587"/>
      <c r="N7" s="1587"/>
      <c r="O7" s="1587"/>
      <c r="P7" s="1587"/>
    </row>
    <row r="8" spans="1:32">
      <c r="A8" s="111" t="s">
        <v>145</v>
      </c>
      <c r="B8" s="116"/>
      <c r="C8" s="113"/>
      <c r="D8" s="117">
        <v>1442314.1446666664</v>
      </c>
      <c r="E8" s="117">
        <v>1442314.1446666664</v>
      </c>
      <c r="F8" s="117">
        <v>1442314.1446666664</v>
      </c>
      <c r="G8" s="117">
        <v>1442314.1446666664</v>
      </c>
      <c r="H8" s="117">
        <v>1442314.1446666664</v>
      </c>
      <c r="I8" s="117">
        <v>1531875.8196666664</v>
      </c>
      <c r="J8" s="117">
        <v>1442314.1446666664</v>
      </c>
      <c r="K8" s="117">
        <v>1442314.1446666664</v>
      </c>
      <c r="L8" s="117">
        <v>1442314.1446666664</v>
      </c>
      <c r="M8" s="117">
        <v>1442314.1446666664</v>
      </c>
      <c r="N8" s="117">
        <v>1442314.1446666664</v>
      </c>
      <c r="O8" s="117">
        <v>3344604.1216666661</v>
      </c>
      <c r="P8" s="117">
        <v>19299621.387999997</v>
      </c>
    </row>
    <row r="9" spans="1:32">
      <c r="A9" s="108">
        <v>5111</v>
      </c>
      <c r="B9" s="108">
        <v>11301</v>
      </c>
      <c r="C9" s="109" t="s">
        <v>107</v>
      </c>
      <c r="D9" s="93">
        <v>1074740.0999999999</v>
      </c>
      <c r="E9" s="93">
        <v>1074740.0999999999</v>
      </c>
      <c r="F9" s="93">
        <v>1074740.0999999999</v>
      </c>
      <c r="G9" s="93">
        <v>1074740.0999999999</v>
      </c>
      <c r="H9" s="93">
        <v>1074740.0999999999</v>
      </c>
      <c r="I9" s="93">
        <v>1074740.0999999999</v>
      </c>
      <c r="J9" s="93">
        <v>1074740.0999999999</v>
      </c>
      <c r="K9" s="93">
        <v>1074740.0999999999</v>
      </c>
      <c r="L9" s="93">
        <v>1074740.0999999999</v>
      </c>
      <c r="M9" s="93">
        <v>1074740.0999999999</v>
      </c>
      <c r="N9" s="93">
        <v>1074740.0999999999</v>
      </c>
      <c r="O9" s="93">
        <v>1074740.0999999999</v>
      </c>
      <c r="P9" s="93">
        <v>12896881.199999997</v>
      </c>
      <c r="S9" s="125"/>
      <c r="T9" s="125"/>
      <c r="U9" s="125"/>
      <c r="V9" s="125"/>
      <c r="W9" s="125"/>
      <c r="X9" s="125"/>
      <c r="Y9" s="125"/>
      <c r="Z9" s="125"/>
      <c r="AA9" s="125"/>
      <c r="AB9" s="125"/>
      <c r="AC9" s="125"/>
      <c r="AD9" s="125"/>
      <c r="AE9" s="550"/>
      <c r="AF9" s="127"/>
    </row>
    <row r="10" spans="1:32">
      <c r="A10" s="89">
        <v>5113</v>
      </c>
      <c r="B10" s="89">
        <v>13201</v>
      </c>
      <c r="C10" s="90" t="s">
        <v>108</v>
      </c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>
        <v>1812728.3020000001</v>
      </c>
      <c r="P10" s="93">
        <v>1812728.3020000001</v>
      </c>
      <c r="S10" s="125"/>
      <c r="T10" s="125"/>
      <c r="U10" s="125"/>
      <c r="V10" s="125"/>
      <c r="W10" s="125"/>
      <c r="X10" s="125"/>
      <c r="Y10" s="125"/>
      <c r="Z10" s="125"/>
      <c r="AA10" s="125"/>
      <c r="AB10" s="125"/>
      <c r="AC10" s="125"/>
      <c r="AD10" s="125"/>
      <c r="AE10" s="550"/>
      <c r="AF10" s="127"/>
    </row>
    <row r="11" spans="1:32">
      <c r="A11" s="89">
        <v>5113</v>
      </c>
      <c r="B11" s="89">
        <v>13202</v>
      </c>
      <c r="C11" s="90" t="s">
        <v>109</v>
      </c>
      <c r="D11" s="93"/>
      <c r="E11" s="93"/>
      <c r="F11" s="93"/>
      <c r="G11" s="93"/>
      <c r="H11" s="93"/>
      <c r="I11" s="93">
        <v>89561.674999999974</v>
      </c>
      <c r="J11" s="93"/>
      <c r="K11" s="93"/>
      <c r="L11" s="93"/>
      <c r="M11" s="93"/>
      <c r="N11" s="93"/>
      <c r="O11" s="93">
        <v>89561.674999999974</v>
      </c>
      <c r="P11" s="93">
        <v>179123.34999999995</v>
      </c>
      <c r="S11" s="125"/>
      <c r="T11" s="125"/>
      <c r="U11" s="125"/>
      <c r="V11" s="125"/>
      <c r="W11" s="125"/>
      <c r="X11" s="125"/>
      <c r="Y11" s="125"/>
      <c r="Z11" s="125"/>
      <c r="AA11" s="125"/>
      <c r="AB11" s="125"/>
      <c r="AC11" s="125"/>
      <c r="AD11" s="125"/>
      <c r="AE11" s="550"/>
      <c r="AF11" s="127"/>
    </row>
    <row r="12" spans="1:32">
      <c r="A12" s="89">
        <v>5113</v>
      </c>
      <c r="B12" s="89">
        <v>13301</v>
      </c>
      <c r="C12" s="90" t="s">
        <v>110</v>
      </c>
      <c r="D12" s="93">
        <v>9198.5249999999996</v>
      </c>
      <c r="E12" s="93">
        <v>9198.5249999999996</v>
      </c>
      <c r="F12" s="93">
        <v>9198.5249999999996</v>
      </c>
      <c r="G12" s="93">
        <v>9198.5249999999996</v>
      </c>
      <c r="H12" s="93">
        <v>9198.5249999999996</v>
      </c>
      <c r="I12" s="93">
        <v>9198.5249999999996</v>
      </c>
      <c r="J12" s="93">
        <v>9198.5249999999996</v>
      </c>
      <c r="K12" s="93">
        <v>9198.5249999999996</v>
      </c>
      <c r="L12" s="93">
        <v>9198.5249999999996</v>
      </c>
      <c r="M12" s="93">
        <v>9198.5249999999996</v>
      </c>
      <c r="N12" s="93">
        <v>9198.5249999999996</v>
      </c>
      <c r="O12" s="93">
        <v>9198.5249999999996</v>
      </c>
      <c r="P12" s="93">
        <v>110382.29999999997</v>
      </c>
      <c r="S12" s="125"/>
      <c r="T12" s="125"/>
      <c r="U12" s="125"/>
      <c r="V12" s="125"/>
      <c r="W12" s="125"/>
      <c r="X12" s="125"/>
      <c r="Y12" s="125"/>
      <c r="Z12" s="125"/>
      <c r="AA12" s="125"/>
      <c r="AB12" s="125"/>
      <c r="AC12" s="125"/>
      <c r="AD12" s="125"/>
      <c r="AE12" s="550"/>
      <c r="AF12" s="127"/>
    </row>
    <row r="13" spans="1:32">
      <c r="A13" s="89">
        <v>5114</v>
      </c>
      <c r="B13" s="89">
        <v>14102</v>
      </c>
      <c r="C13" s="90" t="s">
        <v>209</v>
      </c>
      <c r="D13" s="93">
        <v>25000</v>
      </c>
      <c r="E13" s="93">
        <v>25000</v>
      </c>
      <c r="F13" s="93">
        <v>25000</v>
      </c>
      <c r="G13" s="93">
        <v>25000</v>
      </c>
      <c r="H13" s="93">
        <v>25000</v>
      </c>
      <c r="I13" s="93">
        <v>25000</v>
      </c>
      <c r="J13" s="93">
        <v>25000</v>
      </c>
      <c r="K13" s="93">
        <v>25000</v>
      </c>
      <c r="L13" s="93">
        <v>25000</v>
      </c>
      <c r="M13" s="93">
        <v>25000</v>
      </c>
      <c r="N13" s="93">
        <v>25000</v>
      </c>
      <c r="O13" s="93">
        <v>25000</v>
      </c>
      <c r="P13" s="93">
        <v>300000</v>
      </c>
      <c r="S13" s="125"/>
      <c r="T13" s="125"/>
      <c r="U13" s="125"/>
      <c r="V13" s="125"/>
      <c r="W13" s="125"/>
      <c r="X13" s="125"/>
      <c r="Y13" s="125"/>
      <c r="Z13" s="125"/>
      <c r="AA13" s="125"/>
      <c r="AB13" s="125"/>
      <c r="AC13" s="125"/>
      <c r="AD13" s="125"/>
      <c r="AE13" s="550"/>
      <c r="AF13" s="127"/>
    </row>
    <row r="14" spans="1:32">
      <c r="A14" s="89">
        <v>5114</v>
      </c>
      <c r="B14" s="89">
        <v>14301</v>
      </c>
      <c r="C14" s="90" t="s">
        <v>1849</v>
      </c>
      <c r="D14" s="93">
        <v>182705.81700000001</v>
      </c>
      <c r="E14" s="93">
        <v>182705.81700000001</v>
      </c>
      <c r="F14" s="93">
        <v>182705.81700000001</v>
      </c>
      <c r="G14" s="93">
        <v>182705.81700000001</v>
      </c>
      <c r="H14" s="93">
        <v>182705.81700000001</v>
      </c>
      <c r="I14" s="93">
        <v>182705.81700000001</v>
      </c>
      <c r="J14" s="93">
        <v>182705.81700000001</v>
      </c>
      <c r="K14" s="93">
        <v>182705.81700000001</v>
      </c>
      <c r="L14" s="93">
        <v>182705.81700000001</v>
      </c>
      <c r="M14" s="93">
        <v>182705.81700000001</v>
      </c>
      <c r="N14" s="93">
        <v>182705.81700000001</v>
      </c>
      <c r="O14" s="93">
        <v>182705.81700000001</v>
      </c>
      <c r="P14" s="93">
        <v>2192469.804</v>
      </c>
      <c r="S14" s="125"/>
      <c r="T14" s="125"/>
      <c r="U14" s="125"/>
      <c r="V14" s="125"/>
      <c r="W14" s="125"/>
      <c r="X14" s="125"/>
      <c r="Y14" s="125"/>
      <c r="Z14" s="125"/>
      <c r="AA14" s="125"/>
      <c r="AB14" s="125"/>
      <c r="AC14" s="125"/>
      <c r="AD14" s="125"/>
    </row>
    <row r="15" spans="1:32">
      <c r="A15" s="89">
        <v>5114</v>
      </c>
      <c r="B15" s="89">
        <v>14401</v>
      </c>
      <c r="C15" s="90" t="s">
        <v>111</v>
      </c>
      <c r="D15" s="93">
        <v>5083.333333333333</v>
      </c>
      <c r="E15" s="93">
        <v>5083.333333333333</v>
      </c>
      <c r="F15" s="93">
        <v>5083.333333333333</v>
      </c>
      <c r="G15" s="93">
        <v>5083.333333333333</v>
      </c>
      <c r="H15" s="93">
        <v>5083.333333333333</v>
      </c>
      <c r="I15" s="93">
        <v>5083.333333333333</v>
      </c>
      <c r="J15" s="93">
        <v>5083.333333333333</v>
      </c>
      <c r="K15" s="93">
        <v>5083.333333333333</v>
      </c>
      <c r="L15" s="93">
        <v>5083.333333333333</v>
      </c>
      <c r="M15" s="93">
        <v>5083.333333333333</v>
      </c>
      <c r="N15" s="93">
        <v>5083.333333333333</v>
      </c>
      <c r="O15" s="93">
        <v>5083.333333333333</v>
      </c>
      <c r="P15" s="93">
        <v>61000.000000000007</v>
      </c>
    </row>
    <row r="16" spans="1:32">
      <c r="A16" s="106">
        <v>5115</v>
      </c>
      <c r="B16" s="106">
        <v>15101</v>
      </c>
      <c r="C16" s="107" t="s">
        <v>112</v>
      </c>
      <c r="D16" s="93">
        <v>80339.564333333328</v>
      </c>
      <c r="E16" s="93">
        <v>80339.564333333328</v>
      </c>
      <c r="F16" s="93">
        <v>80339.564333333328</v>
      </c>
      <c r="G16" s="93">
        <v>80339.564333333328</v>
      </c>
      <c r="H16" s="93">
        <v>80339.564333333328</v>
      </c>
      <c r="I16" s="93">
        <v>80339.564333333328</v>
      </c>
      <c r="J16" s="93">
        <v>80339.564333333328</v>
      </c>
      <c r="K16" s="93">
        <v>80339.564333333328</v>
      </c>
      <c r="L16" s="93">
        <v>80339.564333333328</v>
      </c>
      <c r="M16" s="93">
        <v>80339.564333333328</v>
      </c>
      <c r="N16" s="93">
        <v>80339.564333333328</v>
      </c>
      <c r="O16" s="93">
        <v>80339.564333333328</v>
      </c>
      <c r="P16" s="93">
        <v>964074.77199999976</v>
      </c>
    </row>
    <row r="17" spans="1:32">
      <c r="A17" s="106">
        <v>5115</v>
      </c>
      <c r="B17" s="106">
        <v>15407</v>
      </c>
      <c r="C17" s="107" t="s">
        <v>113</v>
      </c>
      <c r="D17" s="93">
        <v>65246.804999999993</v>
      </c>
      <c r="E17" s="93">
        <v>65246.804999999993</v>
      </c>
      <c r="F17" s="93">
        <v>65246.804999999993</v>
      </c>
      <c r="G17" s="93">
        <v>65246.804999999993</v>
      </c>
      <c r="H17" s="93">
        <v>65246.804999999993</v>
      </c>
      <c r="I17" s="93">
        <v>65246.804999999993</v>
      </c>
      <c r="J17" s="93">
        <v>65246.804999999993</v>
      </c>
      <c r="K17" s="93">
        <v>65246.804999999993</v>
      </c>
      <c r="L17" s="93">
        <v>65246.804999999993</v>
      </c>
      <c r="M17" s="93">
        <v>65246.804999999993</v>
      </c>
      <c r="N17" s="93">
        <v>65246.804999999993</v>
      </c>
      <c r="O17" s="93">
        <v>65246.804999999993</v>
      </c>
      <c r="P17" s="93">
        <v>782961.65999999968</v>
      </c>
    </row>
    <row r="18" spans="1:32">
      <c r="A18" s="106"/>
      <c r="B18" s="106"/>
      <c r="C18" s="107"/>
      <c r="D18" s="93"/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AF18" s="127"/>
    </row>
    <row r="19" spans="1:32">
      <c r="A19" s="111" t="s">
        <v>146</v>
      </c>
      <c r="B19" s="116"/>
      <c r="C19" s="113"/>
      <c r="D19" s="117">
        <v>66675</v>
      </c>
      <c r="E19" s="117">
        <v>66175</v>
      </c>
      <c r="F19" s="117">
        <v>66175</v>
      </c>
      <c r="G19" s="117">
        <v>66675</v>
      </c>
      <c r="H19" s="117">
        <v>66175</v>
      </c>
      <c r="I19" s="117">
        <v>66175</v>
      </c>
      <c r="J19" s="117">
        <v>66675</v>
      </c>
      <c r="K19" s="117">
        <v>66175</v>
      </c>
      <c r="L19" s="117">
        <v>66175</v>
      </c>
      <c r="M19" s="117">
        <v>66675</v>
      </c>
      <c r="N19" s="117">
        <v>66175</v>
      </c>
      <c r="O19" s="117">
        <v>66175</v>
      </c>
      <c r="P19" s="117">
        <v>796100</v>
      </c>
    </row>
    <row r="20" spans="1:32">
      <c r="A20" s="108">
        <v>5121</v>
      </c>
      <c r="B20" s="108">
        <v>21101</v>
      </c>
      <c r="C20" s="109" t="s">
        <v>114</v>
      </c>
      <c r="D20" s="93">
        <v>15341.666666666666</v>
      </c>
      <c r="E20" s="93">
        <v>15341.666666666666</v>
      </c>
      <c r="F20" s="93">
        <v>15341.666666666666</v>
      </c>
      <c r="G20" s="93">
        <v>15341.666666666666</v>
      </c>
      <c r="H20" s="93">
        <v>15341.666666666666</v>
      </c>
      <c r="I20" s="93">
        <v>15341.666666666666</v>
      </c>
      <c r="J20" s="93">
        <v>15341.666666666666</v>
      </c>
      <c r="K20" s="93">
        <v>15341.666666666666</v>
      </c>
      <c r="L20" s="93">
        <v>15341.666666666666</v>
      </c>
      <c r="M20" s="93">
        <v>15341.666666666666</v>
      </c>
      <c r="N20" s="93">
        <v>15341.666666666666</v>
      </c>
      <c r="O20" s="93">
        <v>15341.666666666666</v>
      </c>
      <c r="P20" s="93">
        <v>184099.99999999997</v>
      </c>
    </row>
    <row r="21" spans="1:32">
      <c r="A21" s="89">
        <v>5121</v>
      </c>
      <c r="B21" s="89">
        <v>21201</v>
      </c>
      <c r="C21" s="90" t="s">
        <v>115</v>
      </c>
      <c r="D21" s="93">
        <v>23333.333333333332</v>
      </c>
      <c r="E21" s="93">
        <v>23333.333333333332</v>
      </c>
      <c r="F21" s="93">
        <v>23333.333333333332</v>
      </c>
      <c r="G21" s="93">
        <v>23333.333333333332</v>
      </c>
      <c r="H21" s="93">
        <v>23333.333333333332</v>
      </c>
      <c r="I21" s="93">
        <v>23333.333333333332</v>
      </c>
      <c r="J21" s="93">
        <v>23333.333333333332</v>
      </c>
      <c r="K21" s="93">
        <v>23333.333333333332</v>
      </c>
      <c r="L21" s="93">
        <v>23333.333333333332</v>
      </c>
      <c r="M21" s="93">
        <v>23333.333333333332</v>
      </c>
      <c r="N21" s="93">
        <v>23333.333333333332</v>
      </c>
      <c r="O21" s="93">
        <v>23333.333333333332</v>
      </c>
      <c r="P21" s="93">
        <v>280000.00000000006</v>
      </c>
    </row>
    <row r="22" spans="1:32">
      <c r="A22" s="89">
        <v>5121</v>
      </c>
      <c r="B22" s="89">
        <v>21601</v>
      </c>
      <c r="C22" s="90" t="s">
        <v>116</v>
      </c>
      <c r="D22" s="93">
        <v>6666.666666666667</v>
      </c>
      <c r="E22" s="93">
        <v>6666.666666666667</v>
      </c>
      <c r="F22" s="93">
        <v>6666.666666666667</v>
      </c>
      <c r="G22" s="93">
        <v>6666.666666666667</v>
      </c>
      <c r="H22" s="93">
        <v>6666.666666666667</v>
      </c>
      <c r="I22" s="93">
        <v>6666.666666666667</v>
      </c>
      <c r="J22" s="93">
        <v>6666.666666666667</v>
      </c>
      <c r="K22" s="93">
        <v>6666.666666666667</v>
      </c>
      <c r="L22" s="93">
        <v>6666.666666666667</v>
      </c>
      <c r="M22" s="93">
        <v>6666.666666666667</v>
      </c>
      <c r="N22" s="93">
        <v>6666.666666666667</v>
      </c>
      <c r="O22" s="93">
        <v>6666.666666666667</v>
      </c>
      <c r="P22" s="93">
        <v>80000</v>
      </c>
    </row>
    <row r="23" spans="1:32">
      <c r="A23" s="89">
        <v>5122</v>
      </c>
      <c r="B23" s="89">
        <v>22101</v>
      </c>
      <c r="C23" s="90" t="s">
        <v>117</v>
      </c>
      <c r="D23" s="93">
        <v>4166.666666666667</v>
      </c>
      <c r="E23" s="93">
        <v>4166.666666666667</v>
      </c>
      <c r="F23" s="93">
        <v>4166.666666666667</v>
      </c>
      <c r="G23" s="93">
        <v>4166.666666666667</v>
      </c>
      <c r="H23" s="93">
        <v>4166.666666666667</v>
      </c>
      <c r="I23" s="93">
        <v>4166.666666666667</v>
      </c>
      <c r="J23" s="93">
        <v>4166.666666666667</v>
      </c>
      <c r="K23" s="93">
        <v>4166.666666666667</v>
      </c>
      <c r="L23" s="93">
        <v>4166.666666666667</v>
      </c>
      <c r="M23" s="93">
        <v>4166.666666666667</v>
      </c>
      <c r="N23" s="93">
        <v>4166.666666666667</v>
      </c>
      <c r="O23" s="93">
        <v>4166.666666666667</v>
      </c>
      <c r="P23" s="93">
        <v>49999.999999999993</v>
      </c>
    </row>
    <row r="24" spans="1:32">
      <c r="A24" s="89">
        <v>5125</v>
      </c>
      <c r="B24" s="89">
        <v>25301</v>
      </c>
      <c r="C24" s="90" t="s">
        <v>208</v>
      </c>
      <c r="D24" s="93">
        <v>500</v>
      </c>
      <c r="E24" s="93"/>
      <c r="F24" s="93"/>
      <c r="G24" s="93">
        <v>500</v>
      </c>
      <c r="H24" s="93"/>
      <c r="I24" s="93"/>
      <c r="J24" s="93">
        <v>500</v>
      </c>
      <c r="K24" s="93"/>
      <c r="L24" s="93"/>
      <c r="M24" s="93">
        <v>500</v>
      </c>
      <c r="N24" s="93"/>
      <c r="O24" s="93"/>
      <c r="P24" s="93">
        <v>2000</v>
      </c>
    </row>
    <row r="25" spans="1:32">
      <c r="A25" s="89">
        <v>5126</v>
      </c>
      <c r="B25" s="89">
        <v>26101</v>
      </c>
      <c r="C25" s="90" t="s">
        <v>118</v>
      </c>
      <c r="D25" s="93">
        <v>16666.666666666668</v>
      </c>
      <c r="E25" s="93">
        <v>16666.666666666668</v>
      </c>
      <c r="F25" s="93">
        <v>16666.666666666668</v>
      </c>
      <c r="G25" s="93">
        <v>16666.666666666668</v>
      </c>
      <c r="H25" s="93">
        <v>16666.666666666668</v>
      </c>
      <c r="I25" s="93">
        <v>16666.666666666668</v>
      </c>
      <c r="J25" s="93">
        <v>16666.666666666668</v>
      </c>
      <c r="K25" s="93">
        <v>16666.666666666668</v>
      </c>
      <c r="L25" s="93">
        <v>16666.666666666668</v>
      </c>
      <c r="M25" s="93">
        <v>16666.666666666668</v>
      </c>
      <c r="N25" s="93">
        <v>16666.666666666668</v>
      </c>
      <c r="O25" s="93">
        <v>16666.666666666668</v>
      </c>
      <c r="P25" s="93">
        <v>199999.99999999997</v>
      </c>
    </row>
    <row r="26" spans="1:32">
      <c r="A26" s="106"/>
      <c r="B26" s="106"/>
      <c r="C26" s="107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</row>
    <row r="27" spans="1:32">
      <c r="A27" s="111" t="s">
        <v>147</v>
      </c>
      <c r="B27" s="116"/>
      <c r="C27" s="113"/>
      <c r="D27" s="117">
        <v>6878127.8496233327</v>
      </c>
      <c r="E27" s="117">
        <v>1090889.2096233333</v>
      </c>
      <c r="F27" s="117">
        <v>664899.20962333342</v>
      </c>
      <c r="G27" s="117">
        <v>3739440.8896233332</v>
      </c>
      <c r="H27" s="117">
        <v>1225527.2096233333</v>
      </c>
      <c r="I27" s="117">
        <v>662927.20962333342</v>
      </c>
      <c r="J27" s="117">
        <v>3739440.8896233332</v>
      </c>
      <c r="K27" s="117">
        <v>662927.20962333342</v>
      </c>
      <c r="L27" s="117">
        <v>662927.20962333342</v>
      </c>
      <c r="M27" s="117">
        <v>895007.20962333342</v>
      </c>
      <c r="N27" s="117">
        <v>665943.20962333342</v>
      </c>
      <c r="O27" s="117">
        <v>669829.20962333342</v>
      </c>
      <c r="P27" s="117">
        <v>21557886.515479997</v>
      </c>
    </row>
    <row r="28" spans="1:32">
      <c r="A28" s="108">
        <v>5131</v>
      </c>
      <c r="B28" s="108">
        <v>31101</v>
      </c>
      <c r="C28" s="109" t="s">
        <v>11</v>
      </c>
      <c r="D28" s="93">
        <v>37500</v>
      </c>
      <c r="E28" s="93">
        <v>37500</v>
      </c>
      <c r="F28" s="93">
        <v>37500</v>
      </c>
      <c r="G28" s="93">
        <v>37500</v>
      </c>
      <c r="H28" s="93">
        <v>37500</v>
      </c>
      <c r="I28" s="93">
        <v>37500</v>
      </c>
      <c r="J28" s="93">
        <v>37500</v>
      </c>
      <c r="K28" s="93">
        <v>37500</v>
      </c>
      <c r="L28" s="93">
        <v>37500</v>
      </c>
      <c r="M28" s="93">
        <v>37500</v>
      </c>
      <c r="N28" s="93">
        <v>37500</v>
      </c>
      <c r="O28" s="93">
        <v>37500</v>
      </c>
      <c r="P28" s="93">
        <v>450000</v>
      </c>
    </row>
    <row r="29" spans="1:32">
      <c r="A29" s="108">
        <v>5131</v>
      </c>
      <c r="B29" s="108">
        <v>31201</v>
      </c>
      <c r="C29" s="109" t="s">
        <v>160</v>
      </c>
      <c r="D29" s="93">
        <v>6000</v>
      </c>
      <c r="E29" s="93">
        <v>5750</v>
      </c>
      <c r="F29" s="93">
        <v>2000</v>
      </c>
      <c r="G29" s="93">
        <v>300</v>
      </c>
      <c r="H29" s="93">
        <v>300</v>
      </c>
      <c r="I29" s="93">
        <v>300</v>
      </c>
      <c r="J29" s="93">
        <v>300</v>
      </c>
      <c r="K29" s="93">
        <v>300</v>
      </c>
      <c r="L29" s="93">
        <v>300</v>
      </c>
      <c r="M29" s="93">
        <v>300</v>
      </c>
      <c r="N29" s="93">
        <v>2900</v>
      </c>
      <c r="O29" s="93">
        <v>6250</v>
      </c>
      <c r="P29" s="93">
        <v>25000</v>
      </c>
    </row>
    <row r="30" spans="1:32">
      <c r="A30" s="89">
        <v>5131</v>
      </c>
      <c r="B30" s="89">
        <v>31401</v>
      </c>
      <c r="C30" s="90" t="s">
        <v>119</v>
      </c>
      <c r="D30" s="93">
        <v>29166.666666666668</v>
      </c>
      <c r="E30" s="93">
        <v>29166.666666666668</v>
      </c>
      <c r="F30" s="93">
        <v>29166.666666666668</v>
      </c>
      <c r="G30" s="93">
        <v>29166.666666666668</v>
      </c>
      <c r="H30" s="93">
        <v>29166.666666666668</v>
      </c>
      <c r="I30" s="93">
        <v>29166.666666666668</v>
      </c>
      <c r="J30" s="93">
        <v>29166.666666666668</v>
      </c>
      <c r="K30" s="93">
        <v>29166.666666666668</v>
      </c>
      <c r="L30" s="93">
        <v>29166.666666666668</v>
      </c>
      <c r="M30" s="93">
        <v>29166.666666666668</v>
      </c>
      <c r="N30" s="93">
        <v>29166.666666666668</v>
      </c>
      <c r="O30" s="93">
        <v>29166.666666666668</v>
      </c>
      <c r="P30" s="93">
        <v>350000.00000000006</v>
      </c>
    </row>
    <row r="31" spans="1:32">
      <c r="A31" s="89">
        <v>5131</v>
      </c>
      <c r="B31" s="89">
        <v>31801</v>
      </c>
      <c r="C31" s="90" t="s">
        <v>120</v>
      </c>
      <c r="D31" s="93">
        <v>2500</v>
      </c>
      <c r="E31" s="93">
        <v>2500</v>
      </c>
      <c r="F31" s="93">
        <v>2500</v>
      </c>
      <c r="G31" s="93">
        <v>2500</v>
      </c>
      <c r="H31" s="93">
        <v>2500</v>
      </c>
      <c r="I31" s="93">
        <v>2500</v>
      </c>
      <c r="J31" s="93">
        <v>2500</v>
      </c>
      <c r="K31" s="93">
        <v>2500</v>
      </c>
      <c r="L31" s="93">
        <v>2500</v>
      </c>
      <c r="M31" s="93">
        <v>2500</v>
      </c>
      <c r="N31" s="93">
        <v>2500</v>
      </c>
      <c r="O31" s="93">
        <v>2500</v>
      </c>
      <c r="P31" s="93">
        <v>30000</v>
      </c>
    </row>
    <row r="32" spans="1:32">
      <c r="A32" s="89">
        <v>5131</v>
      </c>
      <c r="B32" s="89">
        <v>31901</v>
      </c>
      <c r="C32" s="90" t="s">
        <v>121</v>
      </c>
      <c r="D32" s="93">
        <v>1083.3333333333333</v>
      </c>
      <c r="E32" s="93">
        <v>1083.3333333333333</v>
      </c>
      <c r="F32" s="93">
        <v>1083.3333333333333</v>
      </c>
      <c r="G32" s="93">
        <v>1083.3333333333333</v>
      </c>
      <c r="H32" s="93">
        <v>1083.3333333333333</v>
      </c>
      <c r="I32" s="93">
        <v>1083.3333333333333</v>
      </c>
      <c r="J32" s="93">
        <v>1083.3333333333333</v>
      </c>
      <c r="K32" s="93">
        <v>1083.3333333333333</v>
      </c>
      <c r="L32" s="93">
        <v>1083.3333333333333</v>
      </c>
      <c r="M32" s="93">
        <v>1083.3333333333333</v>
      </c>
      <c r="N32" s="93">
        <v>1083.3333333333333</v>
      </c>
      <c r="O32" s="93">
        <v>1083.3333333333333</v>
      </c>
      <c r="P32" s="93">
        <v>13000.000000000002</v>
      </c>
    </row>
    <row r="33" spans="1:16">
      <c r="A33" s="89">
        <v>5132</v>
      </c>
      <c r="B33" s="89">
        <v>32901</v>
      </c>
      <c r="C33" s="90" t="s">
        <v>122</v>
      </c>
      <c r="D33" s="93">
        <v>3300</v>
      </c>
      <c r="E33" s="93">
        <v>3300</v>
      </c>
      <c r="F33" s="93">
        <v>3300</v>
      </c>
      <c r="G33" s="93">
        <v>3300</v>
      </c>
      <c r="H33" s="93">
        <v>3300</v>
      </c>
      <c r="I33" s="93">
        <v>3300</v>
      </c>
      <c r="J33" s="93">
        <v>3300</v>
      </c>
      <c r="K33" s="93">
        <v>3300</v>
      </c>
      <c r="L33" s="93">
        <v>3300</v>
      </c>
      <c r="M33" s="93">
        <v>3300</v>
      </c>
      <c r="N33" s="93">
        <v>3300</v>
      </c>
      <c r="O33" s="93">
        <v>3300</v>
      </c>
      <c r="P33" s="93">
        <v>39600</v>
      </c>
    </row>
    <row r="34" spans="1:16">
      <c r="A34" s="89">
        <v>5133</v>
      </c>
      <c r="B34" s="89">
        <v>33101</v>
      </c>
      <c r="C34" s="90" t="s">
        <v>123</v>
      </c>
      <c r="D34" s="93">
        <v>33333.333333333336</v>
      </c>
      <c r="E34" s="93">
        <v>33333.333333333336</v>
      </c>
      <c r="F34" s="93">
        <v>33333.333333333336</v>
      </c>
      <c r="G34" s="93">
        <v>33333.333333333336</v>
      </c>
      <c r="H34" s="93">
        <v>33333.333333333336</v>
      </c>
      <c r="I34" s="93">
        <v>33333.333333333336</v>
      </c>
      <c r="J34" s="93">
        <v>33333.333333333336</v>
      </c>
      <c r="K34" s="93">
        <v>33333.333333333336</v>
      </c>
      <c r="L34" s="93">
        <v>33333.333333333336</v>
      </c>
      <c r="M34" s="93">
        <v>33333.333333333336</v>
      </c>
      <c r="N34" s="93">
        <v>33333.333333333336</v>
      </c>
      <c r="O34" s="93">
        <v>33333.333333333336</v>
      </c>
      <c r="P34" s="93">
        <v>399999.99999999994</v>
      </c>
    </row>
    <row r="35" spans="1:16">
      <c r="A35" s="89">
        <v>5133</v>
      </c>
      <c r="B35" s="89">
        <v>33301</v>
      </c>
      <c r="C35" s="90" t="s">
        <v>124</v>
      </c>
      <c r="D35" s="93">
        <v>20833.333333333332</v>
      </c>
      <c r="E35" s="93">
        <v>20833.333333333332</v>
      </c>
      <c r="F35" s="93">
        <v>20833.333333333332</v>
      </c>
      <c r="G35" s="93">
        <v>20833.333333333332</v>
      </c>
      <c r="H35" s="93">
        <v>20833.333333333332</v>
      </c>
      <c r="I35" s="93">
        <v>20833.333333333332</v>
      </c>
      <c r="J35" s="93">
        <v>20833.333333333332</v>
      </c>
      <c r="K35" s="93">
        <v>20833.333333333332</v>
      </c>
      <c r="L35" s="93">
        <v>20833.333333333332</v>
      </c>
      <c r="M35" s="93">
        <v>20833.333333333332</v>
      </c>
      <c r="N35" s="93">
        <v>20833.333333333332</v>
      </c>
      <c r="O35" s="93">
        <v>20833.333333333332</v>
      </c>
      <c r="P35" s="93">
        <v>250000.00000000003</v>
      </c>
    </row>
    <row r="36" spans="1:16">
      <c r="A36" s="89">
        <v>5133</v>
      </c>
      <c r="B36" s="89">
        <v>33401</v>
      </c>
      <c r="C36" s="90" t="s">
        <v>125</v>
      </c>
      <c r="D36" s="93">
        <v>11666.666666666666</v>
      </c>
      <c r="E36" s="93">
        <v>11666.666666666666</v>
      </c>
      <c r="F36" s="93">
        <v>11666.666666666666</v>
      </c>
      <c r="G36" s="93">
        <v>11666.666666666666</v>
      </c>
      <c r="H36" s="93">
        <v>11666.666666666666</v>
      </c>
      <c r="I36" s="93">
        <v>11666.666666666666</v>
      </c>
      <c r="J36" s="93">
        <v>11666.666666666666</v>
      </c>
      <c r="K36" s="93">
        <v>11666.666666666666</v>
      </c>
      <c r="L36" s="93">
        <v>11666.666666666666</v>
      </c>
      <c r="M36" s="93">
        <v>11666.666666666666</v>
      </c>
      <c r="N36" s="93">
        <v>11666.666666666666</v>
      </c>
      <c r="O36" s="93">
        <v>11666.666666666666</v>
      </c>
      <c r="P36" s="93">
        <v>140000.00000000003</v>
      </c>
    </row>
    <row r="37" spans="1:16">
      <c r="A37" s="89">
        <v>5133</v>
      </c>
      <c r="B37" s="89">
        <v>33901</v>
      </c>
      <c r="C37" s="90" t="s">
        <v>126</v>
      </c>
      <c r="D37" s="93">
        <v>2526404</v>
      </c>
      <c r="E37" s="93"/>
      <c r="F37" s="93"/>
      <c r="G37" s="93">
        <v>2452098</v>
      </c>
      <c r="H37" s="93"/>
      <c r="I37" s="93"/>
      <c r="J37" s="93">
        <v>2452098</v>
      </c>
      <c r="K37" s="93"/>
      <c r="L37" s="93"/>
      <c r="M37" s="93"/>
      <c r="N37" s="93"/>
      <c r="O37" s="93"/>
      <c r="P37" s="93">
        <v>7430600</v>
      </c>
    </row>
    <row r="38" spans="1:16">
      <c r="A38" s="89">
        <v>5134</v>
      </c>
      <c r="B38" s="89">
        <v>34101</v>
      </c>
      <c r="C38" s="90" t="s">
        <v>141</v>
      </c>
      <c r="D38" s="93">
        <v>4166.666666666667</v>
      </c>
      <c r="E38" s="93">
        <v>4166.666666666667</v>
      </c>
      <c r="F38" s="93">
        <v>4166.666666666667</v>
      </c>
      <c r="G38" s="93">
        <v>4166.666666666667</v>
      </c>
      <c r="H38" s="93">
        <v>4166.666666666667</v>
      </c>
      <c r="I38" s="93">
        <v>4166.666666666667</v>
      </c>
      <c r="J38" s="93">
        <v>4166.666666666667</v>
      </c>
      <c r="K38" s="93">
        <v>4166.666666666667</v>
      </c>
      <c r="L38" s="93">
        <v>4166.666666666667</v>
      </c>
      <c r="M38" s="93">
        <v>4166.666666666667</v>
      </c>
      <c r="N38" s="93">
        <v>4166.666666666667</v>
      </c>
      <c r="O38" s="93">
        <v>4166.666666666667</v>
      </c>
      <c r="P38" s="93">
        <v>49999.999999999993</v>
      </c>
    </row>
    <row r="39" spans="1:16">
      <c r="A39" s="89">
        <v>5134</v>
      </c>
      <c r="B39" s="89">
        <v>34501</v>
      </c>
      <c r="C39" s="90" t="s">
        <v>127</v>
      </c>
      <c r="D39" s="93">
        <v>16666.666666666668</v>
      </c>
      <c r="E39" s="93">
        <v>16666.666666666668</v>
      </c>
      <c r="F39" s="93">
        <v>16666.666666666668</v>
      </c>
      <c r="G39" s="93">
        <v>16666.666666666668</v>
      </c>
      <c r="H39" s="93">
        <v>16666.666666666668</v>
      </c>
      <c r="I39" s="93">
        <v>16666.666666666668</v>
      </c>
      <c r="J39" s="93">
        <v>16666.666666666668</v>
      </c>
      <c r="K39" s="93">
        <v>16666.666666666668</v>
      </c>
      <c r="L39" s="93">
        <v>16666.666666666668</v>
      </c>
      <c r="M39" s="93">
        <v>16666.666666666668</v>
      </c>
      <c r="N39" s="93">
        <v>16666.666666666668</v>
      </c>
      <c r="O39" s="93">
        <v>16666.666666666668</v>
      </c>
      <c r="P39" s="93">
        <v>199999.99999999997</v>
      </c>
    </row>
    <row r="40" spans="1:16">
      <c r="A40" s="89">
        <v>5134</v>
      </c>
      <c r="B40" s="89">
        <v>34901</v>
      </c>
      <c r="C40" s="90" t="s">
        <v>128</v>
      </c>
      <c r="D40" s="93">
        <v>1699.0074699999998</v>
      </c>
      <c r="E40" s="93">
        <v>1699.0074699999998</v>
      </c>
      <c r="F40" s="93">
        <v>1699.0074699999998</v>
      </c>
      <c r="G40" s="93">
        <v>1699.0074699999998</v>
      </c>
      <c r="H40" s="93">
        <v>1699.0074699999998</v>
      </c>
      <c r="I40" s="93">
        <v>1699.0074699999998</v>
      </c>
      <c r="J40" s="93">
        <v>1699.0074699999998</v>
      </c>
      <c r="K40" s="93">
        <v>1699.0074699999998</v>
      </c>
      <c r="L40" s="93">
        <v>1699.0074699999998</v>
      </c>
      <c r="M40" s="93">
        <v>1699.0074699999998</v>
      </c>
      <c r="N40" s="93">
        <v>1699.0074699999998</v>
      </c>
      <c r="O40" s="93">
        <v>1699.0074699999998</v>
      </c>
      <c r="P40" s="93">
        <v>20388.089640000002</v>
      </c>
    </row>
    <row r="41" spans="1:16">
      <c r="A41" s="89">
        <v>5135</v>
      </c>
      <c r="B41" s="89">
        <v>35101</v>
      </c>
      <c r="C41" s="90" t="s">
        <v>129</v>
      </c>
      <c r="D41" s="93">
        <v>200000</v>
      </c>
      <c r="E41" s="93"/>
      <c r="F41" s="93"/>
      <c r="G41" s="93">
        <v>200000</v>
      </c>
      <c r="H41" s="93"/>
      <c r="I41" s="93"/>
      <c r="J41" s="93">
        <v>200000</v>
      </c>
      <c r="K41" s="93"/>
      <c r="L41" s="93"/>
      <c r="M41" s="93">
        <v>200000</v>
      </c>
      <c r="N41" s="93"/>
      <c r="O41" s="93"/>
      <c r="P41" s="93">
        <v>800000</v>
      </c>
    </row>
    <row r="42" spans="1:16">
      <c r="A42" s="89">
        <v>5135</v>
      </c>
      <c r="B42" s="89">
        <v>35201</v>
      </c>
      <c r="C42" s="90" t="s">
        <v>130</v>
      </c>
      <c r="D42" s="93">
        <v>5000</v>
      </c>
      <c r="E42" s="93">
        <v>5000</v>
      </c>
      <c r="F42" s="93">
        <v>5000</v>
      </c>
      <c r="G42" s="93">
        <v>5000</v>
      </c>
      <c r="H42" s="93">
        <v>5000</v>
      </c>
      <c r="I42" s="93">
        <v>5000</v>
      </c>
      <c r="J42" s="93">
        <v>5000</v>
      </c>
      <c r="K42" s="93">
        <v>5000</v>
      </c>
      <c r="L42" s="93">
        <v>5000</v>
      </c>
      <c r="M42" s="93">
        <v>5000</v>
      </c>
      <c r="N42" s="93">
        <v>5000</v>
      </c>
      <c r="O42" s="93">
        <v>5000</v>
      </c>
      <c r="P42" s="93">
        <v>60000</v>
      </c>
    </row>
    <row r="43" spans="1:16">
      <c r="A43" s="89">
        <v>5135</v>
      </c>
      <c r="B43" s="89">
        <v>35501</v>
      </c>
      <c r="C43" s="90" t="s">
        <v>131</v>
      </c>
      <c r="D43" s="93">
        <v>25000</v>
      </c>
      <c r="E43" s="93">
        <v>25000</v>
      </c>
      <c r="F43" s="93">
        <v>25000</v>
      </c>
      <c r="G43" s="93">
        <v>25000</v>
      </c>
      <c r="H43" s="93">
        <v>25000</v>
      </c>
      <c r="I43" s="93">
        <v>25000</v>
      </c>
      <c r="J43" s="93">
        <v>25000</v>
      </c>
      <c r="K43" s="93">
        <v>25000</v>
      </c>
      <c r="L43" s="93">
        <v>25000</v>
      </c>
      <c r="M43" s="93">
        <v>25000</v>
      </c>
      <c r="N43" s="93">
        <v>25000</v>
      </c>
      <c r="O43" s="93">
        <v>25000</v>
      </c>
      <c r="P43" s="93">
        <v>300000</v>
      </c>
    </row>
    <row r="44" spans="1:16">
      <c r="A44" s="89">
        <v>5135</v>
      </c>
      <c r="B44" s="89">
        <v>35801</v>
      </c>
      <c r="C44" s="90" t="s">
        <v>132</v>
      </c>
      <c r="D44" s="93">
        <v>13569.7145</v>
      </c>
      <c r="E44" s="93">
        <v>13569.7145</v>
      </c>
      <c r="F44" s="93">
        <v>13569.7145</v>
      </c>
      <c r="G44" s="93">
        <v>13569.7145</v>
      </c>
      <c r="H44" s="93">
        <v>13569.7145</v>
      </c>
      <c r="I44" s="93">
        <v>13569.7145</v>
      </c>
      <c r="J44" s="93">
        <v>13569.7145</v>
      </c>
      <c r="K44" s="93">
        <v>13569.7145</v>
      </c>
      <c r="L44" s="93">
        <v>13569.7145</v>
      </c>
      <c r="M44" s="93">
        <v>13569.7145</v>
      </c>
      <c r="N44" s="93">
        <v>13569.7145</v>
      </c>
      <c r="O44" s="93">
        <v>13569.7145</v>
      </c>
      <c r="P44" s="93">
        <v>162836.57399999999</v>
      </c>
    </row>
    <row r="45" spans="1:16">
      <c r="A45" s="89">
        <v>5137</v>
      </c>
      <c r="B45" s="89">
        <v>37501</v>
      </c>
      <c r="C45" s="90" t="s">
        <v>133</v>
      </c>
      <c r="D45" s="93">
        <v>60000</v>
      </c>
      <c r="E45" s="93">
        <v>60000</v>
      </c>
      <c r="F45" s="93">
        <v>60000</v>
      </c>
      <c r="G45" s="93">
        <v>60000</v>
      </c>
      <c r="H45" s="93">
        <v>60000</v>
      </c>
      <c r="I45" s="93">
        <v>60000</v>
      </c>
      <c r="J45" s="93">
        <v>60000</v>
      </c>
      <c r="K45" s="93">
        <v>60000</v>
      </c>
      <c r="L45" s="93">
        <v>60000</v>
      </c>
      <c r="M45" s="93">
        <v>60000</v>
      </c>
      <c r="N45" s="93">
        <v>60000</v>
      </c>
      <c r="O45" s="93">
        <v>60000</v>
      </c>
      <c r="P45" s="93">
        <v>720000</v>
      </c>
    </row>
    <row r="46" spans="1:16">
      <c r="A46" s="89">
        <v>5137</v>
      </c>
      <c r="B46" s="89">
        <v>37601</v>
      </c>
      <c r="C46" s="90" t="s">
        <v>134</v>
      </c>
      <c r="D46" s="93">
        <v>117333.33333333333</v>
      </c>
      <c r="E46" s="93">
        <v>117333.33333333333</v>
      </c>
      <c r="F46" s="93">
        <v>117333.33333333333</v>
      </c>
      <c r="G46" s="93">
        <v>117333.33333333333</v>
      </c>
      <c r="H46" s="93">
        <v>117333.33333333333</v>
      </c>
      <c r="I46" s="93">
        <v>117333.33333333333</v>
      </c>
      <c r="J46" s="93">
        <v>117333.33333333333</v>
      </c>
      <c r="K46" s="93">
        <v>117333.33333333333</v>
      </c>
      <c r="L46" s="93">
        <v>117333.33333333333</v>
      </c>
      <c r="M46" s="93">
        <v>117333.33333333333</v>
      </c>
      <c r="N46" s="93">
        <v>117333.33333333333</v>
      </c>
      <c r="O46" s="93">
        <v>117333.33333333333</v>
      </c>
      <c r="P46" s="93">
        <v>1407999.9999999998</v>
      </c>
    </row>
    <row r="47" spans="1:16">
      <c r="A47" s="89">
        <v>5138</v>
      </c>
      <c r="B47" s="89">
        <v>38301</v>
      </c>
      <c r="C47" s="90" t="s">
        <v>135</v>
      </c>
      <c r="D47" s="93">
        <v>464000</v>
      </c>
      <c r="E47" s="93">
        <v>350000</v>
      </c>
      <c r="F47" s="93">
        <v>75000</v>
      </c>
      <c r="G47" s="93">
        <v>75000</v>
      </c>
      <c r="H47" s="93">
        <v>560000</v>
      </c>
      <c r="I47" s="93">
        <v>75000</v>
      </c>
      <c r="J47" s="93">
        <v>75000</v>
      </c>
      <c r="K47" s="93">
        <v>75000</v>
      </c>
      <c r="L47" s="93">
        <v>75000</v>
      </c>
      <c r="M47" s="93">
        <v>75000</v>
      </c>
      <c r="N47" s="93">
        <v>75000</v>
      </c>
      <c r="O47" s="93">
        <v>75000</v>
      </c>
      <c r="P47" s="93">
        <v>2049000</v>
      </c>
    </row>
    <row r="48" spans="1:16">
      <c r="A48" s="89">
        <v>5138</v>
      </c>
      <c r="B48" s="89">
        <v>38501</v>
      </c>
      <c r="C48" s="90" t="s">
        <v>136</v>
      </c>
      <c r="D48" s="93">
        <v>30000</v>
      </c>
      <c r="E48" s="93">
        <v>30000</v>
      </c>
      <c r="F48" s="93">
        <v>30000</v>
      </c>
      <c r="G48" s="93">
        <v>30000</v>
      </c>
      <c r="H48" s="93">
        <v>30000</v>
      </c>
      <c r="I48" s="93">
        <v>30000</v>
      </c>
      <c r="J48" s="93">
        <v>30000</v>
      </c>
      <c r="K48" s="93">
        <v>30000</v>
      </c>
      <c r="L48" s="93">
        <v>30000</v>
      </c>
      <c r="M48" s="93">
        <v>30000</v>
      </c>
      <c r="N48" s="93">
        <v>30000</v>
      </c>
      <c r="O48" s="93">
        <v>30000</v>
      </c>
      <c r="P48" s="93">
        <v>360000</v>
      </c>
    </row>
    <row r="49" spans="1:16">
      <c r="A49" s="89">
        <v>5139</v>
      </c>
      <c r="B49" s="89">
        <v>39201</v>
      </c>
      <c r="C49" s="90" t="s">
        <v>1006</v>
      </c>
      <c r="D49" s="93">
        <v>3233071.7943199999</v>
      </c>
      <c r="E49" s="93">
        <v>286487.15431999997</v>
      </c>
      <c r="F49" s="93">
        <v>139247.15432</v>
      </c>
      <c r="G49" s="93">
        <v>563390.83431999991</v>
      </c>
      <c r="H49" s="93">
        <v>216575.15432</v>
      </c>
      <c r="I49" s="93">
        <v>138975.15432</v>
      </c>
      <c r="J49" s="93">
        <v>563390.83431999991</v>
      </c>
      <c r="K49" s="93">
        <v>138975.15432</v>
      </c>
      <c r="L49" s="93">
        <v>138975.15432</v>
      </c>
      <c r="M49" s="93">
        <v>171055.15432</v>
      </c>
      <c r="N49" s="93">
        <v>139391.15432</v>
      </c>
      <c r="O49" s="93">
        <v>139927.15432</v>
      </c>
      <c r="P49" s="93">
        <v>5869461.8518399987</v>
      </c>
    </row>
    <row r="50" spans="1:16">
      <c r="A50" s="89">
        <v>5139</v>
      </c>
      <c r="B50" s="89">
        <v>39801</v>
      </c>
      <c r="C50" s="90" t="s">
        <v>612</v>
      </c>
      <c r="D50" s="93">
        <v>35000</v>
      </c>
      <c r="E50" s="93">
        <v>35000</v>
      </c>
      <c r="F50" s="93">
        <v>35000</v>
      </c>
      <c r="G50" s="93">
        <v>35000</v>
      </c>
      <c r="H50" s="93">
        <v>35000</v>
      </c>
      <c r="I50" s="93">
        <v>35000</v>
      </c>
      <c r="J50" s="93">
        <v>35000</v>
      </c>
      <c r="K50" s="93">
        <v>35000</v>
      </c>
      <c r="L50" s="93">
        <v>35000</v>
      </c>
      <c r="M50" s="93">
        <v>35000</v>
      </c>
      <c r="N50" s="93">
        <v>35000</v>
      </c>
      <c r="O50" s="93">
        <v>35000</v>
      </c>
      <c r="P50" s="93">
        <v>420000</v>
      </c>
    </row>
    <row r="51" spans="1:16">
      <c r="A51" s="89">
        <v>5139</v>
      </c>
      <c r="B51" s="89">
        <v>39901</v>
      </c>
      <c r="C51" s="90" t="s">
        <v>137</v>
      </c>
      <c r="D51" s="93">
        <v>833.33333333333337</v>
      </c>
      <c r="E51" s="93">
        <v>833.33333333333337</v>
      </c>
      <c r="F51" s="93">
        <v>833.33333333333337</v>
      </c>
      <c r="G51" s="93">
        <v>833.33333333333337</v>
      </c>
      <c r="H51" s="93">
        <v>833.33333333333337</v>
      </c>
      <c r="I51" s="93">
        <v>833.33333333333337</v>
      </c>
      <c r="J51" s="93">
        <v>833.33333333333337</v>
      </c>
      <c r="K51" s="93">
        <v>833.33333333333337</v>
      </c>
      <c r="L51" s="93">
        <v>833.33333333333337</v>
      </c>
      <c r="M51" s="93">
        <v>833.33333333333337</v>
      </c>
      <c r="N51" s="93">
        <v>833.33333333333337</v>
      </c>
      <c r="O51" s="93">
        <v>833.33333333333337</v>
      </c>
      <c r="P51" s="93">
        <v>10000</v>
      </c>
    </row>
    <row r="52" spans="1:16">
      <c r="A52" s="106"/>
      <c r="B52" s="106"/>
      <c r="C52" s="107"/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</row>
    <row r="53" spans="1:16">
      <c r="A53" s="563" t="s">
        <v>1851</v>
      </c>
      <c r="B53" s="587"/>
      <c r="C53" s="149"/>
      <c r="D53" s="150">
        <v>84749.523684750005</v>
      </c>
      <c r="E53" s="150">
        <v>84749.523684750005</v>
      </c>
      <c r="F53" s="150">
        <v>84749.523684750005</v>
      </c>
      <c r="G53" s="150">
        <v>84749.523684750005</v>
      </c>
      <c r="H53" s="150">
        <v>84749.523684750005</v>
      </c>
      <c r="I53" s="150">
        <v>84749.523684750005</v>
      </c>
      <c r="J53" s="150">
        <v>84749.523684750005</v>
      </c>
      <c r="K53" s="150">
        <v>84749.523684750005</v>
      </c>
      <c r="L53" s="150">
        <v>84749.523684750005</v>
      </c>
      <c r="M53" s="150">
        <v>84749.523684750005</v>
      </c>
      <c r="N53" s="150">
        <v>84749.523684750005</v>
      </c>
      <c r="O53" s="150">
        <v>84749.523684750005</v>
      </c>
      <c r="P53" s="150">
        <v>1016994.284217</v>
      </c>
    </row>
    <row r="54" spans="1:16">
      <c r="A54" s="108">
        <v>5212</v>
      </c>
      <c r="B54" s="108">
        <v>41503</v>
      </c>
      <c r="C54" s="109" t="s">
        <v>1852</v>
      </c>
      <c r="D54" s="93">
        <v>20000</v>
      </c>
      <c r="E54" s="93">
        <v>20000</v>
      </c>
      <c r="F54" s="93">
        <v>20000</v>
      </c>
      <c r="G54" s="93">
        <v>20000</v>
      </c>
      <c r="H54" s="93">
        <v>20000</v>
      </c>
      <c r="I54" s="93">
        <v>20000</v>
      </c>
      <c r="J54" s="93">
        <v>20000</v>
      </c>
      <c r="K54" s="93">
        <v>20000</v>
      </c>
      <c r="L54" s="93">
        <v>20000</v>
      </c>
      <c r="M54" s="93">
        <v>20000</v>
      </c>
      <c r="N54" s="93">
        <v>20000</v>
      </c>
      <c r="O54" s="93">
        <v>20000</v>
      </c>
      <c r="P54" s="93">
        <v>240000</v>
      </c>
    </row>
    <row r="55" spans="1:16">
      <c r="A55" s="108">
        <v>5251</v>
      </c>
      <c r="B55" s="108">
        <v>45101</v>
      </c>
      <c r="C55" s="109" t="s">
        <v>1853</v>
      </c>
      <c r="D55" s="93">
        <v>37205.905671749999</v>
      </c>
      <c r="E55" s="93">
        <v>37205.905671749999</v>
      </c>
      <c r="F55" s="93">
        <v>37205.905671749999</v>
      </c>
      <c r="G55" s="93">
        <v>37205.905671749999</v>
      </c>
      <c r="H55" s="93">
        <v>37205.905671749999</v>
      </c>
      <c r="I55" s="93">
        <v>37205.905671749999</v>
      </c>
      <c r="J55" s="93">
        <v>37205.905671749999</v>
      </c>
      <c r="K55" s="93">
        <v>37205.905671749999</v>
      </c>
      <c r="L55" s="93">
        <v>37205.905671749999</v>
      </c>
      <c r="M55" s="93">
        <v>37205.905671749999</v>
      </c>
      <c r="N55" s="93">
        <v>37205.905671749999</v>
      </c>
      <c r="O55" s="93">
        <v>37205.905671749999</v>
      </c>
      <c r="P55" s="93">
        <v>446470.86806100007</v>
      </c>
    </row>
    <row r="56" spans="1:16">
      <c r="A56" s="89">
        <v>5251</v>
      </c>
      <c r="B56" s="89">
        <v>45201</v>
      </c>
      <c r="C56" s="90" t="s">
        <v>1854</v>
      </c>
      <c r="D56" s="93">
        <v>27543.618013000003</v>
      </c>
      <c r="E56" s="93">
        <v>27543.618013000003</v>
      </c>
      <c r="F56" s="93">
        <v>27543.618013000003</v>
      </c>
      <c r="G56" s="93">
        <v>27543.618013000003</v>
      </c>
      <c r="H56" s="93">
        <v>27543.618013000003</v>
      </c>
      <c r="I56" s="93">
        <v>27543.618013000003</v>
      </c>
      <c r="J56" s="93">
        <v>27543.618013000003</v>
      </c>
      <c r="K56" s="93">
        <v>27543.618013000003</v>
      </c>
      <c r="L56" s="93">
        <v>27543.618013000003</v>
      </c>
      <c r="M56" s="93">
        <v>27543.618013000003</v>
      </c>
      <c r="N56" s="93">
        <v>27543.618013000003</v>
      </c>
      <c r="O56" s="93">
        <v>27543.618013000003</v>
      </c>
      <c r="P56" s="93">
        <v>330523.41615600005</v>
      </c>
    </row>
    <row r="57" spans="1:16">
      <c r="A57" s="106"/>
      <c r="B57" s="106"/>
      <c r="C57" s="107"/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</row>
    <row r="58" spans="1:16">
      <c r="A58" s="111" t="s">
        <v>235</v>
      </c>
      <c r="B58" s="110"/>
      <c r="C58" s="94"/>
      <c r="D58" s="117">
        <f t="shared" ref="D58:P58" si="0">+D53+D27+D19+D8</f>
        <v>8471866.5179747492</v>
      </c>
      <c r="E58" s="117">
        <f t="shared" si="0"/>
        <v>2684127.8779747495</v>
      </c>
      <c r="F58" s="117">
        <f t="shared" si="0"/>
        <v>2258137.8779747495</v>
      </c>
      <c r="G58" s="117">
        <f t="shared" si="0"/>
        <v>5333179.5579747492</v>
      </c>
      <c r="H58" s="117">
        <f t="shared" si="0"/>
        <v>2818765.8779747495</v>
      </c>
      <c r="I58" s="117">
        <f t="shared" si="0"/>
        <v>2345727.5529747498</v>
      </c>
      <c r="J58" s="117">
        <f t="shared" si="0"/>
        <v>5333179.5579747492</v>
      </c>
      <c r="K58" s="117">
        <f t="shared" si="0"/>
        <v>2256165.8779747495</v>
      </c>
      <c r="L58" s="117">
        <f t="shared" si="0"/>
        <v>2256165.8779747495</v>
      </c>
      <c r="M58" s="117">
        <f t="shared" si="0"/>
        <v>2488745.8779747495</v>
      </c>
      <c r="N58" s="117">
        <f t="shared" si="0"/>
        <v>2259181.8779747495</v>
      </c>
      <c r="O58" s="117">
        <f t="shared" si="0"/>
        <v>4165357.8549747495</v>
      </c>
      <c r="P58" s="117">
        <f t="shared" si="0"/>
        <v>42670602.187696993</v>
      </c>
    </row>
    <row r="59" spans="1:16">
      <c r="A59" s="115"/>
      <c r="B59" s="114"/>
    </row>
    <row r="60" spans="1:16">
      <c r="A60" s="115"/>
      <c r="B60" s="114"/>
    </row>
    <row r="61" spans="1:16">
      <c r="A61" s="118"/>
      <c r="B61" s="119"/>
      <c r="C61" s="104"/>
      <c r="D61" s="104"/>
      <c r="E61" s="104"/>
      <c r="F61" s="104"/>
      <c r="G61" s="104"/>
      <c r="H61" s="104"/>
      <c r="I61" s="104"/>
      <c r="J61" s="104"/>
      <c r="K61" s="104"/>
      <c r="L61" s="104"/>
      <c r="M61" s="104"/>
      <c r="N61" s="104"/>
      <c r="O61" s="104"/>
      <c r="P61" s="104"/>
    </row>
    <row r="62" spans="1:16">
      <c r="A62" s="118"/>
      <c r="B62" s="119"/>
      <c r="C62" s="104"/>
      <c r="D62" s="104"/>
      <c r="E62" s="104"/>
      <c r="F62" s="104"/>
      <c r="G62" s="104"/>
      <c r="H62" s="104"/>
      <c r="I62" s="104"/>
      <c r="J62" s="104"/>
      <c r="K62" s="104"/>
      <c r="L62" s="104"/>
      <c r="M62" s="104"/>
      <c r="N62" s="104"/>
      <c r="O62" s="104"/>
      <c r="P62" s="104"/>
    </row>
    <row r="63" spans="1:16" ht="15">
      <c r="A63" s="1588" t="s">
        <v>49</v>
      </c>
      <c r="B63" s="1589"/>
      <c r="C63" s="1589"/>
      <c r="D63" s="1589"/>
      <c r="E63" s="1589"/>
      <c r="F63" s="1589"/>
      <c r="G63" s="1589"/>
      <c r="H63" s="1589"/>
      <c r="I63" s="1589"/>
      <c r="J63" s="1589"/>
      <c r="K63" s="1589"/>
      <c r="L63" s="1589"/>
      <c r="M63" s="1589"/>
      <c r="N63" s="1589"/>
      <c r="O63" s="1589"/>
      <c r="P63" s="1589"/>
    </row>
    <row r="64" spans="1:16">
      <c r="A64" s="115"/>
      <c r="B64" s="114"/>
    </row>
    <row r="65" spans="1:16">
      <c r="A65" s="576" t="s">
        <v>149</v>
      </c>
      <c r="B65" s="577"/>
      <c r="C65" s="578"/>
      <c r="D65" s="574" t="s">
        <v>51</v>
      </c>
      <c r="E65" s="574" t="s">
        <v>52</v>
      </c>
      <c r="F65" s="574" t="s">
        <v>53</v>
      </c>
      <c r="G65" s="574" t="s">
        <v>54</v>
      </c>
      <c r="H65" s="574" t="s">
        <v>55</v>
      </c>
      <c r="I65" s="574" t="s">
        <v>56</v>
      </c>
      <c r="J65" s="574" t="s">
        <v>57</v>
      </c>
      <c r="K65" s="574" t="s">
        <v>58</v>
      </c>
      <c r="L65" s="574" t="s">
        <v>59</v>
      </c>
      <c r="M65" s="574" t="s">
        <v>60</v>
      </c>
      <c r="N65" s="574" t="s">
        <v>61</v>
      </c>
      <c r="O65" s="574" t="s">
        <v>62</v>
      </c>
      <c r="P65" s="574" t="s">
        <v>3260</v>
      </c>
    </row>
    <row r="66" spans="1:16">
      <c r="A66" s="111" t="s">
        <v>146</v>
      </c>
      <c r="B66" s="116"/>
      <c r="C66" s="113"/>
      <c r="D66" s="117">
        <v>88605.92</v>
      </c>
      <c r="E66" s="117">
        <v>88605.92</v>
      </c>
      <c r="F66" s="117">
        <v>88605.92</v>
      </c>
      <c r="G66" s="117">
        <v>88605.92</v>
      </c>
      <c r="H66" s="117">
        <v>88605.92</v>
      </c>
      <c r="I66" s="117">
        <v>88605.92</v>
      </c>
      <c r="J66" s="117">
        <v>88605.92</v>
      </c>
      <c r="K66" s="117">
        <v>88605.92</v>
      </c>
      <c r="L66" s="117">
        <v>88605.92</v>
      </c>
      <c r="M66" s="117">
        <v>88605.92</v>
      </c>
      <c r="N66" s="117">
        <v>88605.92</v>
      </c>
      <c r="O66" s="117">
        <v>88605.92</v>
      </c>
      <c r="P66" s="120">
        <v>1063271.0400000003</v>
      </c>
    </row>
    <row r="67" spans="1:16">
      <c r="A67" s="89">
        <v>5126</v>
      </c>
      <c r="B67" s="89">
        <v>26101</v>
      </c>
      <c r="C67" s="90" t="s">
        <v>118</v>
      </c>
      <c r="D67" s="93">
        <v>88605.92</v>
      </c>
      <c r="E67" s="93">
        <v>88605.92</v>
      </c>
      <c r="F67" s="93">
        <v>88605.92</v>
      </c>
      <c r="G67" s="93">
        <v>88605.92</v>
      </c>
      <c r="H67" s="93">
        <v>88605.92</v>
      </c>
      <c r="I67" s="93">
        <v>88605.92</v>
      </c>
      <c r="J67" s="93">
        <v>88605.92</v>
      </c>
      <c r="K67" s="93">
        <v>88605.92</v>
      </c>
      <c r="L67" s="93">
        <v>88605.92</v>
      </c>
      <c r="M67" s="93">
        <v>88605.92</v>
      </c>
      <c r="N67" s="93">
        <v>88605.92</v>
      </c>
      <c r="O67" s="93">
        <v>88605.92</v>
      </c>
      <c r="P67" s="93">
        <v>1063271.0400000003</v>
      </c>
    </row>
    <row r="68" spans="1:16">
      <c r="A68" s="89"/>
      <c r="B68" s="89"/>
      <c r="C68" s="90"/>
      <c r="D68" s="93"/>
      <c r="E68" s="93"/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</row>
    <row r="69" spans="1:16">
      <c r="A69" s="111" t="s">
        <v>147</v>
      </c>
      <c r="B69" s="116"/>
      <c r="C69" s="113"/>
      <c r="D69" s="117">
        <v>18267595.798916668</v>
      </c>
      <c r="E69" s="117">
        <v>1267595.8389166666</v>
      </c>
      <c r="F69" s="117">
        <v>1267595.8389166666</v>
      </c>
      <c r="G69" s="117">
        <v>14267595.838916667</v>
      </c>
      <c r="H69" s="117">
        <v>1267595.8389166666</v>
      </c>
      <c r="I69" s="117">
        <v>1267595.8389166666</v>
      </c>
      <c r="J69" s="117">
        <v>14267595.838916667</v>
      </c>
      <c r="K69" s="117">
        <v>1267595.8389166666</v>
      </c>
      <c r="L69" s="117">
        <v>1267595.8389166666</v>
      </c>
      <c r="M69" s="117">
        <v>14267595.838916667</v>
      </c>
      <c r="N69" s="117">
        <v>1267595.8389166666</v>
      </c>
      <c r="O69" s="117">
        <v>1267595.8389166666</v>
      </c>
      <c r="P69" s="120">
        <v>71211150.026999995</v>
      </c>
    </row>
    <row r="70" spans="1:16">
      <c r="A70" s="89">
        <v>5131</v>
      </c>
      <c r="B70" s="89">
        <v>31101</v>
      </c>
      <c r="C70" s="90" t="s">
        <v>11</v>
      </c>
      <c r="D70" s="93">
        <v>515736</v>
      </c>
      <c r="E70" s="93">
        <v>515736</v>
      </c>
      <c r="F70" s="93">
        <v>515736</v>
      </c>
      <c r="G70" s="93">
        <v>515736</v>
      </c>
      <c r="H70" s="93">
        <v>515736</v>
      </c>
      <c r="I70" s="93">
        <v>515736</v>
      </c>
      <c r="J70" s="93">
        <v>515736</v>
      </c>
      <c r="K70" s="93">
        <v>515736</v>
      </c>
      <c r="L70" s="93">
        <v>515736</v>
      </c>
      <c r="M70" s="93">
        <v>515736</v>
      </c>
      <c r="N70" s="93">
        <v>515736</v>
      </c>
      <c r="O70" s="93">
        <v>515736</v>
      </c>
      <c r="P70" s="93">
        <v>6188832</v>
      </c>
    </row>
    <row r="71" spans="1:16">
      <c r="A71" s="89">
        <v>5131</v>
      </c>
      <c r="B71" s="89">
        <v>31301</v>
      </c>
      <c r="C71" s="90" t="s">
        <v>22</v>
      </c>
      <c r="D71" s="93">
        <v>13000000</v>
      </c>
      <c r="E71" s="93">
        <v>0</v>
      </c>
      <c r="F71" s="93">
        <v>0</v>
      </c>
      <c r="G71" s="93">
        <v>13000000</v>
      </c>
      <c r="H71" s="93">
        <v>0</v>
      </c>
      <c r="I71" s="93">
        <v>0</v>
      </c>
      <c r="J71" s="93">
        <v>13000000</v>
      </c>
      <c r="K71" s="93">
        <v>0</v>
      </c>
      <c r="L71" s="93">
        <v>0</v>
      </c>
      <c r="M71" s="93">
        <v>13000000</v>
      </c>
      <c r="N71" s="93">
        <v>0</v>
      </c>
      <c r="O71" s="93">
        <v>0</v>
      </c>
      <c r="P71" s="93">
        <v>52000000</v>
      </c>
    </row>
    <row r="72" spans="1:16">
      <c r="A72" s="89">
        <v>5133</v>
      </c>
      <c r="B72" s="89">
        <v>33801</v>
      </c>
      <c r="C72" s="90" t="s">
        <v>138</v>
      </c>
      <c r="D72" s="93">
        <v>333333.33333333331</v>
      </c>
      <c r="E72" s="93">
        <v>333333.33333333331</v>
      </c>
      <c r="F72" s="93">
        <v>333333.33333333331</v>
      </c>
      <c r="G72" s="93">
        <v>333333.33333333331</v>
      </c>
      <c r="H72" s="93">
        <v>333333.33333333331</v>
      </c>
      <c r="I72" s="93">
        <v>333333.33333333331</v>
      </c>
      <c r="J72" s="93">
        <v>333333.33333333331</v>
      </c>
      <c r="K72" s="93">
        <v>333333.33333333331</v>
      </c>
      <c r="L72" s="93">
        <v>333333.33333333331</v>
      </c>
      <c r="M72" s="93">
        <v>333333.33333333331</v>
      </c>
      <c r="N72" s="93">
        <v>333333.33333333331</v>
      </c>
      <c r="O72" s="93">
        <v>333333.33333333331</v>
      </c>
      <c r="P72" s="93">
        <v>4000000.0000000005</v>
      </c>
    </row>
    <row r="73" spans="1:16">
      <c r="A73" s="89">
        <v>5134</v>
      </c>
      <c r="B73" s="89">
        <v>34501</v>
      </c>
      <c r="C73" s="90" t="s">
        <v>127</v>
      </c>
      <c r="D73" s="41">
        <v>25000</v>
      </c>
      <c r="E73" s="41">
        <v>25000</v>
      </c>
      <c r="F73" s="41">
        <v>25000</v>
      </c>
      <c r="G73" s="41">
        <v>25000</v>
      </c>
      <c r="H73" s="41">
        <v>25000</v>
      </c>
      <c r="I73" s="41">
        <v>25000</v>
      </c>
      <c r="J73" s="41">
        <v>25000</v>
      </c>
      <c r="K73" s="41">
        <v>25000</v>
      </c>
      <c r="L73" s="41">
        <v>25000</v>
      </c>
      <c r="M73" s="41">
        <v>25000</v>
      </c>
      <c r="N73" s="41">
        <v>25000</v>
      </c>
      <c r="O73" s="41">
        <v>25000</v>
      </c>
      <c r="P73" s="93">
        <v>300000</v>
      </c>
    </row>
    <row r="74" spans="1:16">
      <c r="A74" s="89">
        <v>5135</v>
      </c>
      <c r="B74" s="89">
        <v>35101</v>
      </c>
      <c r="C74" s="90" t="s">
        <v>139</v>
      </c>
      <c r="D74" s="93">
        <v>393526.50558333332</v>
      </c>
      <c r="E74" s="93">
        <v>393526.50558333332</v>
      </c>
      <c r="F74" s="93">
        <v>393526.50558333332</v>
      </c>
      <c r="G74" s="93">
        <v>393526.50558333332</v>
      </c>
      <c r="H74" s="93">
        <v>393526.50558333332</v>
      </c>
      <c r="I74" s="93">
        <v>393526.50558333332</v>
      </c>
      <c r="J74" s="93">
        <v>393526.50558333332</v>
      </c>
      <c r="K74" s="93">
        <v>393526.50558333332</v>
      </c>
      <c r="L74" s="93">
        <v>393526.50558333332</v>
      </c>
      <c r="M74" s="93">
        <v>393526.50558333332</v>
      </c>
      <c r="N74" s="93">
        <v>393526.50558333332</v>
      </c>
      <c r="O74" s="93">
        <v>393526.50558333332</v>
      </c>
      <c r="P74" s="93">
        <v>4722318.0669999998</v>
      </c>
    </row>
    <row r="75" spans="1:16">
      <c r="A75" s="89">
        <v>5135</v>
      </c>
      <c r="B75" s="89">
        <v>35701</v>
      </c>
      <c r="C75" s="90" t="s">
        <v>140</v>
      </c>
      <c r="D75" s="93">
        <v>3999999.9600000004</v>
      </c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>
        <v>3999999.9600000004</v>
      </c>
    </row>
    <row r="76" spans="1:16">
      <c r="A76" s="111" t="s">
        <v>154</v>
      </c>
      <c r="B76" s="110"/>
      <c r="C76" s="94"/>
      <c r="D76" s="120">
        <f t="shared" ref="D76:P76" si="1">+D66+D69</f>
        <v>18356201.718916669</v>
      </c>
      <c r="E76" s="120">
        <f t="shared" si="1"/>
        <v>1356201.7589166665</v>
      </c>
      <c r="F76" s="120">
        <f t="shared" si="1"/>
        <v>1356201.7589166665</v>
      </c>
      <c r="G76" s="120">
        <f t="shared" si="1"/>
        <v>14356201.758916667</v>
      </c>
      <c r="H76" s="120">
        <f t="shared" si="1"/>
        <v>1356201.7589166665</v>
      </c>
      <c r="I76" s="120">
        <f t="shared" si="1"/>
        <v>1356201.7589166665</v>
      </c>
      <c r="J76" s="120">
        <f t="shared" si="1"/>
        <v>14356201.758916667</v>
      </c>
      <c r="K76" s="120">
        <f t="shared" si="1"/>
        <v>1356201.7589166665</v>
      </c>
      <c r="L76" s="120">
        <f t="shared" si="1"/>
        <v>1356201.7589166665</v>
      </c>
      <c r="M76" s="120">
        <f t="shared" si="1"/>
        <v>14356201.758916667</v>
      </c>
      <c r="N76" s="120">
        <f t="shared" si="1"/>
        <v>1356201.7589166665</v>
      </c>
      <c r="O76" s="120">
        <f t="shared" si="1"/>
        <v>1356201.7589166665</v>
      </c>
      <c r="P76" s="120">
        <f t="shared" si="1"/>
        <v>72274421.067000002</v>
      </c>
    </row>
    <row r="77" spans="1:16">
      <c r="A77" s="115"/>
      <c r="B77" s="114"/>
    </row>
    <row r="78" spans="1:16">
      <c r="A78" s="114"/>
      <c r="B78" s="114"/>
      <c r="D78" s="124"/>
      <c r="E78" s="124"/>
      <c r="F78" s="124"/>
      <c r="G78" s="124"/>
      <c r="H78" s="124"/>
      <c r="I78" s="124"/>
      <c r="J78" s="124"/>
      <c r="K78" s="124"/>
      <c r="L78" s="124"/>
      <c r="M78" s="124"/>
      <c r="N78" s="124"/>
      <c r="O78" s="124"/>
      <c r="P78" s="124"/>
    </row>
    <row r="79" spans="1:16" s="2" customFormat="1">
      <c r="A79" s="576" t="s">
        <v>150</v>
      </c>
      <c r="B79" s="577"/>
      <c r="C79" s="578"/>
      <c r="D79" s="574" t="s">
        <v>51</v>
      </c>
      <c r="E79" s="574" t="s">
        <v>52</v>
      </c>
      <c r="F79" s="574" t="s">
        <v>53</v>
      </c>
      <c r="G79" s="574" t="s">
        <v>54</v>
      </c>
      <c r="H79" s="574" t="s">
        <v>55</v>
      </c>
      <c r="I79" s="574" t="s">
        <v>56</v>
      </c>
      <c r="J79" s="574" t="s">
        <v>57</v>
      </c>
      <c r="K79" s="574" t="s">
        <v>58</v>
      </c>
      <c r="L79" s="574" t="s">
        <v>59</v>
      </c>
      <c r="M79" s="574" t="s">
        <v>60</v>
      </c>
      <c r="N79" s="574" t="s">
        <v>61</v>
      </c>
      <c r="O79" s="574" t="s">
        <v>62</v>
      </c>
      <c r="P79" s="574" t="s">
        <v>3260</v>
      </c>
    </row>
    <row r="80" spans="1:16">
      <c r="A80" s="111" t="s">
        <v>146</v>
      </c>
      <c r="B80" s="116"/>
      <c r="C80" s="113"/>
      <c r="D80" s="117">
        <v>6539.5200000000013</v>
      </c>
      <c r="E80" s="117">
        <v>6539.5200000000013</v>
      </c>
      <c r="F80" s="117">
        <v>6539.5200000000013</v>
      </c>
      <c r="G80" s="117">
        <v>6539.5200000000013</v>
      </c>
      <c r="H80" s="117">
        <v>6539.5200000000013</v>
      </c>
      <c r="I80" s="117">
        <v>6539.5200000000013</v>
      </c>
      <c r="J80" s="117">
        <v>6539.5200000000013</v>
      </c>
      <c r="K80" s="117">
        <v>6539.5200000000013</v>
      </c>
      <c r="L80" s="117">
        <v>6539.5200000000013</v>
      </c>
      <c r="M80" s="117">
        <v>6539.5200000000013</v>
      </c>
      <c r="N80" s="117">
        <v>6539.5200000000013</v>
      </c>
      <c r="O80" s="117">
        <v>6539.5200000000013</v>
      </c>
      <c r="P80" s="120">
        <v>78474.240000000034</v>
      </c>
    </row>
    <row r="81" spans="1:17">
      <c r="A81" s="89">
        <v>5126</v>
      </c>
      <c r="B81" s="89">
        <v>26101</v>
      </c>
      <c r="C81" s="90" t="s">
        <v>118</v>
      </c>
      <c r="D81" s="93">
        <v>6539.5200000000013</v>
      </c>
      <c r="E81" s="93">
        <v>6539.5200000000013</v>
      </c>
      <c r="F81" s="93">
        <v>6539.5200000000013</v>
      </c>
      <c r="G81" s="93">
        <v>6539.5200000000013</v>
      </c>
      <c r="H81" s="93">
        <v>6539.5200000000013</v>
      </c>
      <c r="I81" s="93">
        <v>6539.5200000000013</v>
      </c>
      <c r="J81" s="93">
        <v>6539.5200000000013</v>
      </c>
      <c r="K81" s="93">
        <v>6539.5200000000013</v>
      </c>
      <c r="L81" s="93">
        <v>6539.5200000000013</v>
      </c>
      <c r="M81" s="93">
        <v>6539.5200000000013</v>
      </c>
      <c r="N81" s="93">
        <v>6539.5200000000013</v>
      </c>
      <c r="O81" s="93">
        <v>6539.5200000000013</v>
      </c>
      <c r="P81" s="93">
        <v>78474.240000000034</v>
      </c>
    </row>
    <row r="82" spans="1:17">
      <c r="A82" s="89"/>
      <c r="B82" s="89"/>
      <c r="C82" s="90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</row>
    <row r="83" spans="1:17">
      <c r="A83" s="111" t="s">
        <v>147</v>
      </c>
      <c r="B83" s="110"/>
      <c r="C83" s="94"/>
      <c r="D83" s="117">
        <v>3213704.4331666669</v>
      </c>
      <c r="E83" s="117">
        <v>313704.47316666663</v>
      </c>
      <c r="F83" s="117">
        <v>313704.47316666663</v>
      </c>
      <c r="G83" s="117">
        <v>1613704.4731666667</v>
      </c>
      <c r="H83" s="117">
        <v>313704.47316666663</v>
      </c>
      <c r="I83" s="117">
        <v>313704.47316666663</v>
      </c>
      <c r="J83" s="117">
        <v>1613704.4731666667</v>
      </c>
      <c r="K83" s="117">
        <v>313704.47316666663</v>
      </c>
      <c r="L83" s="117">
        <v>313704.47316666663</v>
      </c>
      <c r="M83" s="117">
        <v>1613704.4731666667</v>
      </c>
      <c r="N83" s="117">
        <v>313704.47316666663</v>
      </c>
      <c r="O83" s="117">
        <v>313704.47316666663</v>
      </c>
      <c r="P83" s="117">
        <v>10564453.638</v>
      </c>
    </row>
    <row r="84" spans="1:17" s="2" customFormat="1">
      <c r="A84" s="108">
        <v>5131</v>
      </c>
      <c r="B84" s="108">
        <v>31101</v>
      </c>
      <c r="C84" s="109" t="s">
        <v>11</v>
      </c>
      <c r="D84" s="93">
        <v>129043.19999999997</v>
      </c>
      <c r="E84" s="93">
        <v>129043.19999999997</v>
      </c>
      <c r="F84" s="93">
        <v>129043.19999999997</v>
      </c>
      <c r="G84" s="93">
        <v>129043.19999999997</v>
      </c>
      <c r="H84" s="93">
        <v>129043.19999999997</v>
      </c>
      <c r="I84" s="93">
        <v>129043.19999999997</v>
      </c>
      <c r="J84" s="93">
        <v>129043.19999999997</v>
      </c>
      <c r="K84" s="93">
        <v>129043.19999999997</v>
      </c>
      <c r="L84" s="93">
        <v>129043.19999999997</v>
      </c>
      <c r="M84" s="93">
        <v>129043.19999999997</v>
      </c>
      <c r="N84" s="93">
        <v>129043.19999999997</v>
      </c>
      <c r="O84" s="93">
        <v>129043.19999999997</v>
      </c>
      <c r="P84" s="93">
        <v>1548518.3999999997</v>
      </c>
    </row>
    <row r="85" spans="1:17">
      <c r="A85" s="89">
        <v>5131</v>
      </c>
      <c r="B85" s="89">
        <v>31301</v>
      </c>
      <c r="C85" s="90" t="s">
        <v>22</v>
      </c>
      <c r="D85" s="93">
        <v>1300000</v>
      </c>
      <c r="E85" s="93">
        <v>0</v>
      </c>
      <c r="F85" s="93">
        <v>0</v>
      </c>
      <c r="G85" s="93">
        <v>1300000</v>
      </c>
      <c r="H85" s="93">
        <v>0</v>
      </c>
      <c r="I85" s="93">
        <v>0</v>
      </c>
      <c r="J85" s="93">
        <v>1300000</v>
      </c>
      <c r="K85" s="93">
        <v>0</v>
      </c>
      <c r="L85" s="93">
        <v>0</v>
      </c>
      <c r="M85" s="93">
        <v>1300000</v>
      </c>
      <c r="N85" s="93">
        <v>0</v>
      </c>
      <c r="O85" s="93">
        <v>0</v>
      </c>
      <c r="P85" s="93">
        <v>5200000</v>
      </c>
    </row>
    <row r="86" spans="1:17">
      <c r="A86" s="89">
        <v>5135</v>
      </c>
      <c r="B86" s="89">
        <v>35101</v>
      </c>
      <c r="C86" s="90" t="s">
        <v>139</v>
      </c>
      <c r="D86" s="93">
        <v>184661.27316666665</v>
      </c>
      <c r="E86" s="93">
        <v>184661.27316666665</v>
      </c>
      <c r="F86" s="93">
        <v>184661.27316666665</v>
      </c>
      <c r="G86" s="93">
        <v>184661.27316666665</v>
      </c>
      <c r="H86" s="93">
        <v>184661.27316666665</v>
      </c>
      <c r="I86" s="93">
        <v>184661.27316666665</v>
      </c>
      <c r="J86" s="93">
        <v>184661.27316666665</v>
      </c>
      <c r="K86" s="93">
        <v>184661.27316666665</v>
      </c>
      <c r="L86" s="93">
        <v>184661.27316666665</v>
      </c>
      <c r="M86" s="93">
        <v>184661.27316666665</v>
      </c>
      <c r="N86" s="93">
        <v>184661.27316666665</v>
      </c>
      <c r="O86" s="93">
        <v>184661.27316666665</v>
      </c>
      <c r="P86" s="93">
        <v>2215935.2780000004</v>
      </c>
    </row>
    <row r="87" spans="1:17">
      <c r="A87" s="89">
        <v>5135</v>
      </c>
      <c r="B87" s="89">
        <v>35701</v>
      </c>
      <c r="C87" s="90" t="s">
        <v>140</v>
      </c>
      <c r="D87" s="93">
        <v>1599999.9600000002</v>
      </c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>
        <v>1599999.9600000002</v>
      </c>
    </row>
    <row r="88" spans="1:17">
      <c r="A88" s="111" t="s">
        <v>155</v>
      </c>
      <c r="B88" s="110"/>
      <c r="C88" s="94"/>
      <c r="D88" s="120">
        <f>+D83+D80</f>
        <v>3220243.9531666669</v>
      </c>
      <c r="E88" s="120">
        <f t="shared" ref="E88:P88" si="2">+E83+E80</f>
        <v>320243.99316666665</v>
      </c>
      <c r="F88" s="120">
        <f t="shared" si="2"/>
        <v>320243.99316666665</v>
      </c>
      <c r="G88" s="120">
        <f t="shared" si="2"/>
        <v>1620243.9931666667</v>
      </c>
      <c r="H88" s="120">
        <f t="shared" si="2"/>
        <v>320243.99316666665</v>
      </c>
      <c r="I88" s="120">
        <f t="shared" si="2"/>
        <v>320243.99316666665</v>
      </c>
      <c r="J88" s="120">
        <f t="shared" si="2"/>
        <v>1620243.9931666667</v>
      </c>
      <c r="K88" s="120">
        <f t="shared" si="2"/>
        <v>320243.99316666665</v>
      </c>
      <c r="L88" s="120">
        <f t="shared" si="2"/>
        <v>320243.99316666665</v>
      </c>
      <c r="M88" s="120">
        <f t="shared" si="2"/>
        <v>1620243.9931666667</v>
      </c>
      <c r="N88" s="120">
        <f t="shared" si="2"/>
        <v>320243.99316666665</v>
      </c>
      <c r="O88" s="120">
        <f t="shared" si="2"/>
        <v>320243.99316666665</v>
      </c>
      <c r="P88" s="120">
        <f t="shared" si="2"/>
        <v>10642927.878</v>
      </c>
    </row>
    <row r="89" spans="1:17">
      <c r="A89" s="115"/>
      <c r="B89" s="114"/>
    </row>
    <row r="90" spans="1:17" s="2" customFormat="1">
      <c r="A90" s="114"/>
      <c r="B90" s="114"/>
      <c r="C90" s="73"/>
      <c r="D90" s="73"/>
      <c r="E90" s="73"/>
      <c r="F90" s="73"/>
      <c r="G90" s="73"/>
      <c r="H90" s="73"/>
      <c r="I90" s="73"/>
      <c r="J90" s="73"/>
      <c r="K90" s="73"/>
      <c r="L90" s="73"/>
      <c r="M90" s="73"/>
      <c r="N90" s="73"/>
      <c r="O90" s="73"/>
      <c r="P90" s="73"/>
    </row>
    <row r="91" spans="1:17">
      <c r="A91" s="576" t="s">
        <v>151</v>
      </c>
      <c r="B91" s="577"/>
      <c r="C91" s="578"/>
      <c r="D91" s="574" t="s">
        <v>51</v>
      </c>
      <c r="E91" s="574" t="s">
        <v>52</v>
      </c>
      <c r="F91" s="574" t="s">
        <v>53</v>
      </c>
      <c r="G91" s="574" t="s">
        <v>54</v>
      </c>
      <c r="H91" s="574" t="s">
        <v>55</v>
      </c>
      <c r="I91" s="574" t="s">
        <v>56</v>
      </c>
      <c r="J91" s="574" t="s">
        <v>57</v>
      </c>
      <c r="K91" s="574" t="s">
        <v>58</v>
      </c>
      <c r="L91" s="574" t="s">
        <v>59</v>
      </c>
      <c r="M91" s="574" t="s">
        <v>60</v>
      </c>
      <c r="N91" s="574" t="s">
        <v>61</v>
      </c>
      <c r="O91" s="574" t="s">
        <v>62</v>
      </c>
      <c r="P91" s="574" t="s">
        <v>3260</v>
      </c>
    </row>
    <row r="92" spans="1:17">
      <c r="A92" s="111" t="s">
        <v>146</v>
      </c>
      <c r="B92" s="116"/>
      <c r="C92" s="113"/>
      <c r="D92" s="117">
        <v>8520.5120000000006</v>
      </c>
      <c r="E92" s="117">
        <v>8520.5120000000006</v>
      </c>
      <c r="F92" s="117">
        <v>8520.5120000000006</v>
      </c>
      <c r="G92" s="117">
        <v>8520.5120000000006</v>
      </c>
      <c r="H92" s="117">
        <v>8520.5120000000006</v>
      </c>
      <c r="I92" s="117">
        <v>8520.5120000000006</v>
      </c>
      <c r="J92" s="117">
        <v>8520.5120000000006</v>
      </c>
      <c r="K92" s="117">
        <v>8520.5120000000006</v>
      </c>
      <c r="L92" s="117">
        <v>8520.5120000000006</v>
      </c>
      <c r="M92" s="117">
        <v>8520.5120000000006</v>
      </c>
      <c r="N92" s="117">
        <v>8520.5120000000006</v>
      </c>
      <c r="O92" s="117">
        <v>8520.5120000000006</v>
      </c>
      <c r="P92" s="120">
        <v>102246.14400000001</v>
      </c>
    </row>
    <row r="93" spans="1:17">
      <c r="A93" s="89">
        <v>5126</v>
      </c>
      <c r="B93" s="89">
        <v>26101</v>
      </c>
      <c r="C93" s="90" t="s">
        <v>118</v>
      </c>
      <c r="D93" s="93">
        <v>8520.5120000000006</v>
      </c>
      <c r="E93" s="93">
        <v>8520.5120000000006</v>
      </c>
      <c r="F93" s="93">
        <v>8520.5120000000006</v>
      </c>
      <c r="G93" s="93">
        <v>8520.5120000000006</v>
      </c>
      <c r="H93" s="93">
        <v>8520.5120000000006</v>
      </c>
      <c r="I93" s="93">
        <v>8520.5120000000006</v>
      </c>
      <c r="J93" s="93">
        <v>8520.5120000000006</v>
      </c>
      <c r="K93" s="93">
        <v>8520.5120000000006</v>
      </c>
      <c r="L93" s="93">
        <v>8520.5120000000006</v>
      </c>
      <c r="M93" s="93">
        <v>8520.5120000000006</v>
      </c>
      <c r="N93" s="93">
        <v>8520.5120000000006</v>
      </c>
      <c r="O93" s="93">
        <v>8520.5120000000006</v>
      </c>
      <c r="P93" s="93">
        <v>102246.14400000001</v>
      </c>
    </row>
    <row r="94" spans="1:17">
      <c r="A94" s="89"/>
      <c r="B94" s="89"/>
      <c r="C94" s="90"/>
      <c r="D94" s="93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</row>
    <row r="95" spans="1:17">
      <c r="A95" s="111" t="s">
        <v>147</v>
      </c>
      <c r="B95" s="110"/>
      <c r="C95" s="94"/>
      <c r="D95" s="117">
        <v>2270163.851166667</v>
      </c>
      <c r="E95" s="117">
        <v>270163.89116666664</v>
      </c>
      <c r="F95" s="117">
        <v>270163.89116666664</v>
      </c>
      <c r="G95" s="117">
        <v>670163.89116666664</v>
      </c>
      <c r="H95" s="117">
        <v>270163.89116666664</v>
      </c>
      <c r="I95" s="117">
        <v>270163.89116666664</v>
      </c>
      <c r="J95" s="117">
        <v>670163.89116666664</v>
      </c>
      <c r="K95" s="117">
        <v>270163.89116666664</v>
      </c>
      <c r="L95" s="117">
        <v>270163.89116666664</v>
      </c>
      <c r="M95" s="117">
        <v>670163.89116666664</v>
      </c>
      <c r="N95" s="117">
        <v>270163.89116666664</v>
      </c>
      <c r="O95" s="117">
        <v>270163.89116666664</v>
      </c>
      <c r="P95" s="117">
        <v>6441966.6540000001</v>
      </c>
      <c r="Q95" s="9"/>
    </row>
    <row r="96" spans="1:17">
      <c r="A96" s="108">
        <v>5131</v>
      </c>
      <c r="B96" s="108">
        <v>31101</v>
      </c>
      <c r="C96" s="109" t="s">
        <v>11</v>
      </c>
      <c r="D96" s="93">
        <v>81000</v>
      </c>
      <c r="E96" s="93">
        <v>81000</v>
      </c>
      <c r="F96" s="93">
        <v>81000</v>
      </c>
      <c r="G96" s="93">
        <v>81000</v>
      </c>
      <c r="H96" s="93">
        <v>81000</v>
      </c>
      <c r="I96" s="93">
        <v>81000</v>
      </c>
      <c r="J96" s="93">
        <v>81000</v>
      </c>
      <c r="K96" s="93">
        <v>81000</v>
      </c>
      <c r="L96" s="93">
        <v>81000</v>
      </c>
      <c r="M96" s="93">
        <v>81000</v>
      </c>
      <c r="N96" s="93">
        <v>81000</v>
      </c>
      <c r="O96" s="93">
        <v>81000</v>
      </c>
      <c r="P96" s="93">
        <v>972000</v>
      </c>
    </row>
    <row r="97" spans="1:16">
      <c r="A97" s="89">
        <v>5131</v>
      </c>
      <c r="B97" s="89">
        <v>31301</v>
      </c>
      <c r="C97" s="90" t="s">
        <v>22</v>
      </c>
      <c r="D97" s="93">
        <v>400000</v>
      </c>
      <c r="E97" s="93">
        <v>0</v>
      </c>
      <c r="F97" s="93">
        <v>0</v>
      </c>
      <c r="G97" s="93">
        <v>400000</v>
      </c>
      <c r="H97" s="93">
        <v>0</v>
      </c>
      <c r="I97" s="93">
        <v>0</v>
      </c>
      <c r="J97" s="93">
        <v>400000</v>
      </c>
      <c r="K97" s="93">
        <v>0</v>
      </c>
      <c r="L97" s="93">
        <v>0</v>
      </c>
      <c r="M97" s="93">
        <v>400000</v>
      </c>
      <c r="N97" s="93">
        <v>0</v>
      </c>
      <c r="O97" s="93">
        <v>0</v>
      </c>
      <c r="P97" s="93">
        <v>1600000</v>
      </c>
    </row>
    <row r="98" spans="1:16">
      <c r="A98" s="89">
        <v>5133</v>
      </c>
      <c r="B98" s="89">
        <v>33801</v>
      </c>
      <c r="C98" s="90" t="s">
        <v>138</v>
      </c>
      <c r="D98" s="93">
        <v>105000</v>
      </c>
      <c r="E98" s="93">
        <v>105000</v>
      </c>
      <c r="F98" s="93">
        <v>105000</v>
      </c>
      <c r="G98" s="93">
        <v>105000</v>
      </c>
      <c r="H98" s="93">
        <v>105000</v>
      </c>
      <c r="I98" s="93">
        <v>105000</v>
      </c>
      <c r="J98" s="93">
        <v>105000</v>
      </c>
      <c r="K98" s="93">
        <v>105000</v>
      </c>
      <c r="L98" s="93">
        <v>105000</v>
      </c>
      <c r="M98" s="93">
        <v>105000</v>
      </c>
      <c r="N98" s="93">
        <v>105000</v>
      </c>
      <c r="O98" s="93">
        <v>105000</v>
      </c>
      <c r="P98" s="93">
        <v>1260000</v>
      </c>
    </row>
    <row r="99" spans="1:16">
      <c r="A99" s="89">
        <v>5135</v>
      </c>
      <c r="B99" s="89">
        <v>35101</v>
      </c>
      <c r="C99" s="90" t="s">
        <v>139</v>
      </c>
      <c r="D99" s="93">
        <v>84163.891166666668</v>
      </c>
      <c r="E99" s="93">
        <v>84163.891166666668</v>
      </c>
      <c r="F99" s="93">
        <v>84163.891166666668</v>
      </c>
      <c r="G99" s="93">
        <v>84163.891166666668</v>
      </c>
      <c r="H99" s="93">
        <v>84163.891166666668</v>
      </c>
      <c r="I99" s="93">
        <v>84163.891166666668</v>
      </c>
      <c r="J99" s="93">
        <v>84163.891166666668</v>
      </c>
      <c r="K99" s="93">
        <v>84163.891166666668</v>
      </c>
      <c r="L99" s="93">
        <v>84163.891166666668</v>
      </c>
      <c r="M99" s="93">
        <v>84163.891166666668</v>
      </c>
      <c r="N99" s="93">
        <v>84163.891166666668</v>
      </c>
      <c r="O99" s="93">
        <v>84163.891166666668</v>
      </c>
      <c r="P99" s="93">
        <v>1009966.6939999998</v>
      </c>
    </row>
    <row r="100" spans="1:16">
      <c r="A100" s="89">
        <v>5135</v>
      </c>
      <c r="B100" s="89">
        <v>35701</v>
      </c>
      <c r="C100" s="90" t="s">
        <v>140</v>
      </c>
      <c r="D100" s="93">
        <v>1599999.9600000002</v>
      </c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>
        <v>1599999.9600000002</v>
      </c>
    </row>
    <row r="101" spans="1:16" s="2" customFormat="1">
      <c r="A101" s="111" t="s">
        <v>156</v>
      </c>
      <c r="B101" s="110"/>
      <c r="C101" s="94"/>
      <c r="D101" s="117">
        <f>+D95+D92</f>
        <v>2278684.3631666671</v>
      </c>
      <c r="E101" s="117">
        <f t="shared" ref="E101:P101" si="3">+E95+E92</f>
        <v>278684.40316666663</v>
      </c>
      <c r="F101" s="117">
        <f t="shared" si="3"/>
        <v>278684.40316666663</v>
      </c>
      <c r="G101" s="117">
        <f t="shared" si="3"/>
        <v>678684.40316666663</v>
      </c>
      <c r="H101" s="117">
        <f t="shared" si="3"/>
        <v>278684.40316666663</v>
      </c>
      <c r="I101" s="117">
        <f t="shared" si="3"/>
        <v>278684.40316666663</v>
      </c>
      <c r="J101" s="117">
        <f t="shared" si="3"/>
        <v>678684.40316666663</v>
      </c>
      <c r="K101" s="117">
        <f t="shared" si="3"/>
        <v>278684.40316666663</v>
      </c>
      <c r="L101" s="117">
        <f t="shared" si="3"/>
        <v>278684.40316666663</v>
      </c>
      <c r="M101" s="117">
        <f t="shared" si="3"/>
        <v>678684.40316666663</v>
      </c>
      <c r="N101" s="117">
        <f t="shared" si="3"/>
        <v>278684.40316666663</v>
      </c>
      <c r="O101" s="117">
        <f t="shared" si="3"/>
        <v>278684.40316666663</v>
      </c>
      <c r="P101" s="117">
        <f t="shared" si="3"/>
        <v>6544212.7980000004</v>
      </c>
    </row>
    <row r="102" spans="1:16">
      <c r="A102" s="114"/>
      <c r="B102" s="114"/>
    </row>
    <row r="103" spans="1:16">
      <c r="A103" s="114"/>
      <c r="B103" s="114"/>
    </row>
    <row r="104" spans="1:16">
      <c r="A104" s="576" t="s">
        <v>100</v>
      </c>
      <c r="B104" s="577"/>
      <c r="C104" s="578"/>
      <c r="D104" s="574" t="s">
        <v>51</v>
      </c>
      <c r="E104" s="574" t="s">
        <v>52</v>
      </c>
      <c r="F104" s="574" t="s">
        <v>53</v>
      </c>
      <c r="G104" s="574" t="s">
        <v>54</v>
      </c>
      <c r="H104" s="574" t="s">
        <v>55</v>
      </c>
      <c r="I104" s="574" t="s">
        <v>56</v>
      </c>
      <c r="J104" s="574" t="s">
        <v>57</v>
      </c>
      <c r="K104" s="574" t="s">
        <v>58</v>
      </c>
      <c r="L104" s="574" t="s">
        <v>59</v>
      </c>
      <c r="M104" s="574" t="s">
        <v>60</v>
      </c>
      <c r="N104" s="574" t="s">
        <v>61</v>
      </c>
      <c r="O104" s="574" t="s">
        <v>62</v>
      </c>
      <c r="P104" s="574" t="s">
        <v>3260</v>
      </c>
    </row>
    <row r="105" spans="1:16">
      <c r="A105" s="111" t="s">
        <v>147</v>
      </c>
      <c r="B105" s="110"/>
      <c r="C105" s="94"/>
      <c r="D105" s="117">
        <v>25000</v>
      </c>
      <c r="E105" s="117">
        <v>25000</v>
      </c>
      <c r="F105" s="117">
        <v>25000</v>
      </c>
      <c r="G105" s="117">
        <v>25000</v>
      </c>
      <c r="H105" s="117">
        <v>25000</v>
      </c>
      <c r="I105" s="117">
        <v>25000</v>
      </c>
      <c r="J105" s="117">
        <v>25000</v>
      </c>
      <c r="K105" s="117">
        <v>25000</v>
      </c>
      <c r="L105" s="117">
        <v>25000</v>
      </c>
      <c r="M105" s="117">
        <v>25000</v>
      </c>
      <c r="N105" s="117">
        <v>25000</v>
      </c>
      <c r="O105" s="117">
        <v>25000</v>
      </c>
      <c r="P105" s="117">
        <v>300000</v>
      </c>
    </row>
    <row r="106" spans="1:16">
      <c r="A106" s="108">
        <v>5135</v>
      </c>
      <c r="B106" s="108">
        <v>35101</v>
      </c>
      <c r="C106" s="109" t="s">
        <v>139</v>
      </c>
      <c r="D106" s="93">
        <v>25000</v>
      </c>
      <c r="E106" s="93">
        <v>25000</v>
      </c>
      <c r="F106" s="93">
        <v>25000</v>
      </c>
      <c r="G106" s="93">
        <v>25000</v>
      </c>
      <c r="H106" s="93">
        <v>25000</v>
      </c>
      <c r="I106" s="93">
        <v>25000</v>
      </c>
      <c r="J106" s="93">
        <v>25000</v>
      </c>
      <c r="K106" s="93">
        <v>25000</v>
      </c>
      <c r="L106" s="93">
        <v>25000</v>
      </c>
      <c r="M106" s="93">
        <v>25000</v>
      </c>
      <c r="N106" s="93">
        <v>25000</v>
      </c>
      <c r="O106" s="93">
        <v>25000</v>
      </c>
      <c r="P106" s="93">
        <v>300000</v>
      </c>
    </row>
    <row r="107" spans="1:16">
      <c r="A107" s="111" t="s">
        <v>157</v>
      </c>
      <c r="B107" s="110"/>
      <c r="C107" s="94"/>
      <c r="D107" s="120">
        <f>+D105</f>
        <v>25000</v>
      </c>
      <c r="E107" s="120">
        <f t="shared" ref="E107:P107" si="4">+E105</f>
        <v>25000</v>
      </c>
      <c r="F107" s="120">
        <f t="shared" si="4"/>
        <v>25000</v>
      </c>
      <c r="G107" s="120">
        <f t="shared" si="4"/>
        <v>25000</v>
      </c>
      <c r="H107" s="120">
        <f t="shared" si="4"/>
        <v>25000</v>
      </c>
      <c r="I107" s="120">
        <f t="shared" si="4"/>
        <v>25000</v>
      </c>
      <c r="J107" s="120">
        <f t="shared" si="4"/>
        <v>25000</v>
      </c>
      <c r="K107" s="120">
        <f t="shared" si="4"/>
        <v>25000</v>
      </c>
      <c r="L107" s="120">
        <f t="shared" si="4"/>
        <v>25000</v>
      </c>
      <c r="M107" s="120">
        <f t="shared" si="4"/>
        <v>25000</v>
      </c>
      <c r="N107" s="120">
        <f t="shared" si="4"/>
        <v>25000</v>
      </c>
      <c r="O107" s="120">
        <f t="shared" si="4"/>
        <v>25000</v>
      </c>
      <c r="P107" s="120">
        <f t="shared" si="4"/>
        <v>300000</v>
      </c>
    </row>
    <row r="108" spans="1:16">
      <c r="A108" s="114"/>
      <c r="B108" s="114"/>
    </row>
    <row r="109" spans="1:16">
      <c r="A109" s="579" t="s">
        <v>152</v>
      </c>
      <c r="B109" s="580"/>
      <c r="C109" s="581"/>
      <c r="D109" s="574" t="s">
        <v>51</v>
      </c>
      <c r="E109" s="574" t="s">
        <v>52</v>
      </c>
      <c r="F109" s="574" t="s">
        <v>53</v>
      </c>
      <c r="G109" s="574" t="s">
        <v>54</v>
      </c>
      <c r="H109" s="574" t="s">
        <v>55</v>
      </c>
      <c r="I109" s="574" t="s">
        <v>56</v>
      </c>
      <c r="J109" s="574" t="s">
        <v>57</v>
      </c>
      <c r="K109" s="574" t="s">
        <v>58</v>
      </c>
      <c r="L109" s="574" t="s">
        <v>59</v>
      </c>
      <c r="M109" s="574" t="s">
        <v>60</v>
      </c>
      <c r="N109" s="574" t="s">
        <v>61</v>
      </c>
      <c r="O109" s="574" t="s">
        <v>62</v>
      </c>
      <c r="P109" s="574" t="s">
        <v>3260</v>
      </c>
    </row>
    <row r="110" spans="1:16">
      <c r="A110" s="111" t="s">
        <v>146</v>
      </c>
      <c r="B110" s="116"/>
      <c r="C110" s="113"/>
      <c r="D110" s="117">
        <v>4754.8799999999992</v>
      </c>
      <c r="E110" s="117">
        <v>4754.8799999999992</v>
      </c>
      <c r="F110" s="117">
        <v>4754.8799999999992</v>
      </c>
      <c r="G110" s="117">
        <v>4754.8799999999992</v>
      </c>
      <c r="H110" s="117">
        <v>4754.8799999999992</v>
      </c>
      <c r="I110" s="117">
        <v>4754.8799999999992</v>
      </c>
      <c r="J110" s="117">
        <v>4754.8799999999992</v>
      </c>
      <c r="K110" s="117">
        <v>4754.8799999999992</v>
      </c>
      <c r="L110" s="117">
        <v>4754.8799999999992</v>
      </c>
      <c r="M110" s="117">
        <v>4754.8799999999992</v>
      </c>
      <c r="N110" s="117">
        <v>4754.8799999999992</v>
      </c>
      <c r="O110" s="117">
        <v>4754.8799999999992</v>
      </c>
      <c r="P110" s="120">
        <v>57058.559999999976</v>
      </c>
    </row>
    <row r="111" spans="1:16">
      <c r="A111" s="89">
        <v>5126</v>
      </c>
      <c r="B111" s="89">
        <v>26101</v>
      </c>
      <c r="C111" s="90" t="s">
        <v>118</v>
      </c>
      <c r="D111" s="93">
        <v>4754.8799999999992</v>
      </c>
      <c r="E111" s="93">
        <v>4754.8799999999992</v>
      </c>
      <c r="F111" s="93">
        <v>4754.8799999999992</v>
      </c>
      <c r="G111" s="93">
        <v>4754.8799999999992</v>
      </c>
      <c r="H111" s="93">
        <v>4754.8799999999992</v>
      </c>
      <c r="I111" s="93">
        <v>4754.8799999999992</v>
      </c>
      <c r="J111" s="93">
        <v>4754.8799999999992</v>
      </c>
      <c r="K111" s="93">
        <v>4754.8799999999992</v>
      </c>
      <c r="L111" s="93">
        <v>4754.8799999999992</v>
      </c>
      <c r="M111" s="93">
        <v>4754.8799999999992</v>
      </c>
      <c r="N111" s="93">
        <v>4754.8799999999992</v>
      </c>
      <c r="O111" s="93">
        <v>4754.8799999999992</v>
      </c>
      <c r="P111" s="93">
        <v>57058.559999999976</v>
      </c>
    </row>
    <row r="112" spans="1:16">
      <c r="A112" s="89"/>
      <c r="B112" s="89"/>
      <c r="C112" s="90"/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</row>
    <row r="113" spans="1:16">
      <c r="A113" s="111" t="s">
        <v>147</v>
      </c>
      <c r="B113" s="110"/>
      <c r="C113" s="94"/>
      <c r="D113" s="117">
        <v>1214579.7985833334</v>
      </c>
      <c r="E113" s="117">
        <v>114579.75858333334</v>
      </c>
      <c r="F113" s="117">
        <v>114579.75858333334</v>
      </c>
      <c r="G113" s="117">
        <v>414579.75858333334</v>
      </c>
      <c r="H113" s="117">
        <v>114579.75858333334</v>
      </c>
      <c r="I113" s="117">
        <v>114579.75858333334</v>
      </c>
      <c r="J113" s="117">
        <v>414579.75858333334</v>
      </c>
      <c r="K113" s="117">
        <v>114579.75858333334</v>
      </c>
      <c r="L113" s="117">
        <v>114579.75858333334</v>
      </c>
      <c r="M113" s="117">
        <v>414579.75858333334</v>
      </c>
      <c r="N113" s="117">
        <v>114579.75858333334</v>
      </c>
      <c r="O113" s="117">
        <v>114579.75858333334</v>
      </c>
      <c r="P113" s="117">
        <v>3374957.1430000002</v>
      </c>
    </row>
    <row r="114" spans="1:16">
      <c r="A114" s="108">
        <v>5131</v>
      </c>
      <c r="B114" s="108">
        <v>31101</v>
      </c>
      <c r="C114" s="109" t="s">
        <v>11</v>
      </c>
      <c r="D114" s="93">
        <v>14700</v>
      </c>
      <c r="E114" s="93">
        <v>14700</v>
      </c>
      <c r="F114" s="93">
        <v>14700</v>
      </c>
      <c r="G114" s="93">
        <v>14700</v>
      </c>
      <c r="H114" s="93">
        <v>14700</v>
      </c>
      <c r="I114" s="93">
        <v>14700</v>
      </c>
      <c r="J114" s="93">
        <v>14700</v>
      </c>
      <c r="K114" s="93">
        <v>14700</v>
      </c>
      <c r="L114" s="93">
        <v>14700</v>
      </c>
      <c r="M114" s="93">
        <v>14700</v>
      </c>
      <c r="N114" s="93">
        <v>14700</v>
      </c>
      <c r="O114" s="93">
        <v>14700</v>
      </c>
      <c r="P114" s="93">
        <v>176400</v>
      </c>
    </row>
    <row r="115" spans="1:16">
      <c r="A115" s="89">
        <v>5131</v>
      </c>
      <c r="B115" s="89">
        <v>31301</v>
      </c>
      <c r="C115" s="90" t="s">
        <v>22</v>
      </c>
      <c r="D115" s="93">
        <v>300000</v>
      </c>
      <c r="E115" s="93">
        <v>0</v>
      </c>
      <c r="F115" s="93">
        <v>0</v>
      </c>
      <c r="G115" s="93">
        <v>300000</v>
      </c>
      <c r="H115" s="93">
        <v>0</v>
      </c>
      <c r="I115" s="93">
        <v>0</v>
      </c>
      <c r="J115" s="93">
        <v>300000</v>
      </c>
      <c r="K115" s="93">
        <v>0</v>
      </c>
      <c r="L115" s="93">
        <v>0</v>
      </c>
      <c r="M115" s="93">
        <v>300000</v>
      </c>
      <c r="N115" s="93">
        <v>0</v>
      </c>
      <c r="O115" s="93">
        <v>0</v>
      </c>
      <c r="P115" s="93">
        <v>1200000</v>
      </c>
    </row>
    <row r="116" spans="1:16">
      <c r="A116" s="89">
        <v>5135</v>
      </c>
      <c r="B116" s="89">
        <v>35101</v>
      </c>
      <c r="C116" s="90" t="s">
        <v>139</v>
      </c>
      <c r="D116" s="93">
        <v>99879.758583333343</v>
      </c>
      <c r="E116" s="93">
        <v>99879.758583333343</v>
      </c>
      <c r="F116" s="93">
        <v>99879.758583333343</v>
      </c>
      <c r="G116" s="93">
        <v>99879.758583333343</v>
      </c>
      <c r="H116" s="93">
        <v>99879.758583333343</v>
      </c>
      <c r="I116" s="93">
        <v>99879.758583333343</v>
      </c>
      <c r="J116" s="93">
        <v>99879.758583333343</v>
      </c>
      <c r="K116" s="93">
        <v>99879.758583333343</v>
      </c>
      <c r="L116" s="93">
        <v>99879.758583333343</v>
      </c>
      <c r="M116" s="93">
        <v>99879.758583333343</v>
      </c>
      <c r="N116" s="93">
        <v>99879.758583333343</v>
      </c>
      <c r="O116" s="93">
        <v>99879.758583333343</v>
      </c>
      <c r="P116" s="93">
        <v>1198557.1030000001</v>
      </c>
    </row>
    <row r="117" spans="1:16">
      <c r="A117" s="106">
        <v>5135</v>
      </c>
      <c r="B117" s="106">
        <v>35701</v>
      </c>
      <c r="C117" s="107" t="s">
        <v>140</v>
      </c>
      <c r="D117" s="42">
        <v>800000.04000000015</v>
      </c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93">
        <v>800000.04000000015</v>
      </c>
    </row>
    <row r="118" spans="1:16">
      <c r="A118" s="111" t="s">
        <v>158</v>
      </c>
      <c r="B118" s="110"/>
      <c r="C118" s="94"/>
      <c r="D118" s="120">
        <f>+D113+D110</f>
        <v>1219334.6785833333</v>
      </c>
      <c r="E118" s="120">
        <f t="shared" ref="E118:P118" si="5">+E113+E110</f>
        <v>119334.63858333335</v>
      </c>
      <c r="F118" s="120">
        <f t="shared" si="5"/>
        <v>119334.63858333335</v>
      </c>
      <c r="G118" s="120">
        <f t="shared" si="5"/>
        <v>419334.63858333335</v>
      </c>
      <c r="H118" s="120">
        <f t="shared" si="5"/>
        <v>119334.63858333335</v>
      </c>
      <c r="I118" s="120">
        <f t="shared" si="5"/>
        <v>119334.63858333335</v>
      </c>
      <c r="J118" s="120">
        <f t="shared" si="5"/>
        <v>419334.63858333335</v>
      </c>
      <c r="K118" s="120">
        <f t="shared" si="5"/>
        <v>119334.63858333335</v>
      </c>
      <c r="L118" s="120">
        <f t="shared" si="5"/>
        <v>119334.63858333335</v>
      </c>
      <c r="M118" s="120">
        <f t="shared" si="5"/>
        <v>419334.63858333335</v>
      </c>
      <c r="N118" s="120">
        <f t="shared" si="5"/>
        <v>119334.63858333335</v>
      </c>
      <c r="O118" s="120">
        <f t="shared" si="5"/>
        <v>119334.63858333335</v>
      </c>
      <c r="P118" s="120">
        <f t="shared" si="5"/>
        <v>3432015.7030000002</v>
      </c>
    </row>
    <row r="119" spans="1:16">
      <c r="A119" s="115"/>
      <c r="B119" s="114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</row>
    <row r="120" spans="1:16">
      <c r="A120" s="576" t="s">
        <v>159</v>
      </c>
      <c r="B120" s="577"/>
      <c r="C120" s="578"/>
      <c r="D120" s="574" t="s">
        <v>51</v>
      </c>
      <c r="E120" s="574" t="s">
        <v>52</v>
      </c>
      <c r="F120" s="574" t="s">
        <v>53</v>
      </c>
      <c r="G120" s="574" t="s">
        <v>54</v>
      </c>
      <c r="H120" s="574" t="s">
        <v>55</v>
      </c>
      <c r="I120" s="574" t="s">
        <v>56</v>
      </c>
      <c r="J120" s="574" t="s">
        <v>57</v>
      </c>
      <c r="K120" s="574" t="s">
        <v>58</v>
      </c>
      <c r="L120" s="574" t="s">
        <v>59</v>
      </c>
      <c r="M120" s="574" t="s">
        <v>60</v>
      </c>
      <c r="N120" s="574" t="s">
        <v>61</v>
      </c>
      <c r="O120" s="574" t="s">
        <v>62</v>
      </c>
      <c r="P120" s="574" t="s">
        <v>3260</v>
      </c>
    </row>
    <row r="121" spans="1:16">
      <c r="A121" s="111" t="s">
        <v>146</v>
      </c>
      <c r="B121" s="116"/>
      <c r="C121" s="113"/>
      <c r="D121" s="117">
        <v>4655.04</v>
      </c>
      <c r="E121" s="117">
        <v>4655.04</v>
      </c>
      <c r="F121" s="117">
        <v>4655.04</v>
      </c>
      <c r="G121" s="117">
        <v>4655.04</v>
      </c>
      <c r="H121" s="117">
        <v>4655.04</v>
      </c>
      <c r="I121" s="117">
        <v>4655.04</v>
      </c>
      <c r="J121" s="117">
        <v>4655.04</v>
      </c>
      <c r="K121" s="117">
        <v>4655.04</v>
      </c>
      <c r="L121" s="117">
        <v>4655.04</v>
      </c>
      <c r="M121" s="117">
        <v>4655.04</v>
      </c>
      <c r="N121" s="117">
        <v>4655.04</v>
      </c>
      <c r="O121" s="117">
        <v>4655.04</v>
      </c>
      <c r="P121" s="120">
        <v>55860.480000000003</v>
      </c>
    </row>
    <row r="122" spans="1:16">
      <c r="A122" s="89">
        <v>5126</v>
      </c>
      <c r="B122" s="89">
        <v>26101</v>
      </c>
      <c r="C122" s="90" t="s">
        <v>118</v>
      </c>
      <c r="D122" s="93">
        <v>4655.04</v>
      </c>
      <c r="E122" s="93">
        <v>4655.04</v>
      </c>
      <c r="F122" s="93">
        <v>4655.04</v>
      </c>
      <c r="G122" s="93">
        <v>4655.04</v>
      </c>
      <c r="H122" s="93">
        <v>4655.04</v>
      </c>
      <c r="I122" s="93">
        <v>4655.04</v>
      </c>
      <c r="J122" s="93">
        <v>4655.04</v>
      </c>
      <c r="K122" s="93">
        <v>4655.04</v>
      </c>
      <c r="L122" s="93">
        <v>4655.04</v>
      </c>
      <c r="M122" s="93">
        <v>4655.04</v>
      </c>
      <c r="N122" s="93">
        <v>4655.04</v>
      </c>
      <c r="O122" s="93">
        <v>4655.04</v>
      </c>
      <c r="P122" s="93">
        <v>55860.480000000003</v>
      </c>
    </row>
    <row r="123" spans="1:16">
      <c r="A123" s="89"/>
      <c r="B123" s="89"/>
      <c r="C123" s="90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</row>
    <row r="124" spans="1:16">
      <c r="A124" s="111" t="s">
        <v>147</v>
      </c>
      <c r="B124" s="116"/>
      <c r="C124" s="113"/>
      <c r="D124" s="117">
        <v>195020.27523333332</v>
      </c>
      <c r="E124" s="117">
        <v>195020.27523333332</v>
      </c>
      <c r="F124" s="117">
        <v>195020.27523333332</v>
      </c>
      <c r="G124" s="117">
        <v>195020.27523333332</v>
      </c>
      <c r="H124" s="117">
        <v>195020.27523333332</v>
      </c>
      <c r="I124" s="117">
        <v>195020.27523333332</v>
      </c>
      <c r="J124" s="117">
        <v>195020.27523333332</v>
      </c>
      <c r="K124" s="117">
        <v>195020.27523333332</v>
      </c>
      <c r="L124" s="117">
        <v>195020.27523333332</v>
      </c>
      <c r="M124" s="117">
        <v>195020.27523333332</v>
      </c>
      <c r="N124" s="117">
        <v>195020.27523333332</v>
      </c>
      <c r="O124" s="117">
        <v>195020.27523333332</v>
      </c>
      <c r="P124" s="117">
        <v>2340243.3028000002</v>
      </c>
    </row>
    <row r="125" spans="1:16">
      <c r="A125" s="89">
        <v>5131</v>
      </c>
      <c r="B125" s="89">
        <v>31101</v>
      </c>
      <c r="C125" s="90" t="s">
        <v>11</v>
      </c>
      <c r="D125" s="93">
        <v>47659.6224</v>
      </c>
      <c r="E125" s="93">
        <v>47659.6224</v>
      </c>
      <c r="F125" s="93">
        <v>47659.6224</v>
      </c>
      <c r="G125" s="93">
        <v>47659.6224</v>
      </c>
      <c r="H125" s="93">
        <v>47659.6224</v>
      </c>
      <c r="I125" s="93">
        <v>47659.6224</v>
      </c>
      <c r="J125" s="93">
        <v>47659.6224</v>
      </c>
      <c r="K125" s="93">
        <v>47659.6224</v>
      </c>
      <c r="L125" s="93">
        <v>47659.6224</v>
      </c>
      <c r="M125" s="93">
        <v>47659.6224</v>
      </c>
      <c r="N125" s="93">
        <v>47659.6224</v>
      </c>
      <c r="O125" s="93">
        <v>47659.6224</v>
      </c>
      <c r="P125" s="93">
        <v>571915.46880000003</v>
      </c>
    </row>
    <row r="126" spans="1:16">
      <c r="A126" s="89">
        <v>5133</v>
      </c>
      <c r="B126" s="89">
        <v>33801</v>
      </c>
      <c r="C126" s="90" t="s">
        <v>138</v>
      </c>
      <c r="D126" s="93">
        <v>85000</v>
      </c>
      <c r="E126" s="93">
        <v>85000</v>
      </c>
      <c r="F126" s="93">
        <v>85000</v>
      </c>
      <c r="G126" s="93">
        <v>85000</v>
      </c>
      <c r="H126" s="93">
        <v>85000</v>
      </c>
      <c r="I126" s="93">
        <v>85000</v>
      </c>
      <c r="J126" s="93">
        <v>85000</v>
      </c>
      <c r="K126" s="93">
        <v>85000</v>
      </c>
      <c r="L126" s="93">
        <v>85000</v>
      </c>
      <c r="M126" s="93">
        <v>85000</v>
      </c>
      <c r="N126" s="93">
        <v>85000</v>
      </c>
      <c r="O126" s="93">
        <v>85000</v>
      </c>
      <c r="P126" s="93">
        <v>1020000</v>
      </c>
    </row>
    <row r="127" spans="1:16">
      <c r="A127" s="89">
        <v>5135</v>
      </c>
      <c r="B127" s="89">
        <v>35101</v>
      </c>
      <c r="C127" s="90" t="s">
        <v>139</v>
      </c>
      <c r="D127" s="93">
        <v>62360.652833333334</v>
      </c>
      <c r="E127" s="93">
        <v>62360.652833333334</v>
      </c>
      <c r="F127" s="93">
        <v>62360.652833333334</v>
      </c>
      <c r="G127" s="93">
        <v>62360.652833333334</v>
      </c>
      <c r="H127" s="93">
        <v>62360.652833333334</v>
      </c>
      <c r="I127" s="93">
        <v>62360.652833333334</v>
      </c>
      <c r="J127" s="93">
        <v>62360.652833333334</v>
      </c>
      <c r="K127" s="93">
        <v>62360.652833333334</v>
      </c>
      <c r="L127" s="93">
        <v>62360.652833333334</v>
      </c>
      <c r="M127" s="93">
        <v>62360.652833333334</v>
      </c>
      <c r="N127" s="93">
        <v>62360.652833333334</v>
      </c>
      <c r="O127" s="93">
        <v>62360.652833333334</v>
      </c>
      <c r="P127" s="93">
        <v>748327.83400000015</v>
      </c>
    </row>
    <row r="128" spans="1:16">
      <c r="A128" s="111" t="s">
        <v>215</v>
      </c>
      <c r="B128" s="110"/>
      <c r="C128" s="94"/>
      <c r="D128" s="117">
        <f>+D121+D124</f>
        <v>199675.31523333333</v>
      </c>
      <c r="E128" s="117">
        <f t="shared" ref="E128:P128" si="6">+E121+E124</f>
        <v>199675.31523333333</v>
      </c>
      <c r="F128" s="117">
        <f t="shared" si="6"/>
        <v>199675.31523333333</v>
      </c>
      <c r="G128" s="117">
        <f t="shared" si="6"/>
        <v>199675.31523333333</v>
      </c>
      <c r="H128" s="117">
        <f t="shared" si="6"/>
        <v>199675.31523333333</v>
      </c>
      <c r="I128" s="117">
        <f t="shared" si="6"/>
        <v>199675.31523333333</v>
      </c>
      <c r="J128" s="117">
        <f t="shared" si="6"/>
        <v>199675.31523333333</v>
      </c>
      <c r="K128" s="117">
        <f t="shared" si="6"/>
        <v>199675.31523333333</v>
      </c>
      <c r="L128" s="117">
        <f t="shared" si="6"/>
        <v>199675.31523333333</v>
      </c>
      <c r="M128" s="117">
        <f t="shared" si="6"/>
        <v>199675.31523333333</v>
      </c>
      <c r="N128" s="117">
        <f t="shared" si="6"/>
        <v>199675.31523333333</v>
      </c>
      <c r="O128" s="117">
        <f t="shared" si="6"/>
        <v>199675.31523333333</v>
      </c>
      <c r="P128" s="117">
        <f t="shared" si="6"/>
        <v>2396103.7828000002</v>
      </c>
    </row>
    <row r="129" spans="1:16">
      <c r="A129" s="115"/>
      <c r="B129" s="114"/>
      <c r="D129" s="44"/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</row>
    <row r="130" spans="1:16">
      <c r="A130" s="111" t="s">
        <v>8</v>
      </c>
      <c r="B130" s="110"/>
      <c r="C130" s="94"/>
      <c r="D130" s="117">
        <f>+D128+D118+D107+D101+D88+D76</f>
        <v>25299140.029066671</v>
      </c>
      <c r="E130" s="117">
        <f t="shared" ref="E130:P130" si="7">+E128+E118+E107+E101+E88+E76</f>
        <v>2299140.1090666666</v>
      </c>
      <c r="F130" s="117">
        <f t="shared" si="7"/>
        <v>2299140.1090666666</v>
      </c>
      <c r="G130" s="117">
        <f t="shared" si="7"/>
        <v>17299140.109066665</v>
      </c>
      <c r="H130" s="117">
        <f t="shared" si="7"/>
        <v>2299140.1090666666</v>
      </c>
      <c r="I130" s="117">
        <f t="shared" si="7"/>
        <v>2299140.1090666666</v>
      </c>
      <c r="J130" s="117">
        <f t="shared" si="7"/>
        <v>17299140.109066665</v>
      </c>
      <c r="K130" s="117">
        <f t="shared" si="7"/>
        <v>2299140.1090666666</v>
      </c>
      <c r="L130" s="117">
        <f t="shared" si="7"/>
        <v>2299140.1090666666</v>
      </c>
      <c r="M130" s="117">
        <f t="shared" si="7"/>
        <v>17299140.109066665</v>
      </c>
      <c r="N130" s="117">
        <f t="shared" si="7"/>
        <v>2299140.1090666666</v>
      </c>
      <c r="O130" s="117">
        <f t="shared" si="7"/>
        <v>2299140.1090666666</v>
      </c>
      <c r="P130" s="117">
        <f t="shared" si="7"/>
        <v>95589681.228799999</v>
      </c>
    </row>
    <row r="131" spans="1:16">
      <c r="A131" s="726"/>
      <c r="B131" s="89"/>
      <c r="C131" s="90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</row>
    <row r="132" spans="1:16" ht="15">
      <c r="A132" s="582" t="s">
        <v>102</v>
      </c>
      <c r="B132" s="582"/>
      <c r="C132" s="582"/>
      <c r="D132" s="583">
        <f t="shared" ref="D132:P132" si="8">+D130+D58</f>
        <v>33771006.547041416</v>
      </c>
      <c r="E132" s="583">
        <f t="shared" si="8"/>
        <v>4983267.9870414156</v>
      </c>
      <c r="F132" s="583">
        <f t="shared" si="8"/>
        <v>4557277.9870414156</v>
      </c>
      <c r="G132" s="583">
        <f t="shared" si="8"/>
        <v>22632319.667041413</v>
      </c>
      <c r="H132" s="583">
        <f t="shared" si="8"/>
        <v>5117905.9870414156</v>
      </c>
      <c r="I132" s="583">
        <f t="shared" si="8"/>
        <v>4644867.6620414164</v>
      </c>
      <c r="J132" s="583">
        <f t="shared" si="8"/>
        <v>22632319.667041413</v>
      </c>
      <c r="K132" s="583">
        <f t="shared" si="8"/>
        <v>4555305.9870414156</v>
      </c>
      <c r="L132" s="583">
        <f t="shared" si="8"/>
        <v>4555305.9870414156</v>
      </c>
      <c r="M132" s="583">
        <f t="shared" si="8"/>
        <v>19787885.987041414</v>
      </c>
      <c r="N132" s="583">
        <f t="shared" si="8"/>
        <v>4558321.9870414156</v>
      </c>
      <c r="O132" s="583">
        <f t="shared" si="8"/>
        <v>6464497.9640414156</v>
      </c>
      <c r="P132" s="583">
        <f t="shared" si="8"/>
        <v>138260283.41649699</v>
      </c>
    </row>
    <row r="133" spans="1:16">
      <c r="A133" s="91"/>
      <c r="B133" s="91"/>
      <c r="C133" s="91"/>
    </row>
    <row r="134" spans="1:16">
      <c r="A134" s="91"/>
      <c r="B134" s="91"/>
      <c r="C134" s="91"/>
    </row>
    <row r="135" spans="1:16">
      <c r="A135" s="563" t="s">
        <v>1855</v>
      </c>
      <c r="B135" s="587"/>
      <c r="C135" s="149"/>
      <c r="D135" s="131">
        <v>3762500</v>
      </c>
      <c r="E135" s="131">
        <v>3762500</v>
      </c>
      <c r="F135" s="131">
        <v>3762500</v>
      </c>
      <c r="G135" s="131">
        <v>3762500</v>
      </c>
      <c r="H135" s="131">
        <v>3762500</v>
      </c>
      <c r="I135" s="131">
        <v>3762500</v>
      </c>
      <c r="J135" s="131">
        <v>3762500</v>
      </c>
      <c r="K135" s="131">
        <v>3762500</v>
      </c>
      <c r="L135" s="131">
        <v>3762500</v>
      </c>
      <c r="M135" s="131">
        <v>3762500</v>
      </c>
      <c r="N135" s="131">
        <v>3762500</v>
      </c>
      <c r="O135" s="131">
        <v>3762500</v>
      </c>
      <c r="P135" s="131">
        <v>45150000</v>
      </c>
    </row>
    <row r="136" spans="1:16">
      <c r="A136" s="89" t="s">
        <v>1856</v>
      </c>
      <c r="B136" s="588"/>
      <c r="C136" s="90" t="s">
        <v>27</v>
      </c>
      <c r="D136" s="93">
        <v>375000</v>
      </c>
      <c r="E136" s="93">
        <v>375000</v>
      </c>
      <c r="F136" s="93">
        <v>375000</v>
      </c>
      <c r="G136" s="93">
        <v>375000</v>
      </c>
      <c r="H136" s="93">
        <v>375000</v>
      </c>
      <c r="I136" s="93">
        <v>375000</v>
      </c>
      <c r="J136" s="93">
        <v>375000</v>
      </c>
      <c r="K136" s="93">
        <v>375000</v>
      </c>
      <c r="L136" s="93">
        <v>375000</v>
      </c>
      <c r="M136" s="93">
        <v>375000</v>
      </c>
      <c r="N136" s="93">
        <v>375000</v>
      </c>
      <c r="O136" s="93">
        <v>375000</v>
      </c>
      <c r="P136" s="93">
        <v>4500000</v>
      </c>
    </row>
    <row r="137" spans="1:16">
      <c r="A137" s="89">
        <v>5594</v>
      </c>
      <c r="B137" s="89">
        <v>10001</v>
      </c>
      <c r="C137" s="90" t="s">
        <v>1857</v>
      </c>
      <c r="D137" s="93">
        <v>25000</v>
      </c>
      <c r="E137" s="93">
        <v>25000</v>
      </c>
      <c r="F137" s="93">
        <v>25000</v>
      </c>
      <c r="G137" s="93">
        <v>25000</v>
      </c>
      <c r="H137" s="93">
        <v>25000</v>
      </c>
      <c r="I137" s="93">
        <v>25000</v>
      </c>
      <c r="J137" s="93">
        <v>25000</v>
      </c>
      <c r="K137" s="93">
        <v>25000</v>
      </c>
      <c r="L137" s="93">
        <v>25000</v>
      </c>
      <c r="M137" s="93">
        <v>25000</v>
      </c>
      <c r="N137" s="93">
        <v>25000</v>
      </c>
      <c r="O137" s="93">
        <v>25000</v>
      </c>
      <c r="P137" s="93">
        <v>300000</v>
      </c>
    </row>
    <row r="138" spans="1:16">
      <c r="A138" s="89">
        <v>5599</v>
      </c>
      <c r="B138" s="89">
        <v>10001</v>
      </c>
      <c r="C138" s="90" t="s">
        <v>3258</v>
      </c>
      <c r="D138" s="93">
        <v>20833.333333333332</v>
      </c>
      <c r="E138" s="93">
        <v>20833.333333333332</v>
      </c>
      <c r="F138" s="93">
        <v>20833.333333333332</v>
      </c>
      <c r="G138" s="93">
        <v>20833.333333333332</v>
      </c>
      <c r="H138" s="93">
        <v>20833.333333333332</v>
      </c>
      <c r="I138" s="93">
        <v>20833.333333333332</v>
      </c>
      <c r="J138" s="93">
        <v>20833.333333333332</v>
      </c>
      <c r="K138" s="93">
        <v>20833.333333333332</v>
      </c>
      <c r="L138" s="93">
        <v>20833.333333333332</v>
      </c>
      <c r="M138" s="93">
        <v>20833.333333333332</v>
      </c>
      <c r="N138" s="93">
        <v>20833.333333333332</v>
      </c>
      <c r="O138" s="93">
        <v>20833.333333333332</v>
      </c>
      <c r="P138" s="93">
        <v>250000.00000000003</v>
      </c>
    </row>
    <row r="139" spans="1:16">
      <c r="A139" s="89">
        <v>5599</v>
      </c>
      <c r="B139" s="89">
        <v>10002</v>
      </c>
      <c r="C139" s="90" t="s">
        <v>3259</v>
      </c>
      <c r="D139" s="93">
        <v>8333.3333333333339</v>
      </c>
      <c r="E139" s="93">
        <v>8333.3333333333339</v>
      </c>
      <c r="F139" s="93">
        <v>8333.3333333333339</v>
      </c>
      <c r="G139" s="93">
        <v>8333.3333333333339</v>
      </c>
      <c r="H139" s="93">
        <v>8333.3333333333339</v>
      </c>
      <c r="I139" s="93">
        <v>8333.3333333333339</v>
      </c>
      <c r="J139" s="93">
        <v>8333.3333333333339</v>
      </c>
      <c r="K139" s="93">
        <v>8333.3333333333339</v>
      </c>
      <c r="L139" s="93">
        <v>8333.3333333333339</v>
      </c>
      <c r="M139" s="93">
        <v>8333.3333333333339</v>
      </c>
      <c r="N139" s="93">
        <v>8333.3333333333339</v>
      </c>
      <c r="O139" s="93">
        <v>8333.3333333333339</v>
      </c>
      <c r="P139" s="93">
        <v>99999.999999999985</v>
      </c>
    </row>
    <row r="140" spans="1:16">
      <c r="A140" s="89" t="s">
        <v>3154</v>
      </c>
      <c r="B140" s="89"/>
      <c r="C140" s="90" t="s">
        <v>3155</v>
      </c>
      <c r="D140" s="93">
        <v>3333333.3333333335</v>
      </c>
      <c r="E140" s="93">
        <v>3333333.3333333335</v>
      </c>
      <c r="F140" s="93">
        <v>3333333.3333333335</v>
      </c>
      <c r="G140" s="93">
        <v>3333333.3333333335</v>
      </c>
      <c r="H140" s="93">
        <v>3333333.3333333335</v>
      </c>
      <c r="I140" s="93">
        <v>3333333.3333333335</v>
      </c>
      <c r="J140" s="93">
        <v>3333333.3333333335</v>
      </c>
      <c r="K140" s="93">
        <v>3333333.3333333335</v>
      </c>
      <c r="L140" s="93">
        <v>3333333.3333333335</v>
      </c>
      <c r="M140" s="93">
        <v>3333333.3333333335</v>
      </c>
      <c r="N140" s="93">
        <v>3333333.3333333335</v>
      </c>
      <c r="O140" s="93">
        <v>3333333.3333333335</v>
      </c>
      <c r="P140" s="93">
        <v>40000000</v>
      </c>
    </row>
    <row r="141" spans="1:16">
      <c r="A141" s="563" t="s">
        <v>1858</v>
      </c>
      <c r="B141" s="110"/>
      <c r="C141" s="94"/>
      <c r="D141" s="150">
        <f>+D135</f>
        <v>3762500</v>
      </c>
      <c r="E141" s="150">
        <f t="shared" ref="E141:P141" si="9">+E135</f>
        <v>3762500</v>
      </c>
      <c r="F141" s="150">
        <f t="shared" si="9"/>
        <v>3762500</v>
      </c>
      <c r="G141" s="150">
        <f t="shared" si="9"/>
        <v>3762500</v>
      </c>
      <c r="H141" s="150">
        <f t="shared" si="9"/>
        <v>3762500</v>
      </c>
      <c r="I141" s="150">
        <f t="shared" si="9"/>
        <v>3762500</v>
      </c>
      <c r="J141" s="150">
        <f t="shared" si="9"/>
        <v>3762500</v>
      </c>
      <c r="K141" s="150">
        <f t="shared" si="9"/>
        <v>3762500</v>
      </c>
      <c r="L141" s="150">
        <f t="shared" si="9"/>
        <v>3762500</v>
      </c>
      <c r="M141" s="150">
        <f t="shared" si="9"/>
        <v>3762500</v>
      </c>
      <c r="N141" s="150">
        <f t="shared" si="9"/>
        <v>3762500</v>
      </c>
      <c r="O141" s="150">
        <f t="shared" si="9"/>
        <v>3762500</v>
      </c>
      <c r="P141" s="150">
        <f t="shared" si="9"/>
        <v>45150000</v>
      </c>
    </row>
    <row r="142" spans="1:16">
      <c r="A142" s="657"/>
      <c r="B142" s="114"/>
      <c r="D142" s="658"/>
      <c r="E142" s="658"/>
      <c r="F142" s="658"/>
      <c r="G142" s="658"/>
      <c r="H142" s="658"/>
      <c r="I142" s="658"/>
      <c r="J142" s="658"/>
      <c r="K142" s="658"/>
      <c r="L142" s="658"/>
      <c r="M142" s="658"/>
      <c r="N142" s="658"/>
      <c r="O142" s="658"/>
      <c r="P142" s="658"/>
    </row>
    <row r="143" spans="1:16" ht="15">
      <c r="A143" s="657"/>
      <c r="B143" s="114"/>
      <c r="C143" s="1362" t="s">
        <v>5929</v>
      </c>
      <c r="D143" s="658"/>
      <c r="E143" s="658"/>
      <c r="F143" s="658"/>
      <c r="G143" s="658"/>
      <c r="H143" s="658"/>
      <c r="I143" s="658"/>
      <c r="J143" s="658"/>
      <c r="K143" s="658"/>
      <c r="L143" s="658"/>
      <c r="M143" s="658"/>
      <c r="N143" s="658"/>
      <c r="O143" s="658"/>
      <c r="P143" s="658"/>
    </row>
    <row r="144" spans="1:16" ht="15">
      <c r="A144" s="657"/>
      <c r="B144" s="114"/>
      <c r="C144" s="112" t="s">
        <v>3261</v>
      </c>
      <c r="D144" s="1363">
        <v>241500</v>
      </c>
      <c r="E144" s="1363">
        <v>7741500</v>
      </c>
      <c r="F144" s="1363">
        <v>112000</v>
      </c>
      <c r="G144" s="1363">
        <v>0</v>
      </c>
      <c r="H144" s="1363">
        <v>0</v>
      </c>
      <c r="I144" s="1363">
        <v>0</v>
      </c>
      <c r="J144" s="1363">
        <v>0</v>
      </c>
      <c r="K144" s="1363">
        <v>0</v>
      </c>
      <c r="L144" s="1363">
        <v>0</v>
      </c>
      <c r="M144" s="1363">
        <v>0</v>
      </c>
      <c r="N144" s="1363">
        <v>0</v>
      </c>
      <c r="O144" s="1363">
        <v>0</v>
      </c>
      <c r="P144" s="1363">
        <v>8095000</v>
      </c>
    </row>
    <row r="145" spans="1:16">
      <c r="A145" s="657"/>
      <c r="B145" s="114"/>
      <c r="C145" s="517" t="s">
        <v>3262</v>
      </c>
      <c r="D145" s="780"/>
      <c r="E145" s="780"/>
      <c r="F145" s="780">
        <v>112000</v>
      </c>
      <c r="G145" s="780"/>
      <c r="H145" s="780"/>
      <c r="I145" s="780"/>
      <c r="J145" s="780"/>
      <c r="K145" s="780"/>
      <c r="L145" s="780"/>
      <c r="M145" s="780"/>
      <c r="N145" s="780"/>
      <c r="O145" s="780"/>
      <c r="P145" s="1364">
        <v>112000</v>
      </c>
    </row>
    <row r="146" spans="1:16">
      <c r="A146" s="657"/>
      <c r="B146" s="114"/>
      <c r="C146" s="517" t="s">
        <v>2991</v>
      </c>
      <c r="D146" s="780">
        <v>241500</v>
      </c>
      <c r="E146" s="780">
        <v>241500</v>
      </c>
      <c r="F146" s="780"/>
      <c r="G146" s="780"/>
      <c r="H146" s="780"/>
      <c r="I146" s="780"/>
      <c r="J146" s="780"/>
      <c r="K146" s="780"/>
      <c r="L146" s="780"/>
      <c r="M146" s="780"/>
      <c r="N146" s="780"/>
      <c r="O146" s="780"/>
      <c r="P146" s="1364">
        <v>483000</v>
      </c>
    </row>
    <row r="147" spans="1:16">
      <c r="A147" s="657"/>
      <c r="B147" s="114"/>
      <c r="C147" s="90" t="s">
        <v>3263</v>
      </c>
      <c r="D147" s="780"/>
      <c r="E147" s="780">
        <v>7500000</v>
      </c>
      <c r="F147" s="780"/>
      <c r="G147" s="780"/>
      <c r="H147" s="780"/>
      <c r="I147" s="780"/>
      <c r="J147" s="780"/>
      <c r="K147" s="780"/>
      <c r="L147" s="780"/>
      <c r="M147" s="780"/>
      <c r="N147" s="780"/>
      <c r="O147" s="780"/>
      <c r="P147" s="1364">
        <v>7500000</v>
      </c>
    </row>
    <row r="148" spans="1:16">
      <c r="A148" s="657"/>
      <c r="B148" s="114"/>
      <c r="C148" s="112" t="s">
        <v>142</v>
      </c>
      <c r="D148" s="1365"/>
      <c r="E148" s="1365"/>
      <c r="F148" s="1365"/>
      <c r="G148" s="1365"/>
      <c r="H148" s="1365"/>
      <c r="I148" s="1365"/>
      <c r="J148" s="1365"/>
      <c r="K148" s="1365"/>
      <c r="L148" s="1365"/>
      <c r="M148" s="1365"/>
      <c r="N148" s="1365"/>
      <c r="O148" s="1365"/>
      <c r="P148" s="131"/>
    </row>
    <row r="149" spans="1:16" ht="15">
      <c r="A149" s="657"/>
      <c r="B149" s="114"/>
      <c r="C149" s="112" t="s">
        <v>149</v>
      </c>
      <c r="D149" s="1366">
        <v>2570000</v>
      </c>
      <c r="E149" s="1366">
        <v>1841000</v>
      </c>
      <c r="F149" s="1366">
        <v>2315000</v>
      </c>
      <c r="G149" s="1366">
        <v>1900000</v>
      </c>
      <c r="H149" s="1366">
        <v>2000000</v>
      </c>
      <c r="I149" s="1366">
        <v>2500000</v>
      </c>
      <c r="J149" s="1366">
        <v>800000</v>
      </c>
      <c r="K149" s="1366">
        <v>250000</v>
      </c>
      <c r="L149" s="1366">
        <v>0</v>
      </c>
      <c r="M149" s="1366">
        <v>0</v>
      </c>
      <c r="N149" s="1366">
        <v>0</v>
      </c>
      <c r="O149" s="1366">
        <v>0</v>
      </c>
      <c r="P149" s="1366">
        <v>14176000</v>
      </c>
    </row>
    <row r="150" spans="1:16">
      <c r="A150" s="657"/>
      <c r="B150" s="114"/>
      <c r="C150" s="126" t="s">
        <v>3264</v>
      </c>
      <c r="D150" s="780">
        <v>0</v>
      </c>
      <c r="E150" s="780">
        <v>0</v>
      </c>
      <c r="F150" s="780">
        <v>890000</v>
      </c>
      <c r="G150" s="780">
        <v>600000</v>
      </c>
      <c r="H150" s="780">
        <v>800000</v>
      </c>
      <c r="I150" s="780">
        <v>1200000</v>
      </c>
      <c r="J150" s="780">
        <v>300000</v>
      </c>
      <c r="K150" s="780">
        <v>200000</v>
      </c>
      <c r="L150" s="780">
        <v>0</v>
      </c>
      <c r="M150" s="780">
        <v>0</v>
      </c>
      <c r="N150" s="780">
        <v>0</v>
      </c>
      <c r="O150" s="780">
        <v>0</v>
      </c>
      <c r="P150" s="1364">
        <v>3990000</v>
      </c>
    </row>
    <row r="151" spans="1:16">
      <c r="A151" s="657"/>
      <c r="B151" s="114"/>
      <c r="C151" s="90" t="s">
        <v>3265</v>
      </c>
      <c r="D151" s="780">
        <v>350000</v>
      </c>
      <c r="E151" s="780"/>
      <c r="F151" s="780"/>
      <c r="G151" s="780"/>
      <c r="H151" s="780"/>
      <c r="I151" s="780"/>
      <c r="J151" s="780"/>
      <c r="K151" s="780"/>
      <c r="L151" s="780"/>
      <c r="M151" s="780"/>
      <c r="N151" s="780"/>
      <c r="O151" s="780"/>
      <c r="P151" s="1364">
        <v>350000</v>
      </c>
    </row>
    <row r="152" spans="1:16">
      <c r="A152" s="657"/>
      <c r="B152" s="114"/>
      <c r="C152" s="90" t="s">
        <v>3266</v>
      </c>
      <c r="D152" s="780">
        <v>300000</v>
      </c>
      <c r="E152" s="780">
        <v>220000</v>
      </c>
      <c r="F152" s="780">
        <v>100000</v>
      </c>
      <c r="G152" s="780">
        <v>100000</v>
      </c>
      <c r="H152" s="780">
        <v>0</v>
      </c>
      <c r="I152" s="780">
        <v>100000</v>
      </c>
      <c r="J152" s="780">
        <v>50000</v>
      </c>
      <c r="K152" s="780">
        <v>0</v>
      </c>
      <c r="L152" s="780">
        <v>0</v>
      </c>
      <c r="M152" s="780">
        <v>0</v>
      </c>
      <c r="N152" s="780">
        <v>0</v>
      </c>
      <c r="O152" s="780">
        <v>0</v>
      </c>
      <c r="P152" s="1364">
        <v>870000</v>
      </c>
    </row>
    <row r="153" spans="1:16">
      <c r="A153" s="657"/>
      <c r="B153" s="114"/>
      <c r="C153" s="785" t="s">
        <v>4050</v>
      </c>
      <c r="D153" s="780">
        <v>1600000</v>
      </c>
      <c r="E153" s="780">
        <v>1200000</v>
      </c>
      <c r="F153" s="780">
        <v>1325000</v>
      </c>
      <c r="G153" s="780">
        <v>1200000</v>
      </c>
      <c r="H153" s="780">
        <v>1200000</v>
      </c>
      <c r="I153" s="780">
        <v>1200000</v>
      </c>
      <c r="J153" s="780">
        <v>450000</v>
      </c>
      <c r="K153" s="780">
        <v>50000</v>
      </c>
      <c r="L153" s="780">
        <v>0</v>
      </c>
      <c r="M153" s="780">
        <v>0</v>
      </c>
      <c r="N153" s="780">
        <v>0</v>
      </c>
      <c r="O153" s="780">
        <v>0</v>
      </c>
      <c r="P153" s="1364">
        <v>8225000</v>
      </c>
    </row>
    <row r="154" spans="1:16">
      <c r="A154" s="657"/>
      <c r="B154" s="114"/>
      <c r="C154" s="785" t="s">
        <v>4051</v>
      </c>
      <c r="D154" s="780"/>
      <c r="E154" s="780">
        <v>300000</v>
      </c>
      <c r="F154" s="780"/>
      <c r="G154" s="780"/>
      <c r="H154" s="780"/>
      <c r="I154" s="780"/>
      <c r="J154" s="780"/>
      <c r="K154" s="780"/>
      <c r="L154" s="780"/>
      <c r="M154" s="780"/>
      <c r="N154" s="780"/>
      <c r="O154" s="780"/>
      <c r="P154" s="1364">
        <v>300000</v>
      </c>
    </row>
    <row r="155" spans="1:16">
      <c r="A155" s="657"/>
      <c r="B155" s="114"/>
      <c r="C155" s="785" t="s">
        <v>4052</v>
      </c>
      <c r="D155" s="780">
        <v>320000</v>
      </c>
      <c r="E155" s="780">
        <v>121000</v>
      </c>
      <c r="F155" s="780">
        <v>0</v>
      </c>
      <c r="G155" s="780">
        <v>0</v>
      </c>
      <c r="H155" s="780">
        <v>0</v>
      </c>
      <c r="I155" s="780">
        <v>0</v>
      </c>
      <c r="J155" s="780">
        <v>0</v>
      </c>
      <c r="K155" s="780">
        <v>0</v>
      </c>
      <c r="L155" s="780">
        <v>0</v>
      </c>
      <c r="M155" s="780">
        <v>0</v>
      </c>
      <c r="N155" s="780">
        <v>0</v>
      </c>
      <c r="O155" s="780">
        <v>0</v>
      </c>
      <c r="P155" s="1364">
        <v>441000</v>
      </c>
    </row>
    <row r="156" spans="1:16" ht="15">
      <c r="A156" s="657"/>
      <c r="B156" s="114"/>
      <c r="C156" s="112" t="s">
        <v>159</v>
      </c>
      <c r="D156" s="1367">
        <v>23020000</v>
      </c>
      <c r="E156" s="1367">
        <v>23030000</v>
      </c>
      <c r="F156" s="1367">
        <v>550000</v>
      </c>
      <c r="G156" s="1367">
        <v>150000</v>
      </c>
      <c r="H156" s="1367">
        <v>100000</v>
      </c>
      <c r="I156" s="1367">
        <v>150000</v>
      </c>
      <c r="J156" s="1367">
        <v>0</v>
      </c>
      <c r="K156" s="1367">
        <v>0</v>
      </c>
      <c r="L156" s="1367">
        <v>0</v>
      </c>
      <c r="M156" s="1367">
        <v>0</v>
      </c>
      <c r="N156" s="1367">
        <v>0</v>
      </c>
      <c r="O156" s="1367">
        <v>0</v>
      </c>
      <c r="P156" s="1367">
        <v>47000000</v>
      </c>
    </row>
    <row r="157" spans="1:16">
      <c r="A157" s="657"/>
      <c r="B157" s="114"/>
      <c r="C157" s="90" t="s">
        <v>3267</v>
      </c>
      <c r="D157" s="780">
        <v>22000000</v>
      </c>
      <c r="E157" s="780">
        <v>22000000</v>
      </c>
      <c r="F157" s="780"/>
      <c r="G157" s="780"/>
      <c r="H157" s="780"/>
      <c r="I157" s="780"/>
      <c r="J157" s="780"/>
      <c r="K157" s="780"/>
      <c r="L157" s="780"/>
      <c r="M157" s="780"/>
      <c r="N157" s="780"/>
      <c r="O157" s="780"/>
      <c r="P157" s="1364">
        <v>44000000</v>
      </c>
    </row>
    <row r="158" spans="1:16">
      <c r="A158" s="657"/>
      <c r="B158" s="114"/>
      <c r="C158" s="785" t="s">
        <v>4053</v>
      </c>
      <c r="D158" s="1368">
        <v>350000</v>
      </c>
      <c r="E158" s="1368">
        <v>350000</v>
      </c>
      <c r="F158" s="1368">
        <v>100000</v>
      </c>
      <c r="G158" s="1368">
        <v>0</v>
      </c>
      <c r="H158" s="1368">
        <v>0</v>
      </c>
      <c r="I158" s="1368">
        <v>0</v>
      </c>
      <c r="J158" s="1368">
        <v>0</v>
      </c>
      <c r="K158" s="1368">
        <v>0</v>
      </c>
      <c r="L158" s="1368">
        <v>0</v>
      </c>
      <c r="M158" s="1368">
        <v>0</v>
      </c>
      <c r="N158" s="1368">
        <v>0</v>
      </c>
      <c r="O158" s="1368">
        <v>0</v>
      </c>
      <c r="P158" s="1364">
        <v>800000</v>
      </c>
    </row>
    <row r="159" spans="1:16">
      <c r="A159" s="657"/>
      <c r="B159" s="114"/>
      <c r="C159" s="785" t="s">
        <v>4054</v>
      </c>
      <c r="D159" s="780"/>
      <c r="E159" s="780">
        <v>150000</v>
      </c>
      <c r="F159" s="780"/>
      <c r="G159" s="780"/>
      <c r="H159" s="780"/>
      <c r="I159" s="780"/>
      <c r="J159" s="780"/>
      <c r="K159" s="780"/>
      <c r="L159" s="780"/>
      <c r="M159" s="780"/>
      <c r="N159" s="780"/>
      <c r="O159" s="780"/>
      <c r="P159" s="1364">
        <v>150000</v>
      </c>
    </row>
    <row r="160" spans="1:16">
      <c r="A160" s="657"/>
      <c r="B160" s="114"/>
      <c r="C160" s="785" t="s">
        <v>4055</v>
      </c>
      <c r="D160" s="1368">
        <v>670000</v>
      </c>
      <c r="E160" s="1368">
        <v>530000</v>
      </c>
      <c r="F160" s="1368">
        <v>450000</v>
      </c>
      <c r="G160" s="1368">
        <v>150000</v>
      </c>
      <c r="H160" s="1368">
        <v>100000</v>
      </c>
      <c r="I160" s="1368">
        <v>150000</v>
      </c>
      <c r="J160" s="1368">
        <v>0</v>
      </c>
      <c r="K160" s="1368">
        <v>0</v>
      </c>
      <c r="L160" s="1368">
        <v>0</v>
      </c>
      <c r="M160" s="1368">
        <v>0</v>
      </c>
      <c r="N160" s="1368">
        <v>0</v>
      </c>
      <c r="O160" s="1368">
        <v>0</v>
      </c>
      <c r="P160" s="1364">
        <v>2050000</v>
      </c>
    </row>
    <row r="161" spans="1:16" ht="15">
      <c r="A161" s="657"/>
      <c r="B161" s="114"/>
      <c r="C161" s="112" t="s">
        <v>3268</v>
      </c>
      <c r="D161" s="1366">
        <v>600000</v>
      </c>
      <c r="E161" s="1366">
        <v>250000</v>
      </c>
      <c r="F161" s="1366">
        <v>800000</v>
      </c>
      <c r="G161" s="1366">
        <v>200000</v>
      </c>
      <c r="H161" s="1366">
        <v>460000</v>
      </c>
      <c r="I161" s="1366">
        <v>350000</v>
      </c>
      <c r="J161" s="1366">
        <v>200000</v>
      </c>
      <c r="K161" s="1366">
        <v>200000</v>
      </c>
      <c r="L161" s="1366">
        <v>0</v>
      </c>
      <c r="M161" s="1366">
        <v>0</v>
      </c>
      <c r="N161" s="1366">
        <v>0</v>
      </c>
      <c r="O161" s="1366">
        <v>0</v>
      </c>
      <c r="P161" s="1366">
        <v>3060000</v>
      </c>
    </row>
    <row r="162" spans="1:16">
      <c r="A162" s="657"/>
      <c r="B162" s="114"/>
      <c r="C162" s="90" t="s">
        <v>3269</v>
      </c>
      <c r="D162" s="780">
        <v>350000</v>
      </c>
      <c r="E162" s="780"/>
      <c r="F162" s="780"/>
      <c r="G162" s="780"/>
      <c r="H162" s="780"/>
      <c r="I162" s="780"/>
      <c r="J162" s="780"/>
      <c r="K162" s="780"/>
      <c r="L162" s="780"/>
      <c r="M162" s="780"/>
      <c r="N162" s="780"/>
      <c r="O162" s="780"/>
      <c r="P162" s="1364">
        <v>350000</v>
      </c>
    </row>
    <row r="163" spans="1:16">
      <c r="A163" s="657"/>
      <c r="B163" s="114"/>
      <c r="C163" s="785" t="s">
        <v>4056</v>
      </c>
      <c r="D163" s="780">
        <v>250000</v>
      </c>
      <c r="E163" s="780">
        <v>250000</v>
      </c>
      <c r="F163" s="780">
        <v>0</v>
      </c>
      <c r="G163" s="780">
        <v>0</v>
      </c>
      <c r="H163" s="780">
        <v>0</v>
      </c>
      <c r="I163" s="780">
        <v>0</v>
      </c>
      <c r="J163" s="780">
        <v>0</v>
      </c>
      <c r="K163" s="780">
        <v>0</v>
      </c>
      <c r="L163" s="780">
        <v>0</v>
      </c>
      <c r="M163" s="780">
        <v>0</v>
      </c>
      <c r="N163" s="780">
        <v>0</v>
      </c>
      <c r="O163" s="780">
        <v>0</v>
      </c>
      <c r="P163" s="1364">
        <v>500000</v>
      </c>
    </row>
    <row r="164" spans="1:16">
      <c r="A164" s="657"/>
      <c r="B164" s="114"/>
      <c r="C164" s="90" t="s">
        <v>5926</v>
      </c>
      <c r="D164" s="780">
        <v>0</v>
      </c>
      <c r="E164" s="780">
        <v>0</v>
      </c>
      <c r="F164" s="780">
        <v>800000</v>
      </c>
      <c r="G164" s="780">
        <v>200000</v>
      </c>
      <c r="H164" s="780">
        <v>460000</v>
      </c>
      <c r="I164" s="780">
        <v>350000</v>
      </c>
      <c r="J164" s="780">
        <v>200000</v>
      </c>
      <c r="K164" s="780">
        <v>200000</v>
      </c>
      <c r="L164" s="780">
        <v>0</v>
      </c>
      <c r="M164" s="780">
        <v>0</v>
      </c>
      <c r="N164" s="780">
        <v>0</v>
      </c>
      <c r="O164" s="780">
        <v>0</v>
      </c>
      <c r="P164" s="1364">
        <v>2210000</v>
      </c>
    </row>
    <row r="165" spans="1:16" ht="15">
      <c r="A165" s="657"/>
      <c r="B165" s="114"/>
      <c r="C165" s="112" t="s">
        <v>151</v>
      </c>
      <c r="D165" s="1366">
        <v>2950000</v>
      </c>
      <c r="E165" s="1366">
        <v>3450000</v>
      </c>
      <c r="F165" s="1366">
        <v>2590000</v>
      </c>
      <c r="G165" s="1366">
        <v>900000</v>
      </c>
      <c r="H165" s="1366">
        <v>700000</v>
      </c>
      <c r="I165" s="1366">
        <v>800000</v>
      </c>
      <c r="J165" s="1366">
        <v>700000</v>
      </c>
      <c r="K165" s="1366">
        <v>100000</v>
      </c>
      <c r="L165" s="1366">
        <v>0</v>
      </c>
      <c r="M165" s="1366">
        <v>0</v>
      </c>
      <c r="N165" s="1366">
        <v>0</v>
      </c>
      <c r="O165" s="1366">
        <v>0</v>
      </c>
      <c r="P165" s="1366">
        <v>12190000</v>
      </c>
    </row>
    <row r="166" spans="1:16">
      <c r="A166" s="657"/>
      <c r="B166" s="114"/>
      <c r="C166" s="90" t="s">
        <v>3270</v>
      </c>
      <c r="D166" s="786">
        <v>350000</v>
      </c>
      <c r="E166" s="786"/>
      <c r="F166" s="786"/>
      <c r="G166" s="786"/>
      <c r="H166" s="786"/>
      <c r="I166" s="786"/>
      <c r="J166" s="786"/>
      <c r="K166" s="786"/>
      <c r="L166" s="786"/>
      <c r="M166" s="786"/>
      <c r="N166" s="786"/>
      <c r="O166" s="786"/>
      <c r="P166" s="1364">
        <v>350000</v>
      </c>
    </row>
    <row r="167" spans="1:16">
      <c r="A167" s="657"/>
      <c r="B167" s="114"/>
      <c r="C167" s="785" t="s">
        <v>4058</v>
      </c>
      <c r="D167" s="786">
        <v>0</v>
      </c>
      <c r="E167" s="786">
        <v>150000</v>
      </c>
      <c r="F167" s="786">
        <v>200000</v>
      </c>
      <c r="G167" s="786">
        <v>0</v>
      </c>
      <c r="H167" s="786">
        <v>0</v>
      </c>
      <c r="I167" s="786">
        <v>0</v>
      </c>
      <c r="J167" s="786">
        <v>0</v>
      </c>
      <c r="K167" s="786">
        <v>0</v>
      </c>
      <c r="L167" s="786">
        <v>0</v>
      </c>
      <c r="M167" s="786">
        <v>0</v>
      </c>
      <c r="N167" s="786">
        <v>0</v>
      </c>
      <c r="O167" s="786">
        <v>0</v>
      </c>
      <c r="P167" s="1364">
        <v>350000</v>
      </c>
    </row>
    <row r="168" spans="1:16">
      <c r="A168" s="657"/>
      <c r="B168" s="114"/>
      <c r="C168" s="785" t="s">
        <v>4059</v>
      </c>
      <c r="D168" s="786">
        <v>100000</v>
      </c>
      <c r="E168" s="786">
        <v>200000</v>
      </c>
      <c r="F168" s="786">
        <v>100000</v>
      </c>
      <c r="G168" s="786">
        <v>100000</v>
      </c>
      <c r="H168" s="786">
        <v>100000</v>
      </c>
      <c r="I168" s="786">
        <v>200000</v>
      </c>
      <c r="J168" s="786">
        <v>0</v>
      </c>
      <c r="K168" s="786">
        <v>50000</v>
      </c>
      <c r="L168" s="786">
        <v>0</v>
      </c>
      <c r="M168" s="786">
        <v>0</v>
      </c>
      <c r="N168" s="786">
        <v>0</v>
      </c>
      <c r="O168" s="786">
        <v>0</v>
      </c>
      <c r="P168" s="1364">
        <v>850000</v>
      </c>
    </row>
    <row r="169" spans="1:16">
      <c r="A169" s="657"/>
      <c r="B169" s="114"/>
      <c r="C169" s="785" t="s">
        <v>4060</v>
      </c>
      <c r="D169" s="786">
        <v>2500000</v>
      </c>
      <c r="E169" s="786">
        <v>1600000</v>
      </c>
      <c r="F169" s="786">
        <v>890000</v>
      </c>
      <c r="G169" s="786">
        <v>200000</v>
      </c>
      <c r="H169" s="786">
        <v>100000</v>
      </c>
      <c r="I169" s="786">
        <v>0</v>
      </c>
      <c r="J169" s="786">
        <v>0</v>
      </c>
      <c r="K169" s="786">
        <v>50000</v>
      </c>
      <c r="L169" s="786">
        <v>0</v>
      </c>
      <c r="M169" s="786">
        <v>0</v>
      </c>
      <c r="N169" s="786">
        <v>0</v>
      </c>
      <c r="O169" s="786">
        <v>0</v>
      </c>
      <c r="P169" s="1364">
        <v>5340000</v>
      </c>
    </row>
    <row r="170" spans="1:16">
      <c r="A170" s="657"/>
      <c r="B170" s="114"/>
      <c r="C170" s="90" t="s">
        <v>5927</v>
      </c>
      <c r="D170" s="786">
        <v>0</v>
      </c>
      <c r="E170" s="786">
        <v>1500000</v>
      </c>
      <c r="F170" s="786">
        <v>1400000</v>
      </c>
      <c r="G170" s="786">
        <v>600000</v>
      </c>
      <c r="H170" s="786">
        <v>500000</v>
      </c>
      <c r="I170" s="786">
        <v>600000</v>
      </c>
      <c r="J170" s="786">
        <v>700000</v>
      </c>
      <c r="K170" s="786">
        <v>0</v>
      </c>
      <c r="L170" s="786">
        <v>0</v>
      </c>
      <c r="M170" s="786">
        <v>0</v>
      </c>
      <c r="N170" s="786">
        <v>0</v>
      </c>
      <c r="O170" s="786">
        <v>0</v>
      </c>
      <c r="P170" s="1364">
        <v>5300000</v>
      </c>
    </row>
    <row r="171" spans="1:16" ht="15">
      <c r="A171" s="657"/>
      <c r="B171" s="114"/>
      <c r="C171" s="112" t="s">
        <v>447</v>
      </c>
      <c r="D171" s="1366">
        <v>650000</v>
      </c>
      <c r="E171" s="1366">
        <v>800000</v>
      </c>
      <c r="F171" s="1366">
        <v>1400000</v>
      </c>
      <c r="G171" s="1366">
        <v>1700000</v>
      </c>
      <c r="H171" s="1366">
        <v>100000</v>
      </c>
      <c r="I171" s="1366">
        <v>0</v>
      </c>
      <c r="J171" s="1366">
        <v>50000</v>
      </c>
      <c r="K171" s="1366">
        <v>0</v>
      </c>
      <c r="L171" s="1366">
        <v>0</v>
      </c>
      <c r="M171" s="1366">
        <v>0</v>
      </c>
      <c r="N171" s="1366">
        <v>0</v>
      </c>
      <c r="O171" s="1366">
        <v>0</v>
      </c>
      <c r="P171" s="1366">
        <v>4700000</v>
      </c>
    </row>
    <row r="172" spans="1:16">
      <c r="A172" s="657"/>
      <c r="B172" s="114"/>
      <c r="C172" s="785" t="s">
        <v>4057</v>
      </c>
      <c r="D172" s="786">
        <v>300000</v>
      </c>
      <c r="E172" s="786">
        <v>350000</v>
      </c>
      <c r="F172" s="786">
        <v>200000</v>
      </c>
      <c r="G172" s="786">
        <v>100000</v>
      </c>
      <c r="H172" s="786">
        <v>100000</v>
      </c>
      <c r="I172" s="786">
        <v>0</v>
      </c>
      <c r="J172" s="786">
        <v>50000</v>
      </c>
      <c r="K172" s="786">
        <v>0</v>
      </c>
      <c r="L172" s="786">
        <v>0</v>
      </c>
      <c r="M172" s="786">
        <v>0</v>
      </c>
      <c r="N172" s="786">
        <v>0</v>
      </c>
      <c r="O172" s="786">
        <v>0</v>
      </c>
      <c r="P172" s="1364">
        <v>1100000</v>
      </c>
    </row>
    <row r="173" spans="1:16">
      <c r="A173" s="657"/>
      <c r="B173" s="114"/>
      <c r="C173" s="785" t="s">
        <v>4061</v>
      </c>
      <c r="D173" s="786">
        <v>350000</v>
      </c>
      <c r="E173" s="786">
        <v>450000</v>
      </c>
      <c r="F173" s="786">
        <v>0</v>
      </c>
      <c r="G173" s="786">
        <v>0</v>
      </c>
      <c r="H173" s="786">
        <v>0</v>
      </c>
      <c r="I173" s="786">
        <v>0</v>
      </c>
      <c r="J173" s="786">
        <v>0</v>
      </c>
      <c r="K173" s="786">
        <v>0</v>
      </c>
      <c r="L173" s="786">
        <v>0</v>
      </c>
      <c r="M173" s="786">
        <v>0</v>
      </c>
      <c r="N173" s="786">
        <v>0</v>
      </c>
      <c r="O173" s="786">
        <v>0</v>
      </c>
      <c r="P173" s="1364">
        <v>800000</v>
      </c>
    </row>
    <row r="174" spans="1:16">
      <c r="A174" s="657"/>
      <c r="B174" s="114"/>
      <c r="C174" s="90" t="s">
        <v>5928</v>
      </c>
      <c r="D174" s="786">
        <v>0</v>
      </c>
      <c r="E174" s="786">
        <v>0</v>
      </c>
      <c r="F174" s="786">
        <v>1200000</v>
      </c>
      <c r="G174" s="786">
        <v>1600000</v>
      </c>
      <c r="H174" s="786">
        <v>0</v>
      </c>
      <c r="I174" s="786">
        <v>0</v>
      </c>
      <c r="J174" s="786">
        <v>0</v>
      </c>
      <c r="K174" s="786">
        <v>0</v>
      </c>
      <c r="L174" s="786">
        <v>0</v>
      </c>
      <c r="M174" s="786">
        <v>0</v>
      </c>
      <c r="N174" s="786">
        <v>0</v>
      </c>
      <c r="O174" s="786">
        <v>0</v>
      </c>
      <c r="P174" s="1364">
        <v>2800000</v>
      </c>
    </row>
    <row r="175" spans="1:16" ht="15">
      <c r="A175" s="657"/>
      <c r="B175" s="114"/>
      <c r="C175" s="112" t="s">
        <v>100</v>
      </c>
      <c r="D175" s="1366">
        <v>650000</v>
      </c>
      <c r="E175" s="1366">
        <v>750000</v>
      </c>
      <c r="F175" s="1366">
        <v>200000</v>
      </c>
      <c r="G175" s="1366">
        <v>100000</v>
      </c>
      <c r="H175" s="1366">
        <v>100000</v>
      </c>
      <c r="I175" s="1366">
        <v>0</v>
      </c>
      <c r="J175" s="1366">
        <v>50000</v>
      </c>
      <c r="K175" s="1366">
        <v>0</v>
      </c>
      <c r="L175" s="1366">
        <v>0</v>
      </c>
      <c r="M175" s="1366">
        <v>0</v>
      </c>
      <c r="N175" s="1366">
        <v>0</v>
      </c>
      <c r="O175" s="1366">
        <v>0</v>
      </c>
      <c r="P175" s="1366">
        <v>1850000</v>
      </c>
    </row>
    <row r="176" spans="1:16">
      <c r="A176" s="657"/>
      <c r="B176" s="114"/>
      <c r="C176" s="785" t="s">
        <v>4061</v>
      </c>
      <c r="D176" s="786">
        <v>350000</v>
      </c>
      <c r="E176" s="786">
        <v>400000</v>
      </c>
      <c r="F176" s="786">
        <v>0</v>
      </c>
      <c r="G176" s="786">
        <v>0</v>
      </c>
      <c r="H176" s="786">
        <v>0</v>
      </c>
      <c r="I176" s="786">
        <v>0</v>
      </c>
      <c r="J176" s="786">
        <v>0</v>
      </c>
      <c r="K176" s="786">
        <v>0</v>
      </c>
      <c r="L176" s="786">
        <v>0</v>
      </c>
      <c r="M176" s="786">
        <v>0</v>
      </c>
      <c r="N176" s="786">
        <v>0</v>
      </c>
      <c r="O176" s="786">
        <v>0</v>
      </c>
      <c r="P176" s="1364">
        <v>750000</v>
      </c>
    </row>
    <row r="177" spans="1:16">
      <c r="A177" s="657"/>
      <c r="B177" s="114"/>
      <c r="C177" s="785" t="s">
        <v>4062</v>
      </c>
      <c r="D177" s="786">
        <v>300000</v>
      </c>
      <c r="E177" s="786">
        <v>350000</v>
      </c>
      <c r="F177" s="786">
        <v>200000</v>
      </c>
      <c r="G177" s="786">
        <v>100000</v>
      </c>
      <c r="H177" s="786">
        <v>100000</v>
      </c>
      <c r="I177" s="786">
        <v>0</v>
      </c>
      <c r="J177" s="786">
        <v>50000</v>
      </c>
      <c r="K177" s="786">
        <v>0</v>
      </c>
      <c r="L177" s="786">
        <v>0</v>
      </c>
      <c r="M177" s="786">
        <v>0</v>
      </c>
      <c r="N177" s="786">
        <v>0</v>
      </c>
      <c r="O177" s="786">
        <v>0</v>
      </c>
      <c r="P177" s="1364">
        <v>1100000</v>
      </c>
    </row>
    <row r="178" spans="1:16" ht="15">
      <c r="A178" s="657"/>
      <c r="B178" s="114"/>
      <c r="C178" s="112" t="s">
        <v>4063</v>
      </c>
      <c r="D178" s="1366">
        <v>300000</v>
      </c>
      <c r="E178" s="1366">
        <v>350000</v>
      </c>
      <c r="F178" s="1366">
        <v>200000</v>
      </c>
      <c r="G178" s="1366">
        <v>100000</v>
      </c>
      <c r="H178" s="1366">
        <v>100000</v>
      </c>
      <c r="I178" s="1366">
        <v>0</v>
      </c>
      <c r="J178" s="1366">
        <v>50000</v>
      </c>
      <c r="K178" s="1366">
        <v>0</v>
      </c>
      <c r="L178" s="1366">
        <v>0</v>
      </c>
      <c r="M178" s="1366">
        <v>0</v>
      </c>
      <c r="N178" s="1366">
        <v>0</v>
      </c>
      <c r="O178" s="1366">
        <v>0</v>
      </c>
      <c r="P178" s="1366">
        <v>1100000</v>
      </c>
    </row>
    <row r="179" spans="1:16">
      <c r="A179" s="657"/>
      <c r="B179" s="114"/>
      <c r="C179" s="785" t="s">
        <v>4057</v>
      </c>
      <c r="D179" s="786">
        <v>300000</v>
      </c>
      <c r="E179" s="786">
        <v>350000</v>
      </c>
      <c r="F179" s="786">
        <v>200000</v>
      </c>
      <c r="G179" s="786">
        <v>100000</v>
      </c>
      <c r="H179" s="786">
        <v>100000</v>
      </c>
      <c r="I179" s="786">
        <v>0</v>
      </c>
      <c r="J179" s="786">
        <v>50000</v>
      </c>
      <c r="K179" s="786">
        <v>0</v>
      </c>
      <c r="L179" s="786">
        <v>0</v>
      </c>
      <c r="M179" s="786">
        <v>0</v>
      </c>
      <c r="N179" s="786">
        <v>0</v>
      </c>
      <c r="O179" s="786">
        <v>0</v>
      </c>
      <c r="P179" s="1364">
        <v>1100000</v>
      </c>
    </row>
    <row r="180" spans="1:16" ht="15">
      <c r="A180" s="657"/>
      <c r="B180" s="114"/>
      <c r="C180" s="112" t="s">
        <v>4064</v>
      </c>
      <c r="D180" s="1366">
        <v>300000</v>
      </c>
      <c r="E180" s="1366">
        <v>350000</v>
      </c>
      <c r="F180" s="1366">
        <v>200000</v>
      </c>
      <c r="G180" s="1366">
        <v>100000</v>
      </c>
      <c r="H180" s="1366">
        <v>100000</v>
      </c>
      <c r="I180" s="1366">
        <v>0</v>
      </c>
      <c r="J180" s="1366">
        <v>50000</v>
      </c>
      <c r="K180" s="1366">
        <v>0</v>
      </c>
      <c r="L180" s="1366">
        <v>0</v>
      </c>
      <c r="M180" s="1366">
        <v>0</v>
      </c>
      <c r="N180" s="1366">
        <v>0</v>
      </c>
      <c r="O180" s="1366">
        <v>0</v>
      </c>
      <c r="P180" s="1366">
        <v>1100000</v>
      </c>
    </row>
    <row r="181" spans="1:16">
      <c r="A181" s="657"/>
      <c r="B181" s="114"/>
      <c r="C181" s="785" t="s">
        <v>4057</v>
      </c>
      <c r="D181" s="786">
        <v>300000</v>
      </c>
      <c r="E181" s="786">
        <v>350000</v>
      </c>
      <c r="F181" s="786">
        <v>200000</v>
      </c>
      <c r="G181" s="786">
        <v>100000</v>
      </c>
      <c r="H181" s="786">
        <v>100000</v>
      </c>
      <c r="I181" s="786">
        <v>0</v>
      </c>
      <c r="J181" s="786">
        <v>50000</v>
      </c>
      <c r="K181" s="786">
        <v>0</v>
      </c>
      <c r="L181" s="786">
        <v>0</v>
      </c>
      <c r="M181" s="786">
        <v>0</v>
      </c>
      <c r="N181" s="786">
        <v>0</v>
      </c>
      <c r="O181" s="786">
        <v>0</v>
      </c>
      <c r="P181" s="1364">
        <v>1100000</v>
      </c>
    </row>
    <row r="182" spans="1:16" ht="15">
      <c r="A182" s="657"/>
      <c r="B182" s="114"/>
      <c r="C182" s="112" t="s">
        <v>4065</v>
      </c>
      <c r="D182" s="1366">
        <v>300000</v>
      </c>
      <c r="E182" s="1366">
        <v>350000</v>
      </c>
      <c r="F182" s="1366">
        <v>200000</v>
      </c>
      <c r="G182" s="1366">
        <v>100000</v>
      </c>
      <c r="H182" s="1366">
        <v>100000</v>
      </c>
      <c r="I182" s="1366">
        <v>0</v>
      </c>
      <c r="J182" s="1366">
        <v>50000</v>
      </c>
      <c r="K182" s="1366">
        <v>0</v>
      </c>
      <c r="L182" s="1366">
        <v>0</v>
      </c>
      <c r="M182" s="1366">
        <v>0</v>
      </c>
      <c r="N182" s="1366">
        <v>0</v>
      </c>
      <c r="O182" s="1366">
        <v>0</v>
      </c>
      <c r="P182" s="1366">
        <v>1100000</v>
      </c>
    </row>
    <row r="183" spans="1:16">
      <c r="A183" s="657"/>
      <c r="B183" s="114"/>
      <c r="C183" s="785" t="s">
        <v>4057</v>
      </c>
      <c r="D183" s="786">
        <v>300000</v>
      </c>
      <c r="E183" s="786">
        <v>350000</v>
      </c>
      <c r="F183" s="786">
        <v>200000</v>
      </c>
      <c r="G183" s="786">
        <v>100000</v>
      </c>
      <c r="H183" s="786">
        <v>100000</v>
      </c>
      <c r="I183" s="786">
        <v>0</v>
      </c>
      <c r="J183" s="786">
        <v>50000</v>
      </c>
      <c r="K183" s="786">
        <v>0</v>
      </c>
      <c r="L183" s="786">
        <v>0</v>
      </c>
      <c r="M183" s="786">
        <v>0</v>
      </c>
      <c r="N183" s="786">
        <v>0</v>
      </c>
      <c r="O183" s="786">
        <v>0</v>
      </c>
      <c r="P183" s="1364">
        <v>1100000</v>
      </c>
    </row>
    <row r="184" spans="1:16" ht="15">
      <c r="A184" s="657"/>
      <c r="B184" s="114"/>
      <c r="C184" s="112" t="s">
        <v>3271</v>
      </c>
      <c r="D184" s="1366">
        <f t="shared" ref="D184:P184" si="10">+D182+D180+D178+D175+D171+D165+D161+D156+D149+D144</f>
        <v>31581500</v>
      </c>
      <c r="E184" s="1366">
        <f t="shared" si="10"/>
        <v>38912500</v>
      </c>
      <c r="F184" s="1366">
        <f t="shared" si="10"/>
        <v>8567000</v>
      </c>
      <c r="G184" s="1366">
        <f t="shared" si="10"/>
        <v>5250000</v>
      </c>
      <c r="H184" s="1366">
        <f t="shared" si="10"/>
        <v>3760000</v>
      </c>
      <c r="I184" s="1366">
        <f t="shared" si="10"/>
        <v>3800000</v>
      </c>
      <c r="J184" s="1366">
        <f t="shared" si="10"/>
        <v>1950000</v>
      </c>
      <c r="K184" s="1366">
        <f t="shared" si="10"/>
        <v>550000</v>
      </c>
      <c r="L184" s="1366">
        <f t="shared" si="10"/>
        <v>0</v>
      </c>
      <c r="M184" s="1366">
        <f t="shared" si="10"/>
        <v>0</v>
      </c>
      <c r="N184" s="1366">
        <f t="shared" si="10"/>
        <v>0</v>
      </c>
      <c r="O184" s="1366">
        <f t="shared" si="10"/>
        <v>0</v>
      </c>
      <c r="P184" s="1366">
        <f t="shared" si="10"/>
        <v>94371000</v>
      </c>
    </row>
    <row r="185" spans="1:16">
      <c r="A185" s="657"/>
      <c r="B185" s="114"/>
      <c r="D185" s="658"/>
      <c r="E185" s="658"/>
      <c r="F185" s="658"/>
      <c r="G185" s="658"/>
      <c r="H185" s="658"/>
      <c r="I185" s="658"/>
      <c r="J185" s="658"/>
      <c r="K185" s="658"/>
      <c r="L185" s="658"/>
      <c r="M185" s="658"/>
      <c r="N185" s="658"/>
      <c r="O185" s="658"/>
      <c r="P185" s="658"/>
    </row>
    <row r="186" spans="1:16">
      <c r="A186" s="657"/>
      <c r="B186" s="114"/>
      <c r="D186" s="658"/>
      <c r="E186" s="658"/>
      <c r="F186" s="658"/>
      <c r="G186" s="658"/>
      <c r="H186" s="658"/>
      <c r="I186" s="658"/>
      <c r="J186" s="658"/>
      <c r="K186" s="658"/>
      <c r="L186" s="658"/>
      <c r="M186" s="658"/>
      <c r="N186" s="658"/>
      <c r="O186" s="658"/>
      <c r="P186" s="658"/>
    </row>
    <row r="188" spans="1:16">
      <c r="B188" s="1590" t="s">
        <v>14</v>
      </c>
      <c r="C188" s="1591"/>
      <c r="D188" s="584" t="s">
        <v>51</v>
      </c>
      <c r="E188" s="584" t="s">
        <v>52</v>
      </c>
      <c r="F188" s="584" t="s">
        <v>53</v>
      </c>
      <c r="G188" s="584" t="s">
        <v>54</v>
      </c>
      <c r="H188" s="584" t="s">
        <v>55</v>
      </c>
      <c r="I188" s="584" t="s">
        <v>56</v>
      </c>
      <c r="J188" s="584" t="s">
        <v>57</v>
      </c>
      <c r="K188" s="584" t="s">
        <v>58</v>
      </c>
      <c r="L188" s="584" t="s">
        <v>59</v>
      </c>
      <c r="M188" s="584" t="s">
        <v>60</v>
      </c>
      <c r="N188" s="584" t="s">
        <v>61</v>
      </c>
      <c r="O188" s="584" t="s">
        <v>62</v>
      </c>
      <c r="P188" s="574" t="s">
        <v>3260</v>
      </c>
    </row>
    <row r="189" spans="1:16">
      <c r="B189" s="131" t="s">
        <v>216</v>
      </c>
      <c r="C189" s="131"/>
      <c r="D189" s="138">
        <v>6767088.1803010339</v>
      </c>
      <c r="E189" s="138">
        <v>6767088.1803010339</v>
      </c>
      <c r="F189" s="138">
        <v>6767088.1803010339</v>
      </c>
      <c r="G189" s="138">
        <v>6767088.1803010339</v>
      </c>
      <c r="H189" s="138">
        <v>6767088.1803010339</v>
      </c>
      <c r="I189" s="138">
        <v>6767088.1803010339</v>
      </c>
      <c r="J189" s="138">
        <v>6767088.1803010339</v>
      </c>
      <c r="K189" s="138">
        <v>6767088.1803010339</v>
      </c>
      <c r="L189" s="138">
        <v>6767088.1803010339</v>
      </c>
      <c r="M189" s="138">
        <v>6767088.1803010339</v>
      </c>
      <c r="N189" s="138">
        <v>6767088.1803010339</v>
      </c>
      <c r="O189" s="138">
        <v>6767088.1803010339</v>
      </c>
      <c r="P189" s="138">
        <v>81205058.163612425</v>
      </c>
    </row>
    <row r="190" spans="1:16">
      <c r="B190" s="90"/>
      <c r="C190" s="90" t="s">
        <v>16</v>
      </c>
      <c r="D190" s="93">
        <v>5819245.9500000002</v>
      </c>
      <c r="E190" s="93">
        <v>5819245.9500000002</v>
      </c>
      <c r="F190" s="93">
        <v>5819245.9500000002</v>
      </c>
      <c r="G190" s="93">
        <v>5819245.9500000002</v>
      </c>
      <c r="H190" s="93">
        <v>5819245.9500000002</v>
      </c>
      <c r="I190" s="93">
        <v>5819245.9500000002</v>
      </c>
      <c r="J190" s="93">
        <v>5819245.9500000002</v>
      </c>
      <c r="K190" s="93">
        <v>5819245.9500000002</v>
      </c>
      <c r="L190" s="93">
        <v>5819245.9500000002</v>
      </c>
      <c r="M190" s="93">
        <v>5819245.9500000002</v>
      </c>
      <c r="N190" s="93">
        <v>5819245.9500000002</v>
      </c>
      <c r="O190" s="93">
        <v>5819245.9500000002</v>
      </c>
      <c r="P190" s="93">
        <v>69830951.400000021</v>
      </c>
    </row>
    <row r="191" spans="1:16">
      <c r="B191" s="90"/>
      <c r="C191" s="90" t="s">
        <v>17</v>
      </c>
      <c r="D191" s="93">
        <v>331097.60000000003</v>
      </c>
      <c r="E191" s="93">
        <v>331097.60000000003</v>
      </c>
      <c r="F191" s="93">
        <v>331097.60000000003</v>
      </c>
      <c r="G191" s="93">
        <v>331097.60000000003</v>
      </c>
      <c r="H191" s="93">
        <v>331097.60000000003</v>
      </c>
      <c r="I191" s="93">
        <v>331097.60000000003</v>
      </c>
      <c r="J191" s="93">
        <v>331097.60000000003</v>
      </c>
      <c r="K191" s="93">
        <v>331097.60000000003</v>
      </c>
      <c r="L191" s="93">
        <v>331097.60000000003</v>
      </c>
      <c r="M191" s="93">
        <v>331097.60000000003</v>
      </c>
      <c r="N191" s="93">
        <v>331097.60000000003</v>
      </c>
      <c r="O191" s="93">
        <v>331097.60000000003</v>
      </c>
      <c r="P191" s="93">
        <v>3973171.2000000007</v>
      </c>
    </row>
    <row r="192" spans="1:16">
      <c r="B192" s="90"/>
      <c r="C192" s="90" t="s">
        <v>18</v>
      </c>
      <c r="D192" s="93">
        <v>616744.63030103373</v>
      </c>
      <c r="E192" s="93">
        <v>616744.63030103373</v>
      </c>
      <c r="F192" s="93">
        <v>616744.63030103373</v>
      </c>
      <c r="G192" s="93">
        <v>616744.63030103373</v>
      </c>
      <c r="H192" s="93">
        <v>616744.63030103373</v>
      </c>
      <c r="I192" s="93">
        <v>616744.63030103373</v>
      </c>
      <c r="J192" s="93">
        <v>616744.63030103373</v>
      </c>
      <c r="K192" s="93">
        <v>616744.63030103373</v>
      </c>
      <c r="L192" s="93">
        <v>616744.63030103373</v>
      </c>
      <c r="M192" s="93">
        <v>616744.63030103373</v>
      </c>
      <c r="N192" s="93">
        <v>616744.63030103373</v>
      </c>
      <c r="O192" s="93">
        <v>616744.63030103373</v>
      </c>
      <c r="P192" s="93">
        <v>7400935.5636124061</v>
      </c>
    </row>
    <row r="193" spans="2:16">
      <c r="B193" s="131" t="s">
        <v>217</v>
      </c>
      <c r="C193" s="131"/>
      <c r="D193" s="131">
        <v>463926.60183430236</v>
      </c>
      <c r="E193" s="131">
        <v>463926.60183430236</v>
      </c>
      <c r="F193" s="131">
        <v>463926.60183430236</v>
      </c>
      <c r="G193" s="131">
        <v>463926.60183430236</v>
      </c>
      <c r="H193" s="131">
        <v>463926.60183430236</v>
      </c>
      <c r="I193" s="131">
        <v>463926.60183430236</v>
      </c>
      <c r="J193" s="131">
        <v>463926.60183430236</v>
      </c>
      <c r="K193" s="131">
        <v>463926.60183430236</v>
      </c>
      <c r="L193" s="131">
        <v>463926.60183430236</v>
      </c>
      <c r="M193" s="131">
        <v>463926.60183430236</v>
      </c>
      <c r="N193" s="131">
        <v>463926.60183430236</v>
      </c>
      <c r="O193" s="131">
        <v>463926.60183430236</v>
      </c>
      <c r="P193" s="131">
        <v>5567119.2220116295</v>
      </c>
    </row>
    <row r="194" spans="2:16">
      <c r="B194" s="90"/>
      <c r="C194" s="90" t="s">
        <v>19</v>
      </c>
      <c r="D194" s="93">
        <v>336805.35000000003</v>
      </c>
      <c r="E194" s="93">
        <v>336805.35000000003</v>
      </c>
      <c r="F194" s="93">
        <v>336805.35000000003</v>
      </c>
      <c r="G194" s="93">
        <v>336805.35000000003</v>
      </c>
      <c r="H194" s="93">
        <v>336805.35000000003</v>
      </c>
      <c r="I194" s="93">
        <v>336805.35000000003</v>
      </c>
      <c r="J194" s="93">
        <v>336805.35000000003</v>
      </c>
      <c r="K194" s="93">
        <v>336805.35000000003</v>
      </c>
      <c r="L194" s="93">
        <v>336805.35000000003</v>
      </c>
      <c r="M194" s="93">
        <v>336805.35000000003</v>
      </c>
      <c r="N194" s="93">
        <v>336805.35000000003</v>
      </c>
      <c r="O194" s="93">
        <v>336805.35000000003</v>
      </c>
      <c r="P194" s="93">
        <v>4041664.2000000007</v>
      </c>
    </row>
    <row r="195" spans="2:16">
      <c r="B195" s="90"/>
      <c r="C195" s="90" t="s">
        <v>20</v>
      </c>
      <c r="D195" s="93">
        <v>127121.25183430234</v>
      </c>
      <c r="E195" s="93">
        <v>127121.25183430234</v>
      </c>
      <c r="F195" s="93">
        <v>127121.25183430234</v>
      </c>
      <c r="G195" s="93">
        <v>127121.25183430234</v>
      </c>
      <c r="H195" s="93">
        <v>127121.25183430234</v>
      </c>
      <c r="I195" s="93">
        <v>127121.25183430234</v>
      </c>
      <c r="J195" s="93">
        <v>127121.25183430234</v>
      </c>
      <c r="K195" s="93">
        <v>127121.25183430234</v>
      </c>
      <c r="L195" s="93">
        <v>127121.25183430234</v>
      </c>
      <c r="M195" s="93">
        <v>127121.25183430234</v>
      </c>
      <c r="N195" s="93">
        <v>127121.25183430234</v>
      </c>
      <c r="O195" s="93">
        <v>127121.25183430234</v>
      </c>
      <c r="P195" s="93">
        <v>1525455.0220116284</v>
      </c>
    </row>
    <row r="196" spans="2:16">
      <c r="B196" s="131" t="s">
        <v>218</v>
      </c>
      <c r="C196" s="131"/>
      <c r="D196" s="131">
        <v>577540.11771227396</v>
      </c>
      <c r="E196" s="131">
        <v>577540.11771227396</v>
      </c>
      <c r="F196" s="131">
        <v>577540.11771227396</v>
      </c>
      <c r="G196" s="131">
        <v>577540.11771227396</v>
      </c>
      <c r="H196" s="131">
        <v>577540.11771227396</v>
      </c>
      <c r="I196" s="131">
        <v>577540.11771227396</v>
      </c>
      <c r="J196" s="131">
        <v>577540.11771227396</v>
      </c>
      <c r="K196" s="131">
        <v>577540.11771227396</v>
      </c>
      <c r="L196" s="131">
        <v>577540.11771227396</v>
      </c>
      <c r="M196" s="131">
        <v>577540.11771227396</v>
      </c>
      <c r="N196" s="131">
        <v>577540.11771227396</v>
      </c>
      <c r="O196" s="131">
        <v>577540.11771227396</v>
      </c>
      <c r="P196" s="131">
        <v>6930481.4125472857</v>
      </c>
    </row>
    <row r="197" spans="2:16">
      <c r="B197" s="90"/>
      <c r="C197" s="90" t="s">
        <v>22</v>
      </c>
      <c r="D197" s="93">
        <v>474312.30000000005</v>
      </c>
      <c r="E197" s="93">
        <v>474312.30000000005</v>
      </c>
      <c r="F197" s="93">
        <v>474312.30000000005</v>
      </c>
      <c r="G197" s="93">
        <v>474312.30000000005</v>
      </c>
      <c r="H197" s="93">
        <v>474312.30000000005</v>
      </c>
      <c r="I197" s="93">
        <v>474312.30000000005</v>
      </c>
      <c r="J197" s="93">
        <v>474312.30000000005</v>
      </c>
      <c r="K197" s="93">
        <v>474312.30000000005</v>
      </c>
      <c r="L197" s="93">
        <v>474312.30000000005</v>
      </c>
      <c r="M197" s="93">
        <v>474312.30000000005</v>
      </c>
      <c r="N197" s="93">
        <v>474312.30000000005</v>
      </c>
      <c r="O197" s="93">
        <v>474312.30000000005</v>
      </c>
      <c r="P197" s="93">
        <v>5691747.5999999987</v>
      </c>
    </row>
    <row r="198" spans="2:16">
      <c r="B198" s="90"/>
      <c r="C198" s="90" t="s">
        <v>78</v>
      </c>
      <c r="D198" s="93">
        <v>48116.520499999999</v>
      </c>
      <c r="E198" s="93">
        <v>48116.520499999999</v>
      </c>
      <c r="F198" s="93">
        <v>48116.520499999999</v>
      </c>
      <c r="G198" s="93">
        <v>48116.520499999999</v>
      </c>
      <c r="H198" s="93">
        <v>48116.520499999999</v>
      </c>
      <c r="I198" s="93">
        <v>48116.520499999999</v>
      </c>
      <c r="J198" s="93">
        <v>48116.520499999999</v>
      </c>
      <c r="K198" s="93">
        <v>48116.520499999999</v>
      </c>
      <c r="L198" s="93">
        <v>48116.520499999999</v>
      </c>
      <c r="M198" s="93">
        <v>48116.520499999999</v>
      </c>
      <c r="N198" s="93">
        <v>48116.520499999999</v>
      </c>
      <c r="O198" s="93">
        <v>48116.520499999999</v>
      </c>
      <c r="P198" s="93">
        <v>577398.24599999993</v>
      </c>
    </row>
    <row r="199" spans="2:16">
      <c r="B199" s="90"/>
      <c r="C199" s="90" t="s">
        <v>20</v>
      </c>
      <c r="D199" s="93">
        <v>55111.297212273901</v>
      </c>
      <c r="E199" s="93">
        <v>55111.297212273901</v>
      </c>
      <c r="F199" s="93">
        <v>55111.297212273901</v>
      </c>
      <c r="G199" s="93">
        <v>55111.297212273901</v>
      </c>
      <c r="H199" s="93">
        <v>55111.297212273901</v>
      </c>
      <c r="I199" s="93">
        <v>55111.297212273901</v>
      </c>
      <c r="J199" s="93">
        <v>55111.297212273901</v>
      </c>
      <c r="K199" s="93">
        <v>55111.297212273901</v>
      </c>
      <c r="L199" s="93">
        <v>55111.297212273901</v>
      </c>
      <c r="M199" s="93">
        <v>55111.297212273901</v>
      </c>
      <c r="N199" s="93">
        <v>55111.297212273901</v>
      </c>
      <c r="O199" s="93">
        <v>55111.297212273901</v>
      </c>
      <c r="P199" s="93">
        <v>661335.56654728705</v>
      </c>
    </row>
    <row r="200" spans="2:16">
      <c r="B200" s="131" t="s">
        <v>219</v>
      </c>
      <c r="C200" s="131"/>
      <c r="D200" s="131">
        <v>51312.439015713389</v>
      </c>
      <c r="E200" s="131">
        <v>51312.439015713389</v>
      </c>
      <c r="F200" s="131">
        <v>51312.439015713389</v>
      </c>
      <c r="G200" s="131">
        <v>51312.439015713389</v>
      </c>
      <c r="H200" s="131">
        <v>51312.439015713389</v>
      </c>
      <c r="I200" s="131">
        <v>51312.439015713389</v>
      </c>
      <c r="J200" s="131">
        <v>51312.439015713389</v>
      </c>
      <c r="K200" s="131">
        <v>51312.439015713389</v>
      </c>
      <c r="L200" s="131">
        <v>51312.439015713389</v>
      </c>
      <c r="M200" s="131">
        <v>51312.439015713389</v>
      </c>
      <c r="N200" s="131">
        <v>51312.439015713389</v>
      </c>
      <c r="O200" s="131">
        <v>51312.439015713389</v>
      </c>
      <c r="P200" s="131">
        <v>615749.26818856073</v>
      </c>
    </row>
    <row r="201" spans="2:16">
      <c r="B201" s="90"/>
      <c r="C201" s="90" t="s">
        <v>22</v>
      </c>
      <c r="D201" s="93">
        <v>27445.95</v>
      </c>
      <c r="E201" s="93">
        <v>27445.95</v>
      </c>
      <c r="F201" s="93">
        <v>27445.95</v>
      </c>
      <c r="G201" s="93">
        <v>27445.95</v>
      </c>
      <c r="H201" s="93">
        <v>27445.95</v>
      </c>
      <c r="I201" s="93">
        <v>27445.95</v>
      </c>
      <c r="J201" s="93">
        <v>27445.95</v>
      </c>
      <c r="K201" s="93">
        <v>27445.95</v>
      </c>
      <c r="L201" s="93">
        <v>27445.95</v>
      </c>
      <c r="M201" s="93">
        <v>27445.95</v>
      </c>
      <c r="N201" s="93">
        <v>27445.95</v>
      </c>
      <c r="O201" s="93">
        <v>27445.95</v>
      </c>
      <c r="P201" s="93">
        <v>329351.40000000008</v>
      </c>
    </row>
    <row r="202" spans="2:16">
      <c r="B202" s="90"/>
      <c r="C202" s="90" t="s">
        <v>20</v>
      </c>
      <c r="D202" s="93">
        <v>23866.489015713385</v>
      </c>
      <c r="E202" s="93">
        <v>23866.489015713385</v>
      </c>
      <c r="F202" s="93">
        <v>23866.489015713385</v>
      </c>
      <c r="G202" s="93">
        <v>23866.489015713385</v>
      </c>
      <c r="H202" s="93">
        <v>23866.489015713385</v>
      </c>
      <c r="I202" s="93">
        <v>23866.489015713385</v>
      </c>
      <c r="J202" s="93">
        <v>23866.489015713385</v>
      </c>
      <c r="K202" s="93">
        <v>23866.489015713385</v>
      </c>
      <c r="L202" s="93">
        <v>23866.489015713385</v>
      </c>
      <c r="M202" s="93">
        <v>23866.489015713385</v>
      </c>
      <c r="N202" s="93">
        <v>23866.489015713385</v>
      </c>
      <c r="O202" s="93">
        <v>23866.489015713385</v>
      </c>
      <c r="P202" s="93">
        <v>286397.86818856065</v>
      </c>
    </row>
    <row r="203" spans="2:16">
      <c r="B203" s="131" t="s">
        <v>95</v>
      </c>
      <c r="C203" s="131"/>
      <c r="D203" s="131">
        <v>210537.8679379845</v>
      </c>
      <c r="E203" s="131">
        <v>210537.8679379845</v>
      </c>
      <c r="F203" s="131">
        <v>210537.8679379845</v>
      </c>
      <c r="G203" s="131">
        <v>210537.8679379845</v>
      </c>
      <c r="H203" s="131">
        <v>210537.8679379845</v>
      </c>
      <c r="I203" s="131">
        <v>210537.8679379845</v>
      </c>
      <c r="J203" s="131">
        <v>210537.8679379845</v>
      </c>
      <c r="K203" s="131">
        <v>210537.8679379845</v>
      </c>
      <c r="L203" s="131">
        <v>210537.8679379845</v>
      </c>
      <c r="M203" s="131">
        <v>210537.8679379845</v>
      </c>
      <c r="N203" s="131">
        <v>210537.8679379845</v>
      </c>
      <c r="O203" s="131">
        <v>210537.8679379845</v>
      </c>
      <c r="P203" s="131">
        <v>2526454.4152558143</v>
      </c>
    </row>
    <row r="204" spans="2:16">
      <c r="B204" s="90"/>
      <c r="C204" s="90" t="s">
        <v>17</v>
      </c>
      <c r="D204" s="93">
        <v>82086.850000000006</v>
      </c>
      <c r="E204" s="93">
        <v>82086.850000000006</v>
      </c>
      <c r="F204" s="93">
        <v>82086.850000000006</v>
      </c>
      <c r="G204" s="93">
        <v>82086.850000000006</v>
      </c>
      <c r="H204" s="93">
        <v>82086.850000000006</v>
      </c>
      <c r="I204" s="93">
        <v>82086.850000000006</v>
      </c>
      <c r="J204" s="93">
        <v>82086.850000000006</v>
      </c>
      <c r="K204" s="93">
        <v>82086.850000000006</v>
      </c>
      <c r="L204" s="93">
        <v>82086.850000000006</v>
      </c>
      <c r="M204" s="93">
        <v>82086.850000000006</v>
      </c>
      <c r="N204" s="93">
        <v>82086.850000000006</v>
      </c>
      <c r="O204" s="93">
        <v>82086.850000000006</v>
      </c>
      <c r="P204" s="93">
        <v>985042.19999999984</v>
      </c>
    </row>
    <row r="205" spans="2:16">
      <c r="B205" s="92"/>
      <c r="C205" s="90" t="s">
        <v>18</v>
      </c>
      <c r="D205" s="93">
        <v>128451.01793798449</v>
      </c>
      <c r="E205" s="93">
        <v>128451.01793798449</v>
      </c>
      <c r="F205" s="93">
        <v>128451.01793798449</v>
      </c>
      <c r="G205" s="93">
        <v>128451.01793798449</v>
      </c>
      <c r="H205" s="93">
        <v>128451.01793798449</v>
      </c>
      <c r="I205" s="93">
        <v>128451.01793798449</v>
      </c>
      <c r="J205" s="93">
        <v>128451.01793798449</v>
      </c>
      <c r="K205" s="93">
        <v>128451.01793798449</v>
      </c>
      <c r="L205" s="93">
        <v>128451.01793798449</v>
      </c>
      <c r="M205" s="93">
        <v>128451.01793798449</v>
      </c>
      <c r="N205" s="93">
        <v>128451.01793798449</v>
      </c>
      <c r="O205" s="93">
        <v>128451.01793798449</v>
      </c>
      <c r="P205" s="93">
        <v>1541412.2152558144</v>
      </c>
    </row>
    <row r="206" spans="2:16">
      <c r="B206" s="92"/>
      <c r="C206" s="90"/>
      <c r="D206" s="93"/>
      <c r="E206" s="93"/>
      <c r="F206" s="93"/>
      <c r="G206" s="93"/>
      <c r="H206" s="93"/>
      <c r="I206" s="93"/>
      <c r="J206" s="93"/>
      <c r="K206" s="93"/>
      <c r="L206" s="93"/>
      <c r="M206" s="93"/>
      <c r="N206" s="93"/>
      <c r="O206" s="93"/>
      <c r="P206" s="93"/>
    </row>
    <row r="207" spans="2:16">
      <c r="B207" s="136" t="s">
        <v>30</v>
      </c>
      <c r="C207" s="137"/>
      <c r="D207" s="131">
        <f>+D203+D200+D196+D193+D189</f>
        <v>8070405.2068013083</v>
      </c>
      <c r="E207" s="131">
        <f t="shared" ref="E207:P207" si="11">+E203+E200+E196+E193+E189</f>
        <v>8070405.2068013083</v>
      </c>
      <c r="F207" s="131">
        <f t="shared" si="11"/>
        <v>8070405.2068013083</v>
      </c>
      <c r="G207" s="131">
        <f t="shared" si="11"/>
        <v>8070405.2068013083</v>
      </c>
      <c r="H207" s="131">
        <f t="shared" si="11"/>
        <v>8070405.2068013083</v>
      </c>
      <c r="I207" s="131">
        <f t="shared" si="11"/>
        <v>8070405.2068013083</v>
      </c>
      <c r="J207" s="131">
        <f t="shared" si="11"/>
        <v>8070405.2068013083</v>
      </c>
      <c r="K207" s="131">
        <f t="shared" si="11"/>
        <v>8070405.2068013083</v>
      </c>
      <c r="L207" s="131">
        <f t="shared" si="11"/>
        <v>8070405.2068013083</v>
      </c>
      <c r="M207" s="131">
        <f t="shared" si="11"/>
        <v>8070405.2068013083</v>
      </c>
      <c r="N207" s="131">
        <f t="shared" si="11"/>
        <v>8070405.2068013083</v>
      </c>
      <c r="O207" s="131">
        <f t="shared" si="11"/>
        <v>8070405.2068013083</v>
      </c>
      <c r="P207" s="131">
        <f t="shared" si="11"/>
        <v>96844862.481615722</v>
      </c>
    </row>
    <row r="208" spans="2:16"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</row>
    <row r="209" spans="2:16"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</row>
    <row r="210" spans="2:16">
      <c r="B210" s="1581" t="s">
        <v>0</v>
      </c>
      <c r="C210" s="1582"/>
      <c r="D210" s="584" t="s">
        <v>51</v>
      </c>
      <c r="E210" s="584" t="s">
        <v>52</v>
      </c>
      <c r="F210" s="584" t="s">
        <v>53</v>
      </c>
      <c r="G210" s="584" t="s">
        <v>54</v>
      </c>
      <c r="H210" s="584" t="s">
        <v>55</v>
      </c>
      <c r="I210" s="584" t="s">
        <v>56</v>
      </c>
      <c r="J210" s="584" t="s">
        <v>57</v>
      </c>
      <c r="K210" s="584" t="s">
        <v>58</v>
      </c>
      <c r="L210" s="584" t="s">
        <v>59</v>
      </c>
      <c r="M210" s="584" t="s">
        <v>60</v>
      </c>
      <c r="N210" s="584" t="s">
        <v>61</v>
      </c>
      <c r="O210" s="584" t="s">
        <v>62</v>
      </c>
      <c r="P210" s="574" t="s">
        <v>3260</v>
      </c>
    </row>
    <row r="211" spans="2:16">
      <c r="B211" s="90"/>
      <c r="C211" s="92" t="s">
        <v>613</v>
      </c>
      <c r="D211" s="93"/>
      <c r="E211" s="93"/>
      <c r="F211" s="93"/>
      <c r="G211" s="93"/>
      <c r="H211" s="93">
        <v>3727291.2600000002</v>
      </c>
      <c r="I211" s="93"/>
      <c r="J211" s="93"/>
      <c r="K211" s="93"/>
      <c r="L211" s="93"/>
      <c r="M211" s="93"/>
      <c r="N211" s="93"/>
      <c r="O211" s="93"/>
      <c r="P211" s="93">
        <v>3727291.2600000002</v>
      </c>
    </row>
    <row r="212" spans="2:16">
      <c r="B212" s="90"/>
      <c r="C212" s="92" t="s">
        <v>3272</v>
      </c>
      <c r="D212" s="93">
        <v>9100</v>
      </c>
      <c r="E212" s="93">
        <v>9100</v>
      </c>
      <c r="F212" s="93">
        <v>9100</v>
      </c>
      <c r="G212" s="93">
        <v>9100</v>
      </c>
      <c r="H212" s="93">
        <v>9100</v>
      </c>
      <c r="I212" s="93">
        <v>9100</v>
      </c>
      <c r="J212" s="93">
        <v>9100</v>
      </c>
      <c r="K212" s="93">
        <v>9100</v>
      </c>
      <c r="L212" s="93">
        <v>9100</v>
      </c>
      <c r="M212" s="93">
        <v>9100</v>
      </c>
      <c r="N212" s="93">
        <v>9100</v>
      </c>
      <c r="O212" s="93">
        <v>9100</v>
      </c>
      <c r="P212" s="93">
        <v>109200</v>
      </c>
    </row>
    <row r="213" spans="2:16">
      <c r="B213" s="90"/>
      <c r="C213" s="92" t="s">
        <v>3273</v>
      </c>
      <c r="D213" s="93">
        <v>18600</v>
      </c>
      <c r="E213" s="93">
        <v>18600</v>
      </c>
      <c r="F213" s="93">
        <v>18600</v>
      </c>
      <c r="G213" s="93">
        <v>18600</v>
      </c>
      <c r="H213" s="93">
        <v>18600</v>
      </c>
      <c r="I213" s="93">
        <v>18600</v>
      </c>
      <c r="J213" s="93">
        <v>18600</v>
      </c>
      <c r="K213" s="93">
        <v>18600</v>
      </c>
      <c r="L213" s="93">
        <v>18600</v>
      </c>
      <c r="M213" s="93">
        <v>18600</v>
      </c>
      <c r="N213" s="93">
        <v>18600</v>
      </c>
      <c r="O213" s="93">
        <v>18600</v>
      </c>
      <c r="P213" s="93">
        <v>223200</v>
      </c>
    </row>
    <row r="214" spans="2:16">
      <c r="B214" s="90"/>
      <c r="C214" s="92" t="s">
        <v>5930</v>
      </c>
      <c r="D214" s="93">
        <v>5300</v>
      </c>
      <c r="E214" s="93">
        <v>5300</v>
      </c>
      <c r="F214" s="93">
        <v>5300</v>
      </c>
      <c r="G214" s="93">
        <v>5300</v>
      </c>
      <c r="H214" s="93">
        <v>5300</v>
      </c>
      <c r="I214" s="93">
        <v>5300</v>
      </c>
      <c r="J214" s="93">
        <v>5300</v>
      </c>
      <c r="K214" s="93">
        <v>5300</v>
      </c>
      <c r="L214" s="93">
        <v>5300</v>
      </c>
      <c r="M214" s="93">
        <v>5300</v>
      </c>
      <c r="N214" s="93">
        <v>5300</v>
      </c>
      <c r="O214" s="93">
        <v>5300</v>
      </c>
      <c r="P214" s="93">
        <v>63600</v>
      </c>
    </row>
    <row r="215" spans="2:16">
      <c r="B215" s="90"/>
      <c r="C215" s="90" t="s">
        <v>1860</v>
      </c>
      <c r="D215" s="93">
        <v>11000</v>
      </c>
      <c r="E215" s="93">
        <v>11000</v>
      </c>
      <c r="F215" s="93">
        <v>11000</v>
      </c>
      <c r="G215" s="93">
        <v>11000</v>
      </c>
      <c r="H215" s="93">
        <v>11000</v>
      </c>
      <c r="I215" s="93">
        <v>11000</v>
      </c>
      <c r="J215" s="93">
        <v>11000</v>
      </c>
      <c r="K215" s="93">
        <v>11000</v>
      </c>
      <c r="L215" s="93">
        <v>11000</v>
      </c>
      <c r="M215" s="93">
        <v>11000</v>
      </c>
      <c r="N215" s="93">
        <v>11000</v>
      </c>
      <c r="O215" s="93">
        <v>11000</v>
      </c>
      <c r="P215" s="93">
        <v>132000</v>
      </c>
    </row>
    <row r="216" spans="2:16">
      <c r="B216" s="1583" t="s">
        <v>1</v>
      </c>
      <c r="C216" s="1584"/>
      <c r="D216" s="131">
        <f>SUM(D211:D215)</f>
        <v>44000</v>
      </c>
      <c r="E216" s="131">
        <f t="shared" ref="E216:P216" si="12">SUM(E211:E215)</f>
        <v>44000</v>
      </c>
      <c r="F216" s="131">
        <f t="shared" si="12"/>
        <v>44000</v>
      </c>
      <c r="G216" s="131">
        <f t="shared" si="12"/>
        <v>44000</v>
      </c>
      <c r="H216" s="131">
        <f t="shared" si="12"/>
        <v>3771291.2600000002</v>
      </c>
      <c r="I216" s="131">
        <f t="shared" si="12"/>
        <v>44000</v>
      </c>
      <c r="J216" s="131">
        <f t="shared" si="12"/>
        <v>44000</v>
      </c>
      <c r="K216" s="131">
        <f t="shared" si="12"/>
        <v>44000</v>
      </c>
      <c r="L216" s="131">
        <f t="shared" si="12"/>
        <v>44000</v>
      </c>
      <c r="M216" s="131">
        <f t="shared" si="12"/>
        <v>44000</v>
      </c>
      <c r="N216" s="131">
        <f t="shared" si="12"/>
        <v>44000</v>
      </c>
      <c r="O216" s="131">
        <f t="shared" si="12"/>
        <v>44000</v>
      </c>
      <c r="P216" s="131">
        <f t="shared" si="12"/>
        <v>4255291.26</v>
      </c>
    </row>
    <row r="217" spans="2:16">
      <c r="B217" s="141"/>
      <c r="C217" s="141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</row>
    <row r="218" spans="2:16"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</row>
    <row r="219" spans="2:16">
      <c r="B219" s="1581" t="s">
        <v>220</v>
      </c>
      <c r="C219" s="1582"/>
      <c r="D219" s="584" t="s">
        <v>51</v>
      </c>
      <c r="E219" s="584" t="s">
        <v>52</v>
      </c>
      <c r="F219" s="584" t="s">
        <v>53</v>
      </c>
      <c r="G219" s="584" t="s">
        <v>54</v>
      </c>
      <c r="H219" s="584" t="s">
        <v>55</v>
      </c>
      <c r="I219" s="584" t="s">
        <v>56</v>
      </c>
      <c r="J219" s="584" t="s">
        <v>57</v>
      </c>
      <c r="K219" s="584" t="s">
        <v>58</v>
      </c>
      <c r="L219" s="584" t="s">
        <v>59</v>
      </c>
      <c r="M219" s="584" t="s">
        <v>60</v>
      </c>
      <c r="N219" s="584" t="s">
        <v>61</v>
      </c>
      <c r="O219" s="584" t="s">
        <v>62</v>
      </c>
      <c r="P219" s="584" t="s">
        <v>1850</v>
      </c>
    </row>
    <row r="220" spans="2:16">
      <c r="B220" s="90"/>
      <c r="C220" s="92"/>
      <c r="D220" s="93"/>
      <c r="E220" s="93"/>
      <c r="F220" s="93"/>
      <c r="G220" s="93"/>
      <c r="H220" s="93"/>
      <c r="I220" s="93"/>
      <c r="J220" s="93"/>
      <c r="K220" s="93"/>
      <c r="L220" s="93"/>
      <c r="M220" s="93"/>
      <c r="N220" s="93"/>
      <c r="O220" s="93"/>
      <c r="P220" s="93">
        <f t="shared" ref="P220:P223" si="13">SUM(D220:O220)</f>
        <v>0</v>
      </c>
    </row>
    <row r="221" spans="2:16">
      <c r="B221" s="90"/>
      <c r="C221" s="92"/>
      <c r="D221" s="93"/>
      <c r="E221" s="93"/>
      <c r="F221" s="93"/>
      <c r="G221" s="93"/>
      <c r="H221" s="93"/>
      <c r="I221" s="93"/>
      <c r="J221" s="93"/>
      <c r="K221" s="93"/>
      <c r="L221" s="93"/>
      <c r="M221" s="93"/>
      <c r="N221" s="93"/>
      <c r="O221" s="93"/>
      <c r="P221" s="93">
        <f t="shared" si="13"/>
        <v>0</v>
      </c>
    </row>
    <row r="222" spans="2:16">
      <c r="B222" s="90"/>
      <c r="C222" s="92"/>
      <c r="D222" s="93"/>
      <c r="E222" s="93"/>
      <c r="F222" s="93"/>
      <c r="G222" s="93"/>
      <c r="H222" s="93"/>
      <c r="I222" s="93"/>
      <c r="J222" s="93"/>
      <c r="K222" s="93"/>
      <c r="L222" s="93"/>
      <c r="M222" s="93"/>
      <c r="N222" s="93"/>
      <c r="O222" s="93"/>
      <c r="P222" s="93">
        <f t="shared" si="13"/>
        <v>0</v>
      </c>
    </row>
    <row r="223" spans="2:16">
      <c r="B223" s="90"/>
      <c r="C223" s="90"/>
      <c r="D223" s="93"/>
      <c r="E223" s="93"/>
      <c r="F223" s="93"/>
      <c r="G223" s="93"/>
      <c r="H223" s="93"/>
      <c r="I223" s="93"/>
      <c r="J223" s="93"/>
      <c r="K223" s="93"/>
      <c r="L223" s="93"/>
      <c r="M223" s="93"/>
      <c r="N223" s="93"/>
      <c r="O223" s="93"/>
      <c r="P223" s="93">
        <f t="shared" si="13"/>
        <v>0</v>
      </c>
    </row>
    <row r="224" spans="2:16">
      <c r="B224" s="1583" t="s">
        <v>1861</v>
      </c>
      <c r="C224" s="1585"/>
      <c r="D224" s="131">
        <f t="shared" ref="D224:P224" si="14">SUM(D220:D223)</f>
        <v>0</v>
      </c>
      <c r="E224" s="131">
        <f t="shared" si="14"/>
        <v>0</v>
      </c>
      <c r="F224" s="131">
        <f t="shared" si="14"/>
        <v>0</v>
      </c>
      <c r="G224" s="131">
        <f t="shared" si="14"/>
        <v>0</v>
      </c>
      <c r="H224" s="131">
        <f t="shared" si="14"/>
        <v>0</v>
      </c>
      <c r="I224" s="131">
        <f t="shared" si="14"/>
        <v>0</v>
      </c>
      <c r="J224" s="131">
        <f t="shared" si="14"/>
        <v>0</v>
      </c>
      <c r="K224" s="131">
        <f t="shared" si="14"/>
        <v>0</v>
      </c>
      <c r="L224" s="131">
        <f t="shared" si="14"/>
        <v>0</v>
      </c>
      <c r="M224" s="131">
        <f t="shared" si="14"/>
        <v>0</v>
      </c>
      <c r="N224" s="131">
        <f t="shared" si="14"/>
        <v>0</v>
      </c>
      <c r="O224" s="131">
        <f t="shared" si="14"/>
        <v>0</v>
      </c>
      <c r="P224" s="131">
        <f t="shared" si="14"/>
        <v>0</v>
      </c>
    </row>
    <row r="227" spans="2:16">
      <c r="B227" s="591" t="s">
        <v>1862</v>
      </c>
      <c r="C227" s="591"/>
      <c r="D227" s="591">
        <v>571269.83109959983</v>
      </c>
      <c r="E227" s="591">
        <v>416237.39089879947</v>
      </c>
      <c r="F227" s="591">
        <v>348251.99829799903</v>
      </c>
      <c r="G227" s="591">
        <v>306955.68623053201</v>
      </c>
      <c r="H227" s="591">
        <v>278948.81292973168</v>
      </c>
      <c r="I227" s="591">
        <v>283337.692970598</v>
      </c>
      <c r="J227" s="591">
        <v>255340.39811146428</v>
      </c>
      <c r="K227" s="591">
        <v>232909.03937733066</v>
      </c>
      <c r="L227" s="591">
        <v>243856.03677653024</v>
      </c>
      <c r="M227" s="591">
        <v>230332.06750906329</v>
      </c>
      <c r="N227" s="591">
        <v>216803.07157492961</v>
      </c>
      <c r="O227" s="591">
        <v>225479.72234579595</v>
      </c>
      <c r="P227" s="591">
        <v>3609721.7481223745</v>
      </c>
    </row>
    <row r="229" spans="2:16">
      <c r="B229" s="591" t="s">
        <v>165</v>
      </c>
      <c r="C229" s="591"/>
      <c r="D229" s="591">
        <f>+D227</f>
        <v>571269.83109959983</v>
      </c>
      <c r="E229" s="591">
        <f t="shared" ref="E229:P229" si="15">+E227</f>
        <v>416237.39089879947</v>
      </c>
      <c r="F229" s="591">
        <f t="shared" si="15"/>
        <v>348251.99829799903</v>
      </c>
      <c r="G229" s="591">
        <f t="shared" si="15"/>
        <v>306955.68623053201</v>
      </c>
      <c r="H229" s="591">
        <f t="shared" si="15"/>
        <v>278948.81292973168</v>
      </c>
      <c r="I229" s="591">
        <f t="shared" si="15"/>
        <v>283337.692970598</v>
      </c>
      <c r="J229" s="591">
        <f t="shared" si="15"/>
        <v>255340.39811146428</v>
      </c>
      <c r="K229" s="591">
        <f t="shared" si="15"/>
        <v>232909.03937733066</v>
      </c>
      <c r="L229" s="591">
        <f t="shared" si="15"/>
        <v>243856.03677653024</v>
      </c>
      <c r="M229" s="591">
        <f t="shared" si="15"/>
        <v>230332.06750906329</v>
      </c>
      <c r="N229" s="591">
        <f t="shared" si="15"/>
        <v>216803.07157492961</v>
      </c>
      <c r="O229" s="591">
        <f t="shared" si="15"/>
        <v>225479.72234579595</v>
      </c>
      <c r="P229" s="591">
        <f t="shared" si="15"/>
        <v>3609721.7481223745</v>
      </c>
    </row>
    <row r="245" spans="4:8">
      <c r="D245" s="502" t="s">
        <v>230</v>
      </c>
      <c r="E245" s="503" t="s">
        <v>25</v>
      </c>
      <c r="F245" s="503" t="s">
        <v>26</v>
      </c>
      <c r="G245" s="503" t="s">
        <v>63</v>
      </c>
    </row>
    <row r="246" spans="4:8">
      <c r="D246" s="90" t="s">
        <v>19</v>
      </c>
      <c r="E246" s="93">
        <v>26631238</v>
      </c>
      <c r="F246" s="93">
        <f>+INGRESOS!C10+INGRESOS!C15+INGRESOS!C20+INGRESOS!C25</f>
        <v>22269169.559999999</v>
      </c>
      <c r="G246" s="93">
        <f>+E246-F246</f>
        <v>4362068.4400000013</v>
      </c>
      <c r="H246" s="127"/>
    </row>
    <row r="247" spans="4:8">
      <c r="D247" s="90" t="s">
        <v>29</v>
      </c>
      <c r="E247" s="93">
        <v>3805179</v>
      </c>
      <c r="F247" s="93">
        <f>+INGRESOS!C12+INGRESOS!C17+INGRESOS!C22+INGRESOS!C26+INGRESOS!C30+INGRESOS!C34</f>
        <v>3481340.1699999995</v>
      </c>
      <c r="G247" s="93">
        <f t="shared" ref="G247:G249" si="16">+E247-F247</f>
        <v>323838.83000000054</v>
      </c>
      <c r="H247" s="127"/>
    </row>
    <row r="248" spans="4:8">
      <c r="D248" s="90" t="s">
        <v>78</v>
      </c>
      <c r="E248" s="93">
        <v>1845204</v>
      </c>
      <c r="F248" s="93">
        <f>+INGRESOS!C11+INGRESOS!C21+INGRESOS!C33+INGRESOS!C29+INGRESOS!C16</f>
        <v>1613985.0700000003</v>
      </c>
      <c r="G248" s="93">
        <f t="shared" si="16"/>
        <v>231218.9299999997</v>
      </c>
      <c r="H248" s="127"/>
    </row>
    <row r="249" spans="4:8">
      <c r="D249" s="90" t="s">
        <v>77</v>
      </c>
      <c r="E249" s="93">
        <v>0</v>
      </c>
      <c r="F249" s="93">
        <f>+INGRESOS!C13+INGRESOS!C18+INGRESOS!C23+INGRESOS!C27+INGRESOS!C31</f>
        <v>33762.199999999997</v>
      </c>
      <c r="G249" s="93">
        <f t="shared" si="16"/>
        <v>-33762.199999999997</v>
      </c>
    </row>
    <row r="250" spans="4:8">
      <c r="E250" s="13"/>
      <c r="F250" s="13"/>
      <c r="G250" s="13"/>
    </row>
    <row r="251" spans="4:8">
      <c r="D251" s="139" t="s">
        <v>87</v>
      </c>
      <c r="E251" s="140">
        <f>SUM(E246:E249)</f>
        <v>32281621</v>
      </c>
      <c r="F251" s="140">
        <f t="shared" ref="F251:G251" si="17">SUM(F246:F249)</f>
        <v>27398256.999999996</v>
      </c>
      <c r="G251" s="140">
        <f t="shared" si="17"/>
        <v>4883364.0000000009</v>
      </c>
    </row>
  </sheetData>
  <mergeCells count="7">
    <mergeCell ref="B210:C210"/>
    <mergeCell ref="B216:C216"/>
    <mergeCell ref="B219:C219"/>
    <mergeCell ref="B224:C224"/>
    <mergeCell ref="A7:P7"/>
    <mergeCell ref="A63:P63"/>
    <mergeCell ref="B188:C188"/>
  </mergeCells>
  <pageMargins left="0.55118110236220474" right="0.31496062992125984" top="0.69" bottom="1" header="0.31496062992125984" footer="0.31496062992125984"/>
  <pageSetup scale="86" fitToHeight="3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/>
  <dimension ref="A1:J74"/>
  <sheetViews>
    <sheetView workbookViewId="0">
      <selection activeCell="B4" sqref="B4:F9"/>
    </sheetView>
  </sheetViews>
  <sheetFormatPr baseColWidth="10" defaultRowHeight="12.75"/>
  <cols>
    <col min="1" max="1" width="5.7109375" customWidth="1"/>
    <col min="2" max="2" width="47.7109375" customWidth="1"/>
    <col min="3" max="3" width="13.5703125" customWidth="1"/>
    <col min="4" max="4" width="13.140625" customWidth="1"/>
    <col min="5" max="5" width="12.5703125" customWidth="1"/>
    <col min="6" max="6" width="14.28515625" customWidth="1"/>
  </cols>
  <sheetData>
    <row r="1" spans="2:10">
      <c r="B1" s="135" t="s">
        <v>1007</v>
      </c>
    </row>
    <row r="2" spans="2:10">
      <c r="B2" s="135" t="str">
        <f>+ESF!C5</f>
        <v>Al 30 de abril de 2021</v>
      </c>
    </row>
    <row r="3" spans="2:10"/>
    <row r="4" spans="2:10" ht="25.5">
      <c r="B4" s="465" t="s">
        <v>958</v>
      </c>
      <c r="C4" s="466" t="s">
        <v>959</v>
      </c>
      <c r="D4" s="467" t="s">
        <v>960</v>
      </c>
      <c r="E4" s="467" t="s">
        <v>961</v>
      </c>
      <c r="F4" s="468" t="s">
        <v>962</v>
      </c>
    </row>
    <row r="5" spans="2:10">
      <c r="B5" s="463" t="s">
        <v>194</v>
      </c>
      <c r="C5" s="469">
        <f>+BALANCE!B30</f>
        <v>769326796.46000004</v>
      </c>
      <c r="D5" s="470" t="s">
        <v>963</v>
      </c>
      <c r="E5" s="470" t="s">
        <v>963</v>
      </c>
      <c r="F5" s="471" t="s">
        <v>963</v>
      </c>
      <c r="I5" s="510">
        <f>SUM(D6:D9)-EGRESOS!C57</f>
        <v>0</v>
      </c>
      <c r="J5" s="73" t="s">
        <v>1019</v>
      </c>
    </row>
    <row r="6" spans="2:10">
      <c r="B6" s="79" t="s">
        <v>195</v>
      </c>
      <c r="C6" s="6">
        <f>+BALANCE!B31</f>
        <v>95294994.420000002</v>
      </c>
      <c r="D6" s="6">
        <v>1021107.45</v>
      </c>
      <c r="E6" s="6">
        <v>29252902.489999998</v>
      </c>
      <c r="F6" s="472">
        <v>3.3000000000000002E-2</v>
      </c>
      <c r="I6" s="510">
        <f>SUM(E6:E9)+BALANCE!B37+BALANCE!B38</f>
        <v>0</v>
      </c>
      <c r="J6" s="73" t="s">
        <v>1020</v>
      </c>
    </row>
    <row r="7" spans="2:10">
      <c r="B7" s="79" t="s">
        <v>196</v>
      </c>
      <c r="C7" s="6">
        <f>+BALANCE!B33</f>
        <v>3613906.97</v>
      </c>
      <c r="D7" s="6">
        <f>11359.73+125099.73</f>
        <v>136459.46</v>
      </c>
      <c r="E7" s="6">
        <f>1269391.64+1401476.06</f>
        <v>2670867.7000000002</v>
      </c>
      <c r="F7" s="473" t="s">
        <v>964</v>
      </c>
    </row>
    <row r="8" spans="2:10">
      <c r="B8" s="79" t="s">
        <v>84</v>
      </c>
      <c r="C8" s="6">
        <f>+BALANCE!B34</f>
        <v>4309336.95</v>
      </c>
      <c r="D8" s="6">
        <v>138101.56</v>
      </c>
      <c r="E8" s="6">
        <v>2660412.2999999998</v>
      </c>
      <c r="F8" s="472">
        <v>0.2</v>
      </c>
    </row>
    <row r="9" spans="2:10">
      <c r="B9" s="464" t="s">
        <v>197</v>
      </c>
      <c r="C9" s="77">
        <f>+BALANCE!B35</f>
        <v>4394997.5199999996</v>
      </c>
      <c r="D9" s="77">
        <v>76798.45</v>
      </c>
      <c r="E9" s="77">
        <v>2395683.31</v>
      </c>
      <c r="F9" s="474">
        <v>0.1</v>
      </c>
    </row>
    <row r="11" spans="2:10">
      <c r="B11" s="465"/>
      <c r="C11" s="481">
        <v>2021</v>
      </c>
      <c r="D11" s="482">
        <v>2020</v>
      </c>
    </row>
    <row r="12" spans="2:10">
      <c r="B12" s="475" t="s">
        <v>966</v>
      </c>
      <c r="C12" s="469">
        <f>+BALANCE!B12</f>
        <v>11000</v>
      </c>
      <c r="D12" s="476">
        <v>11000</v>
      </c>
    </row>
    <row r="13" spans="2:10">
      <c r="B13" s="16" t="s">
        <v>967</v>
      </c>
      <c r="C13" s="6">
        <f>+BALANCE!B13</f>
        <v>12780838.359999999</v>
      </c>
      <c r="D13" s="129">
        <v>27566078.359999999</v>
      </c>
    </row>
    <row r="14" spans="2:10">
      <c r="B14" s="76" t="s">
        <v>968</v>
      </c>
      <c r="C14" s="77">
        <f>+BALANCE!B14</f>
        <v>171876012.13</v>
      </c>
      <c r="D14" s="477">
        <v>164855843.05000001</v>
      </c>
    </row>
    <row r="15" spans="2:10">
      <c r="B15" s="478" t="s">
        <v>969</v>
      </c>
      <c r="C15" s="479">
        <f>SUM(C12:C14)</f>
        <v>184667850.49000001</v>
      </c>
      <c r="D15" s="480">
        <f>SUM(D12:D14)</f>
        <v>192432921.41000003</v>
      </c>
    </row>
    <row r="17" spans="2:6">
      <c r="B17" s="465"/>
      <c r="C17" s="481">
        <v>2021</v>
      </c>
      <c r="D17" s="482">
        <v>2020</v>
      </c>
    </row>
    <row r="18" spans="2:6">
      <c r="B18" s="463" t="s">
        <v>970</v>
      </c>
      <c r="C18" s="469">
        <f>+EA!I52+EA!I39</f>
        <v>15427300.569999998</v>
      </c>
      <c r="D18" s="476">
        <v>86861853.510000005</v>
      </c>
    </row>
    <row r="19" spans="2:6">
      <c r="B19" s="79" t="s">
        <v>971</v>
      </c>
      <c r="C19" s="6">
        <f>-EVHP!F42</f>
        <v>0</v>
      </c>
      <c r="D19" s="129">
        <v>734296.62999999977</v>
      </c>
      <c r="F19" s="73" t="s">
        <v>4138</v>
      </c>
    </row>
    <row r="20" spans="2:6">
      <c r="B20" s="79" t="s">
        <v>972</v>
      </c>
      <c r="C20" s="6">
        <f>+EA!I40</f>
        <v>1372466.92</v>
      </c>
      <c r="D20" s="129">
        <v>3764489.75</v>
      </c>
    </row>
    <row r="21" spans="2:6">
      <c r="B21" s="79" t="s">
        <v>882</v>
      </c>
      <c r="C21" s="6"/>
      <c r="D21" s="129"/>
    </row>
    <row r="22" spans="2:6">
      <c r="B22" s="79" t="s">
        <v>974</v>
      </c>
      <c r="C22" s="6">
        <f>+EGRESOS!C46</f>
        <v>0</v>
      </c>
      <c r="D22" s="129">
        <v>0</v>
      </c>
    </row>
    <row r="23" spans="2:6">
      <c r="B23" s="79" t="s">
        <v>973</v>
      </c>
      <c r="C23" s="6"/>
      <c r="D23" s="129"/>
    </row>
    <row r="24" spans="2:6">
      <c r="B24" s="79" t="s">
        <v>1021</v>
      </c>
      <c r="C24" s="6">
        <f>+ECSF!E18+ECSF!E19-ECSF!D18-ECSF!D19+ECSF!E23-ECSF!D23+ECSF!E22</f>
        <v>-11164742.010000002</v>
      </c>
      <c r="D24" s="129">
        <v>13830275.229999999</v>
      </c>
    </row>
    <row r="25" spans="2:6">
      <c r="B25" s="79" t="s">
        <v>976</v>
      </c>
      <c r="C25" s="6">
        <f>+EGRESOS!C58</f>
        <v>43408.46</v>
      </c>
      <c r="D25" s="129">
        <v>337464.09</v>
      </c>
    </row>
    <row r="26" spans="2:6">
      <c r="B26" s="464" t="s">
        <v>977</v>
      </c>
      <c r="C26" s="77">
        <f>+EGRESOS!C59</f>
        <v>31580.98</v>
      </c>
      <c r="D26" s="477">
        <v>52496.83</v>
      </c>
    </row>
    <row r="27" spans="2:6">
      <c r="B27" s="485" t="s">
        <v>975</v>
      </c>
      <c r="C27" s="486">
        <f>+C18-C19-C20-C21-C22-C23-C24-C25-C26</f>
        <v>25144586.219999999</v>
      </c>
      <c r="D27" s="480">
        <f>+D18-D19-D20-D21-D22-D23-D24-D25-D26</f>
        <v>68142830.980000004</v>
      </c>
    </row>
    <row r="29" spans="2:6">
      <c r="B29" s="488"/>
      <c r="C29" s="490">
        <f>+EFE!G47</f>
        <v>25144586.219999999</v>
      </c>
      <c r="D29" s="490">
        <f>+EFE!H47</f>
        <v>68142830.980000004</v>
      </c>
    </row>
    <row r="30" spans="2:6">
      <c r="B30" s="489" t="s">
        <v>978</v>
      </c>
      <c r="C30" s="130">
        <f>+C27-C29</f>
        <v>0</v>
      </c>
      <c r="D30" s="130">
        <f>+D27-D29</f>
        <v>0</v>
      </c>
    </row>
    <row r="31" spans="2:6">
      <c r="C31" s="483"/>
      <c r="D31" s="6"/>
    </row>
    <row r="33" spans="1:4">
      <c r="A33" s="1592" t="s">
        <v>979</v>
      </c>
      <c r="B33" s="1593"/>
      <c r="C33" s="1593"/>
      <c r="D33" s="1594"/>
    </row>
    <row r="35" spans="1:4">
      <c r="A35" s="494" t="s">
        <v>980</v>
      </c>
      <c r="B35" s="487"/>
      <c r="C35" s="6"/>
      <c r="D35" s="495">
        <f>+EA!D11+EA!D26</f>
        <v>30419926.119999997</v>
      </c>
    </row>
    <row r="36" spans="1:4">
      <c r="A36" s="73"/>
      <c r="C36" s="6"/>
      <c r="D36" s="6"/>
    </row>
    <row r="37" spans="1:4">
      <c r="A37" s="485" t="s">
        <v>981</v>
      </c>
      <c r="B37" s="484"/>
      <c r="C37" s="493"/>
      <c r="D37" s="493">
        <f>+C38+C39</f>
        <v>27876.759999999776</v>
      </c>
    </row>
    <row r="38" spans="1:4">
      <c r="A38" s="478"/>
      <c r="B38" s="491" t="s">
        <v>982</v>
      </c>
      <c r="C38" s="477">
        <f>+EA!D25-EA!D26</f>
        <v>27876.759999999776</v>
      </c>
      <c r="D38" s="6"/>
    </row>
    <row r="39" spans="1:4">
      <c r="A39" s="478"/>
      <c r="B39" s="491" t="s">
        <v>1046</v>
      </c>
      <c r="C39" s="477">
        <f>+EA!D21</f>
        <v>0</v>
      </c>
      <c r="D39" s="6"/>
    </row>
    <row r="40" spans="1:4">
      <c r="C40" s="6"/>
      <c r="D40" s="6"/>
    </row>
    <row r="41" spans="1:4">
      <c r="A41" s="485" t="s">
        <v>983</v>
      </c>
      <c r="B41" s="484"/>
      <c r="C41" s="493"/>
      <c r="D41" s="493">
        <f>SUM(C42:C43)</f>
        <v>0</v>
      </c>
    </row>
    <row r="42" spans="1:4">
      <c r="A42" s="478"/>
      <c r="B42" s="491" t="s">
        <v>984</v>
      </c>
      <c r="C42" s="493"/>
      <c r="D42" s="6"/>
    </row>
    <row r="43" spans="1:4">
      <c r="A43" s="478"/>
      <c r="B43" s="491" t="s">
        <v>985</v>
      </c>
      <c r="C43" s="493"/>
      <c r="D43" s="6"/>
    </row>
    <row r="44" spans="1:4">
      <c r="C44" s="6"/>
      <c r="D44" s="6"/>
    </row>
    <row r="45" spans="1:4">
      <c r="A45" s="494" t="s">
        <v>986</v>
      </c>
      <c r="B45" s="487"/>
      <c r="C45" s="6"/>
      <c r="D45" s="495">
        <f>+D35+D37-D41</f>
        <v>30447802.879999995</v>
      </c>
    </row>
    <row r="49" spans="1:5">
      <c r="A49" s="1592" t="s">
        <v>987</v>
      </c>
      <c r="B49" s="1593"/>
      <c r="C49" s="1593"/>
      <c r="D49" s="1594"/>
    </row>
    <row r="51" spans="1:5">
      <c r="A51" s="494" t="s">
        <v>1003</v>
      </c>
      <c r="B51" s="487"/>
      <c r="D51" s="496">
        <f>+EA!I11+EA!I17+EA!I21</f>
        <v>15020502.310000001</v>
      </c>
      <c r="E51" s="732"/>
    </row>
    <row r="52" spans="1:5">
      <c r="E52" s="732"/>
    </row>
    <row r="53" spans="1:5">
      <c r="A53" s="485" t="s">
        <v>988</v>
      </c>
      <c r="B53" s="484"/>
      <c r="C53" s="126"/>
      <c r="D53" s="126">
        <f>+C54</f>
        <v>0</v>
      </c>
      <c r="E53" s="732"/>
    </row>
    <row r="54" spans="1:5">
      <c r="A54" s="478"/>
      <c r="B54" s="491" t="s">
        <v>989</v>
      </c>
      <c r="C54" s="126"/>
      <c r="E54" s="732"/>
    </row>
    <row r="55" spans="1:5">
      <c r="E55" s="732"/>
    </row>
    <row r="56" spans="1:5">
      <c r="A56" s="485" t="s">
        <v>1004</v>
      </c>
      <c r="B56" s="484"/>
      <c r="C56" s="126"/>
      <c r="D56" s="492">
        <f>SUM(C57:C60)</f>
        <v>1447456.3599999999</v>
      </c>
      <c r="E56" s="732"/>
    </row>
    <row r="57" spans="1:5">
      <c r="A57" s="478"/>
      <c r="B57" s="491" t="s">
        <v>990</v>
      </c>
      <c r="C57" s="492">
        <f>+EA!I40</f>
        <v>1372466.92</v>
      </c>
      <c r="E57" s="732"/>
    </row>
    <row r="58" spans="1:5">
      <c r="A58" s="478"/>
      <c r="B58" s="491" t="s">
        <v>639</v>
      </c>
      <c r="C58" s="492">
        <f>+EA!I24</f>
        <v>0</v>
      </c>
      <c r="E58" s="732"/>
    </row>
    <row r="59" spans="1:5">
      <c r="A59" s="478"/>
      <c r="B59" s="491" t="s">
        <v>992</v>
      </c>
      <c r="C59" s="492">
        <f>+EA!I19</f>
        <v>0</v>
      </c>
      <c r="E59" s="732"/>
    </row>
    <row r="60" spans="1:5">
      <c r="A60" s="478"/>
      <c r="B60" s="491" t="s">
        <v>991</v>
      </c>
      <c r="C60" s="492">
        <f>+EA!I45</f>
        <v>74989.439999999944</v>
      </c>
      <c r="E60" s="732"/>
    </row>
    <row r="61" spans="1:5">
      <c r="E61" s="732"/>
    </row>
    <row r="62" spans="1:5">
      <c r="A62" s="494" t="s">
        <v>993</v>
      </c>
      <c r="B62" s="487"/>
      <c r="D62" s="496">
        <f>+D51-D53+D56</f>
        <v>16467958.67</v>
      </c>
      <c r="E62" s="732"/>
    </row>
    <row r="65" spans="2:6">
      <c r="C65" s="504" t="s">
        <v>230</v>
      </c>
      <c r="D65" s="504" t="s">
        <v>1005</v>
      </c>
    </row>
    <row r="66" spans="2:6">
      <c r="C66" s="126" t="s">
        <v>994</v>
      </c>
      <c r="D66" s="492">
        <f>+ESF!I22</f>
        <v>1675539.43</v>
      </c>
    </row>
    <row r="67" spans="2:6">
      <c r="C67" s="126" t="s">
        <v>995</v>
      </c>
      <c r="D67" s="492">
        <f>+EA!D11</f>
        <v>27770619.809999999</v>
      </c>
    </row>
    <row r="68" spans="2:6">
      <c r="C68" s="126" t="s">
        <v>996</v>
      </c>
      <c r="D68" s="497">
        <f>+D66/D67</f>
        <v>6.0334967006989537E-2</v>
      </c>
    </row>
    <row r="70" spans="2:6" ht="25.5">
      <c r="B70" s="498" t="s">
        <v>994</v>
      </c>
      <c r="C70" s="499" t="s">
        <v>954</v>
      </c>
      <c r="D70" s="500" t="s">
        <v>997</v>
      </c>
      <c r="E70" s="499" t="s">
        <v>998</v>
      </c>
      <c r="F70" s="499" t="s">
        <v>999</v>
      </c>
    </row>
    <row r="71" spans="2:6">
      <c r="B71" s="126"/>
      <c r="C71" s="493"/>
      <c r="D71" s="493"/>
      <c r="E71" s="493"/>
      <c r="F71" s="501"/>
    </row>
    <row r="72" spans="2:6">
      <c r="B72" s="126" t="s">
        <v>1000</v>
      </c>
      <c r="C72" s="493">
        <f>+BALANCE!E14</f>
        <v>1560882.94</v>
      </c>
      <c r="D72" s="493">
        <v>0</v>
      </c>
      <c r="E72" s="493">
        <v>0</v>
      </c>
      <c r="F72" s="501" t="s">
        <v>1001</v>
      </c>
    </row>
    <row r="73" spans="2:6">
      <c r="B73" s="126" t="s">
        <v>1002</v>
      </c>
      <c r="C73" s="493">
        <f>+D66-C71-C72</f>
        <v>114656.48999999999</v>
      </c>
      <c r="D73" s="493">
        <v>0</v>
      </c>
      <c r="E73" s="493">
        <v>0</v>
      </c>
      <c r="F73" s="501" t="s">
        <v>1001</v>
      </c>
    </row>
    <row r="74" spans="2:6">
      <c r="B74" s="126" t="s">
        <v>87</v>
      </c>
      <c r="C74" s="493">
        <f>SUM(C71:C73)</f>
        <v>1675539.43</v>
      </c>
      <c r="D74" s="493"/>
      <c r="E74" s="493"/>
      <c r="F74" s="126"/>
    </row>
  </sheetData>
  <mergeCells count="2">
    <mergeCell ref="A33:D33"/>
    <mergeCell ref="A49:D49"/>
  </mergeCells>
  <pageMargins left="0.7" right="0.7" top="0.75" bottom="0.75" header="0.3" footer="0.3"/>
  <pageSetup orientation="portrait" r:id="rId1"/>
  <ignoredErrors>
    <ignoredError sqref="D15" formulaRange="1"/>
  </ignoredError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>
    <pageSetUpPr fitToPage="1"/>
  </sheetPr>
  <dimension ref="A1:K64"/>
  <sheetViews>
    <sheetView topLeftCell="B34" zoomScale="90" zoomScaleNormal="90" workbookViewId="0">
      <selection activeCell="C4" sqref="C4:I4"/>
    </sheetView>
  </sheetViews>
  <sheetFormatPr baseColWidth="10" defaultRowHeight="12"/>
  <cols>
    <col min="1" max="1" width="4.28515625" style="157" customWidth="1"/>
    <col min="2" max="2" width="24.28515625" style="157" customWidth="1"/>
    <col min="3" max="3" width="23.7109375" style="157" customWidth="1"/>
    <col min="4" max="5" width="20.5703125" style="157" customWidth="1"/>
    <col min="6" max="6" width="7.7109375" style="157" customWidth="1"/>
    <col min="7" max="7" width="27.140625" style="157" customWidth="1"/>
    <col min="8" max="8" width="33.85546875" style="157" customWidth="1"/>
    <col min="9" max="10" width="20.5703125" style="157" customWidth="1"/>
    <col min="11" max="11" width="4.28515625" style="157" customWidth="1"/>
    <col min="12" max="16384" width="11.42578125" style="157"/>
  </cols>
  <sheetData>
    <row r="1" spans="1:11">
      <c r="B1" s="208"/>
      <c r="C1" s="1596" t="s">
        <v>2992</v>
      </c>
      <c r="D1" s="1596"/>
      <c r="E1" s="1596"/>
      <c r="F1" s="1596"/>
      <c r="G1" s="1596"/>
      <c r="H1" s="1596"/>
      <c r="I1" s="1596"/>
      <c r="J1" s="208"/>
      <c r="K1" s="208"/>
    </row>
    <row r="2" spans="1:11">
      <c r="B2" s="209"/>
      <c r="C2" s="1596" t="s">
        <v>614</v>
      </c>
      <c r="D2" s="1596"/>
      <c r="E2" s="1596"/>
      <c r="F2" s="1596"/>
      <c r="G2" s="1596"/>
      <c r="H2" s="1596"/>
      <c r="I2" s="1596"/>
      <c r="J2" s="209"/>
      <c r="K2" s="209"/>
    </row>
    <row r="3" spans="1:11">
      <c r="B3" s="450"/>
      <c r="C3" s="1596" t="s">
        <v>6805</v>
      </c>
      <c r="D3" s="1596"/>
      <c r="E3" s="1596"/>
      <c r="F3" s="1596"/>
      <c r="G3" s="1596"/>
      <c r="H3" s="1596"/>
      <c r="I3" s="1596"/>
      <c r="J3" s="209"/>
      <c r="K3" s="209"/>
    </row>
    <row r="4" spans="1:11">
      <c r="B4" s="450"/>
      <c r="C4" s="1596" t="s">
        <v>5932</v>
      </c>
      <c r="D4" s="1596"/>
      <c r="E4" s="1596"/>
      <c r="F4" s="1596"/>
      <c r="G4" s="1596"/>
      <c r="H4" s="1596"/>
      <c r="I4" s="1596"/>
      <c r="J4" s="209"/>
      <c r="K4" s="209"/>
    </row>
    <row r="5" spans="1:11" ht="6" customHeight="1">
      <c r="A5" s="210"/>
      <c r="B5" s="210"/>
      <c r="C5" s="212"/>
      <c r="D5" s="212"/>
      <c r="E5" s="212"/>
      <c r="F5" s="212"/>
      <c r="G5" s="212"/>
      <c r="H5" s="212"/>
    </row>
    <row r="6" spans="1:11" ht="3" customHeight="1">
      <c r="A6" s="210"/>
      <c r="B6" s="211"/>
      <c r="C6" s="211"/>
      <c r="D6" s="211"/>
      <c r="E6" s="211"/>
      <c r="F6" s="212"/>
    </row>
    <row r="7" spans="1:11" ht="3" customHeight="1">
      <c r="A7" s="213"/>
      <c r="B7" s="213"/>
      <c r="C7" s="213"/>
      <c r="D7" s="214"/>
      <c r="E7" s="214"/>
      <c r="F7" s="215"/>
    </row>
    <row r="8" spans="1:11" s="435" customFormat="1" ht="20.100000000000001" customHeight="1">
      <c r="A8" s="629"/>
      <c r="B8" s="1595" t="s">
        <v>230</v>
      </c>
      <c r="C8" s="1595"/>
      <c r="D8" s="660">
        <v>2021</v>
      </c>
      <c r="E8" s="660">
        <v>2020</v>
      </c>
      <c r="F8" s="630"/>
      <c r="G8" s="1595" t="s">
        <v>230</v>
      </c>
      <c r="H8" s="1595"/>
      <c r="I8" s="660">
        <v>2021</v>
      </c>
      <c r="J8" s="660">
        <v>2020</v>
      </c>
      <c r="K8" s="631"/>
    </row>
    <row r="9" spans="1:11" ht="3" customHeight="1">
      <c r="A9" s="216"/>
      <c r="B9" s="217"/>
      <c r="C9" s="217"/>
      <c r="D9" s="218"/>
      <c r="E9" s="218"/>
      <c r="K9" s="167"/>
    </row>
    <row r="10" spans="1:11">
      <c r="A10" s="436"/>
      <c r="B10" s="1598" t="s">
        <v>615</v>
      </c>
      <c r="C10" s="1598"/>
      <c r="D10" s="173"/>
      <c r="E10" s="173"/>
      <c r="F10" s="156"/>
      <c r="G10" s="1598" t="s">
        <v>616</v>
      </c>
      <c r="H10" s="1598"/>
      <c r="I10" s="173"/>
      <c r="J10" s="173"/>
      <c r="K10" s="167"/>
    </row>
    <row r="11" spans="1:11">
      <c r="A11" s="223"/>
      <c r="B11" s="1599" t="s">
        <v>617</v>
      </c>
      <c r="C11" s="1599"/>
      <c r="D11" s="174">
        <f>SUM(D12:D19)</f>
        <v>27770619.809999999</v>
      </c>
      <c r="E11" s="174">
        <f>SUM(E12:E19)</f>
        <v>91363023.789999992</v>
      </c>
      <c r="F11" s="156"/>
      <c r="G11" s="1598" t="s">
        <v>618</v>
      </c>
      <c r="H11" s="1598"/>
      <c r="I11" s="174">
        <f>SUM(I12:I14)</f>
        <v>14860974.84</v>
      </c>
      <c r="J11" s="174">
        <f>SUM(J12:J14)</f>
        <v>51703099.219999999</v>
      </c>
      <c r="K11" s="246"/>
    </row>
    <row r="12" spans="1:11">
      <c r="A12" s="221"/>
      <c r="B12" s="1597" t="s">
        <v>619</v>
      </c>
      <c r="C12" s="1597"/>
      <c r="D12" s="247">
        <v>0</v>
      </c>
      <c r="E12" s="247">
        <v>0</v>
      </c>
      <c r="F12" s="156"/>
      <c r="G12" s="1597" t="s">
        <v>620</v>
      </c>
      <c r="H12" s="1597"/>
      <c r="I12" s="247">
        <f>+EGRESOS!C8</f>
        <v>4375817.34</v>
      </c>
      <c r="J12" s="247">
        <v>14762712.049999997</v>
      </c>
      <c r="K12" s="246"/>
    </row>
    <row r="13" spans="1:11">
      <c r="A13" s="221"/>
      <c r="B13" s="1597" t="s">
        <v>621</v>
      </c>
      <c r="C13" s="1597"/>
      <c r="D13" s="247">
        <v>0</v>
      </c>
      <c r="E13" s="247">
        <v>0</v>
      </c>
      <c r="F13" s="156"/>
      <c r="G13" s="1597" t="s">
        <v>167</v>
      </c>
      <c r="H13" s="1597"/>
      <c r="I13" s="247">
        <f>+EGRESOS!C9+EGRESOS!C17+EGRESOS!C21+EGRESOS!C25+EGRESOS!C32+EGRESOS!C36</f>
        <v>241376.94</v>
      </c>
      <c r="J13" s="247">
        <v>858269.25</v>
      </c>
      <c r="K13" s="246"/>
    </row>
    <row r="14" spans="1:11" ht="12" customHeight="1">
      <c r="A14" s="221"/>
      <c r="B14" s="1597" t="s">
        <v>622</v>
      </c>
      <c r="C14" s="1597"/>
      <c r="D14" s="247">
        <v>0</v>
      </c>
      <c r="E14" s="247">
        <v>0</v>
      </c>
      <c r="F14" s="156"/>
      <c r="G14" s="1597" t="s">
        <v>168</v>
      </c>
      <c r="H14" s="1597"/>
      <c r="I14" s="247">
        <f>+EGRESOS!C10+EGRESOS!C18+EGRESOS!C22+EGRESOS!C26+EGRESOS!C29+EGRESOS!C33+EGRESOS!C37</f>
        <v>10243780.559999999</v>
      </c>
      <c r="J14" s="247">
        <v>36082117.920000002</v>
      </c>
      <c r="K14" s="246"/>
    </row>
    <row r="15" spans="1:11">
      <c r="A15" s="221"/>
      <c r="B15" s="1597" t="s">
        <v>623</v>
      </c>
      <c r="C15" s="1597"/>
      <c r="D15" s="247">
        <v>0</v>
      </c>
      <c r="E15" s="247">
        <v>0</v>
      </c>
      <c r="F15" s="156"/>
      <c r="G15" s="172"/>
      <c r="H15" s="170"/>
      <c r="I15" s="437"/>
      <c r="J15" s="437"/>
      <c r="K15" s="246"/>
    </row>
    <row r="16" spans="1:11">
      <c r="A16" s="221"/>
      <c r="B16" s="1597" t="s">
        <v>624</v>
      </c>
      <c r="C16" s="1597"/>
      <c r="D16" s="247">
        <v>0</v>
      </c>
      <c r="E16" s="247">
        <v>0</v>
      </c>
      <c r="F16" s="156"/>
      <c r="G16" s="1598" t="s">
        <v>625</v>
      </c>
      <c r="H16" s="1598"/>
      <c r="I16" s="174">
        <f>SUM(I17:I25)</f>
        <v>159527.47</v>
      </c>
      <c r="J16" s="174">
        <f>SUM(J17:J25)</f>
        <v>658567.99</v>
      </c>
      <c r="K16" s="246"/>
    </row>
    <row r="17" spans="1:11">
      <c r="A17" s="221"/>
      <c r="B17" s="1597" t="s">
        <v>626</v>
      </c>
      <c r="C17" s="1597"/>
      <c r="D17" s="247">
        <v>0</v>
      </c>
      <c r="E17" s="247">
        <v>0</v>
      </c>
      <c r="F17" s="156"/>
      <c r="G17" s="1597" t="s">
        <v>627</v>
      </c>
      <c r="H17" s="1597"/>
      <c r="I17" s="247">
        <f>+'VARIACIONES EGRESOS'!R55</f>
        <v>49735.63</v>
      </c>
      <c r="J17" s="247">
        <v>116363.09</v>
      </c>
      <c r="K17" s="246"/>
    </row>
    <row r="18" spans="1:11">
      <c r="A18" s="221"/>
      <c r="B18" s="1597" t="s">
        <v>628</v>
      </c>
      <c r="C18" s="1597"/>
      <c r="D18" s="247">
        <f>+'PPTO RESULTADOS'!C11+'PPTO RESULTADOS'!C12+'PPTO RESULTADOS'!C13</f>
        <v>27770619.809999999</v>
      </c>
      <c r="E18" s="247">
        <v>91363023.789999992</v>
      </c>
      <c r="F18" s="156"/>
      <c r="G18" s="1597" t="s">
        <v>629</v>
      </c>
      <c r="H18" s="1597"/>
      <c r="I18" s="247">
        <v>0</v>
      </c>
      <c r="J18" s="247">
        <v>0</v>
      </c>
      <c r="K18" s="246"/>
    </row>
    <row r="19" spans="1:11" ht="52.5" customHeight="1">
      <c r="A19" s="221"/>
      <c r="B19" s="1600" t="s">
        <v>630</v>
      </c>
      <c r="C19" s="1600"/>
      <c r="D19" s="247">
        <v>0</v>
      </c>
      <c r="E19" s="247">
        <v>0</v>
      </c>
      <c r="F19" s="156"/>
      <c r="G19" s="1597" t="s">
        <v>631</v>
      </c>
      <c r="H19" s="1597"/>
      <c r="I19" s="247">
        <f>+EGRESOS!C53</f>
        <v>0</v>
      </c>
      <c r="J19" s="247">
        <v>0</v>
      </c>
      <c r="K19" s="246"/>
    </row>
    <row r="20" spans="1:11">
      <c r="A20" s="223"/>
      <c r="B20" s="172"/>
      <c r="C20" s="170"/>
      <c r="D20" s="437"/>
      <c r="E20" s="437"/>
      <c r="F20" s="156"/>
      <c r="G20" s="1597" t="s">
        <v>632</v>
      </c>
      <c r="H20" s="1597"/>
      <c r="I20" s="247">
        <v>0</v>
      </c>
      <c r="J20" s="247">
        <v>0</v>
      </c>
      <c r="K20" s="246"/>
    </row>
    <row r="21" spans="1:11" ht="29.25" customHeight="1">
      <c r="A21" s="223"/>
      <c r="B21" s="1599" t="s">
        <v>633</v>
      </c>
      <c r="C21" s="1599"/>
      <c r="D21" s="174">
        <f>SUM(D22:D23)</f>
        <v>0</v>
      </c>
      <c r="E21" s="174">
        <f>SUM(E22:E23)</f>
        <v>36623839.039999999</v>
      </c>
      <c r="F21" s="156"/>
      <c r="G21" s="1597" t="s">
        <v>634</v>
      </c>
      <c r="H21" s="1597"/>
      <c r="I21" s="247">
        <f>+'VARIACIONES EGRESOS'!R56+'VARIACIONES EGRESOS'!R57</f>
        <v>109791.84</v>
      </c>
      <c r="J21" s="247">
        <v>542204.9</v>
      </c>
      <c r="K21" s="246"/>
    </row>
    <row r="22" spans="1:11">
      <c r="A22" s="221"/>
      <c r="B22" s="1597" t="s">
        <v>635</v>
      </c>
      <c r="C22" s="1597"/>
      <c r="D22" s="177">
        <v>0</v>
      </c>
      <c r="E22" s="177">
        <v>0</v>
      </c>
      <c r="F22" s="156"/>
      <c r="G22" s="1597" t="s">
        <v>636</v>
      </c>
      <c r="H22" s="1597"/>
      <c r="I22" s="247">
        <v>0</v>
      </c>
      <c r="J22" s="247">
        <v>0</v>
      </c>
      <c r="K22" s="246"/>
    </row>
    <row r="23" spans="1:11">
      <c r="A23" s="221"/>
      <c r="B23" s="1597" t="s">
        <v>637</v>
      </c>
      <c r="C23" s="1597"/>
      <c r="D23" s="247">
        <f>+INGRESOS!C64</f>
        <v>0</v>
      </c>
      <c r="E23" s="247">
        <v>36623839.039999999</v>
      </c>
      <c r="F23" s="156"/>
      <c r="G23" s="1597" t="s">
        <v>638</v>
      </c>
      <c r="H23" s="1597"/>
      <c r="I23" s="247">
        <v>0</v>
      </c>
      <c r="J23" s="247">
        <v>0</v>
      </c>
      <c r="K23" s="246"/>
    </row>
    <row r="24" spans="1:11">
      <c r="A24" s="223"/>
      <c r="B24" s="172"/>
      <c r="C24" s="170"/>
      <c r="D24" s="437"/>
      <c r="E24" s="437"/>
      <c r="F24" s="156"/>
      <c r="G24" s="1597" t="s">
        <v>639</v>
      </c>
      <c r="H24" s="1597"/>
      <c r="I24" s="247">
        <v>0</v>
      </c>
      <c r="J24" s="247">
        <v>0</v>
      </c>
      <c r="K24" s="246"/>
    </row>
    <row r="25" spans="1:11">
      <c r="A25" s="221"/>
      <c r="B25" s="1599" t="s">
        <v>640</v>
      </c>
      <c r="C25" s="1599"/>
      <c r="D25" s="174">
        <f>SUM(D26:D30)</f>
        <v>2677183.0699999994</v>
      </c>
      <c r="E25" s="174">
        <f>SUM(E26:E30)</f>
        <v>11236657.890000002</v>
      </c>
      <c r="F25" s="156"/>
      <c r="G25" s="1597" t="s">
        <v>641</v>
      </c>
      <c r="H25" s="1597"/>
      <c r="I25" s="247">
        <v>0</v>
      </c>
      <c r="J25" s="247">
        <v>0</v>
      </c>
      <c r="K25" s="246"/>
    </row>
    <row r="26" spans="1:11">
      <c r="A26" s="221"/>
      <c r="B26" s="1597" t="s">
        <v>642</v>
      </c>
      <c r="C26" s="1597"/>
      <c r="D26" s="247">
        <f>+INGRESOS!C52+INGRESOS!C53+INGRESOS!C55</f>
        <v>2649306.3099999996</v>
      </c>
      <c r="E26" s="247">
        <v>11213569.460000001</v>
      </c>
      <c r="F26" s="156"/>
      <c r="G26" s="172"/>
      <c r="H26" s="170"/>
      <c r="I26" s="437"/>
      <c r="J26" s="437"/>
      <c r="K26" s="246"/>
    </row>
    <row r="27" spans="1:11">
      <c r="A27" s="221"/>
      <c r="B27" s="1597" t="s">
        <v>643</v>
      </c>
      <c r="C27" s="1597"/>
      <c r="D27" s="247">
        <v>0</v>
      </c>
      <c r="E27" s="247">
        <v>0</v>
      </c>
      <c r="F27" s="156"/>
      <c r="G27" s="1599" t="s">
        <v>635</v>
      </c>
      <c r="H27" s="1599"/>
      <c r="I27" s="174">
        <f>SUM(I28:I30)</f>
        <v>0</v>
      </c>
      <c r="J27" s="174">
        <f>SUM(J28:J30)</f>
        <v>0</v>
      </c>
      <c r="K27" s="246"/>
    </row>
    <row r="28" spans="1:11" ht="26.25" customHeight="1">
      <c r="A28" s="221"/>
      <c r="B28" s="1600" t="s">
        <v>644</v>
      </c>
      <c r="C28" s="1600"/>
      <c r="D28" s="247">
        <v>0</v>
      </c>
      <c r="E28" s="247">
        <v>0</v>
      </c>
      <c r="F28" s="156"/>
      <c r="G28" s="1597" t="s">
        <v>645</v>
      </c>
      <c r="H28" s="1597"/>
      <c r="I28" s="247">
        <v>0</v>
      </c>
      <c r="J28" s="247">
        <v>0</v>
      </c>
      <c r="K28" s="246"/>
    </row>
    <row r="29" spans="1:11">
      <c r="A29" s="221"/>
      <c r="B29" s="1597" t="s">
        <v>646</v>
      </c>
      <c r="C29" s="1597"/>
      <c r="D29" s="247">
        <v>0</v>
      </c>
      <c r="E29" s="247">
        <v>0</v>
      </c>
      <c r="F29" s="156"/>
      <c r="G29" s="1597" t="s">
        <v>647</v>
      </c>
      <c r="H29" s="1597"/>
      <c r="I29" s="247">
        <v>0</v>
      </c>
      <c r="J29" s="247">
        <v>0</v>
      </c>
      <c r="K29" s="246"/>
    </row>
    <row r="30" spans="1:11">
      <c r="A30" s="221"/>
      <c r="B30" s="1597" t="s">
        <v>648</v>
      </c>
      <c r="C30" s="1597"/>
      <c r="D30" s="247">
        <f>+INGRESOS!C58-EA!D26</f>
        <v>27876.759999999776</v>
      </c>
      <c r="E30" s="247">
        <v>23088.430000001565</v>
      </c>
      <c r="F30" s="156"/>
      <c r="G30" s="1597" t="s">
        <v>649</v>
      </c>
      <c r="H30" s="1597"/>
      <c r="I30" s="247">
        <v>0</v>
      </c>
      <c r="J30" s="247">
        <v>0</v>
      </c>
      <c r="K30" s="246"/>
    </row>
    <row r="31" spans="1:11">
      <c r="A31" s="223"/>
      <c r="B31" s="172"/>
      <c r="C31" s="176"/>
      <c r="D31" s="173"/>
      <c r="E31" s="173"/>
      <c r="F31" s="156"/>
      <c r="G31" s="172"/>
      <c r="H31" s="170"/>
      <c r="I31" s="437"/>
      <c r="J31" s="437"/>
      <c r="K31" s="246"/>
    </row>
    <row r="32" spans="1:11">
      <c r="A32" s="438"/>
      <c r="B32" s="1601" t="s">
        <v>650</v>
      </c>
      <c r="C32" s="1601"/>
      <c r="D32" s="439">
        <f>D11+D21+D25</f>
        <v>30447802.879999999</v>
      </c>
      <c r="E32" s="439">
        <f>E11+E21+E25</f>
        <v>139223520.72</v>
      </c>
      <c r="F32" s="440"/>
      <c r="G32" s="1598" t="s">
        <v>651</v>
      </c>
      <c r="H32" s="1598"/>
      <c r="I32" s="183">
        <f>SUM(I33:I37)</f>
        <v>0</v>
      </c>
      <c r="J32" s="183">
        <f>SUM(J33:J37)</f>
        <v>0</v>
      </c>
      <c r="K32" s="246"/>
    </row>
    <row r="33" spans="1:11">
      <c r="A33" s="223"/>
      <c r="B33" s="1601"/>
      <c r="C33" s="1601"/>
      <c r="D33" s="173"/>
      <c r="E33" s="173"/>
      <c r="F33" s="156"/>
      <c r="G33" s="1597" t="s">
        <v>652</v>
      </c>
      <c r="H33" s="1597"/>
      <c r="I33" s="247">
        <v>0</v>
      </c>
      <c r="J33" s="247">
        <v>0</v>
      </c>
      <c r="K33" s="246"/>
    </row>
    <row r="34" spans="1:11">
      <c r="A34" s="216"/>
      <c r="B34" s="156"/>
      <c r="C34" s="156"/>
      <c r="D34" s="156"/>
      <c r="E34" s="156"/>
      <c r="F34" s="156"/>
      <c r="G34" s="1597" t="s">
        <v>653</v>
      </c>
      <c r="H34" s="1597"/>
      <c r="I34" s="247">
        <v>0</v>
      </c>
      <c r="J34" s="247">
        <v>0</v>
      </c>
      <c r="K34" s="246"/>
    </row>
    <row r="35" spans="1:11">
      <c r="A35" s="216"/>
      <c r="B35" s="156"/>
      <c r="C35" s="156"/>
      <c r="D35" s="156"/>
      <c r="E35" s="156"/>
      <c r="F35" s="156"/>
      <c r="G35" s="1597" t="s">
        <v>654</v>
      </c>
      <c r="H35" s="1597"/>
      <c r="I35" s="247">
        <v>0</v>
      </c>
      <c r="J35" s="247">
        <v>0</v>
      </c>
      <c r="K35" s="246"/>
    </row>
    <row r="36" spans="1:11">
      <c r="A36" s="216"/>
      <c r="B36" s="156"/>
      <c r="C36" s="156"/>
      <c r="D36" s="156"/>
      <c r="E36" s="156"/>
      <c r="F36" s="156"/>
      <c r="G36" s="1597" t="s">
        <v>655</v>
      </c>
      <c r="H36" s="1597"/>
      <c r="I36" s="247">
        <v>0</v>
      </c>
      <c r="J36" s="247">
        <v>0</v>
      </c>
      <c r="K36" s="246"/>
    </row>
    <row r="37" spans="1:11">
      <c r="A37" s="216"/>
      <c r="B37" s="156"/>
      <c r="C37" s="156"/>
      <c r="D37" s="156"/>
      <c r="E37" s="156"/>
      <c r="F37" s="156"/>
      <c r="G37" s="1597" t="s">
        <v>656</v>
      </c>
      <c r="H37" s="1597"/>
      <c r="I37" s="247">
        <v>0</v>
      </c>
      <c r="J37" s="247">
        <v>0</v>
      </c>
      <c r="K37" s="246"/>
    </row>
    <row r="38" spans="1:11">
      <c r="A38" s="216"/>
      <c r="B38" s="156"/>
      <c r="C38" s="156"/>
      <c r="D38" s="156"/>
      <c r="E38" s="156"/>
      <c r="F38" s="156"/>
      <c r="G38" s="172"/>
      <c r="H38" s="170"/>
      <c r="I38" s="437"/>
      <c r="J38" s="437"/>
      <c r="K38" s="246"/>
    </row>
    <row r="39" spans="1:11">
      <c r="A39" s="216"/>
      <c r="B39" s="156"/>
      <c r="C39" s="156"/>
      <c r="D39" s="156"/>
      <c r="E39" s="156"/>
      <c r="F39" s="156"/>
      <c r="G39" s="1599" t="s">
        <v>657</v>
      </c>
      <c r="H39" s="1599"/>
      <c r="I39" s="183">
        <f>SUM(I40:I45)</f>
        <v>1447456.3599999999</v>
      </c>
      <c r="J39" s="183">
        <f>SUM(J40:J45)</f>
        <v>4154450.67</v>
      </c>
      <c r="K39" s="246"/>
    </row>
    <row r="40" spans="1:11" ht="26.25" customHeight="1">
      <c r="A40" s="216"/>
      <c r="B40" s="156"/>
      <c r="C40" s="156"/>
      <c r="D40" s="156"/>
      <c r="E40" s="156"/>
      <c r="F40" s="156"/>
      <c r="G40" s="1600" t="s">
        <v>658</v>
      </c>
      <c r="H40" s="1600"/>
      <c r="I40" s="247">
        <f>+EGRESOS!C57</f>
        <v>1372466.92</v>
      </c>
      <c r="J40" s="247">
        <v>3764489.75</v>
      </c>
      <c r="K40" s="246"/>
    </row>
    <row r="41" spans="1:11">
      <c r="A41" s="216"/>
      <c r="B41" s="156"/>
      <c r="C41" s="156"/>
      <c r="D41" s="156"/>
      <c r="E41" s="156"/>
      <c r="F41" s="156"/>
      <c r="G41" s="1597" t="s">
        <v>659</v>
      </c>
      <c r="H41" s="1597"/>
      <c r="I41" s="247">
        <v>0</v>
      </c>
      <c r="J41" s="247">
        <v>0</v>
      </c>
      <c r="K41" s="246"/>
    </row>
    <row r="42" spans="1:11" ht="12" customHeight="1">
      <c r="A42" s="216"/>
      <c r="B42" s="156"/>
      <c r="C42" s="156"/>
      <c r="D42" s="156"/>
      <c r="E42" s="156"/>
      <c r="F42" s="156"/>
      <c r="G42" s="1597" t="s">
        <v>660</v>
      </c>
      <c r="H42" s="1597"/>
      <c r="I42" s="247">
        <v>0</v>
      </c>
      <c r="J42" s="247">
        <v>0</v>
      </c>
      <c r="K42" s="246"/>
    </row>
    <row r="43" spans="1:11" ht="25.5" customHeight="1">
      <c r="A43" s="216"/>
      <c r="B43" s="156"/>
      <c r="C43" s="156"/>
      <c r="D43" s="156"/>
      <c r="E43" s="156"/>
      <c r="F43" s="156"/>
      <c r="G43" s="1600" t="s">
        <v>661</v>
      </c>
      <c r="H43" s="1600"/>
      <c r="I43" s="247">
        <v>0</v>
      </c>
      <c r="J43" s="247">
        <v>0</v>
      </c>
      <c r="K43" s="246"/>
    </row>
    <row r="44" spans="1:11">
      <c r="A44" s="216"/>
      <c r="B44" s="156"/>
      <c r="C44" s="156"/>
      <c r="D44" s="156"/>
      <c r="E44" s="156"/>
      <c r="F44" s="156"/>
      <c r="G44" s="1597" t="s">
        <v>662</v>
      </c>
      <c r="H44" s="1597"/>
      <c r="I44" s="247">
        <v>0</v>
      </c>
      <c r="J44" s="247">
        <v>0</v>
      </c>
      <c r="K44" s="246"/>
    </row>
    <row r="45" spans="1:11">
      <c r="A45" s="216"/>
      <c r="B45" s="156"/>
      <c r="C45" s="156"/>
      <c r="D45" s="156"/>
      <c r="E45" s="156"/>
      <c r="F45" s="156"/>
      <c r="G45" s="1597" t="s">
        <v>663</v>
      </c>
      <c r="H45" s="1597"/>
      <c r="I45" s="247">
        <f>+EGRESOS!C60+EGRESOS!C46-EA!I40-EA!I24</f>
        <v>74989.439999999944</v>
      </c>
      <c r="J45" s="247">
        <v>389960.91999999993</v>
      </c>
      <c r="K45" s="246"/>
    </row>
    <row r="46" spans="1:11">
      <c r="A46" s="216"/>
      <c r="B46" s="156"/>
      <c r="C46" s="156"/>
      <c r="D46" s="156"/>
      <c r="E46" s="156"/>
      <c r="F46" s="156"/>
      <c r="G46" s="172"/>
      <c r="H46" s="170"/>
      <c r="I46" s="437"/>
      <c r="J46" s="437"/>
      <c r="K46" s="246"/>
    </row>
    <row r="47" spans="1:11">
      <c r="A47" s="216"/>
      <c r="B47" s="156"/>
      <c r="C47" s="156"/>
      <c r="D47" s="156"/>
      <c r="E47" s="156"/>
      <c r="F47" s="156"/>
      <c r="G47" s="1599" t="s">
        <v>664</v>
      </c>
      <c r="H47" s="1599"/>
      <c r="I47" s="183">
        <f>SUM(I48)</f>
        <v>0</v>
      </c>
      <c r="J47" s="183">
        <f>SUM(J48)</f>
        <v>0</v>
      </c>
      <c r="K47" s="246"/>
    </row>
    <row r="48" spans="1:11">
      <c r="A48" s="216"/>
      <c r="B48" s="156"/>
      <c r="C48" s="156"/>
      <c r="D48" s="156"/>
      <c r="E48" s="156"/>
      <c r="F48" s="156"/>
      <c r="G48" s="1597" t="s">
        <v>665</v>
      </c>
      <c r="H48" s="1597"/>
      <c r="I48" s="247">
        <v>0</v>
      </c>
      <c r="J48" s="247">
        <v>0</v>
      </c>
      <c r="K48" s="246"/>
    </row>
    <row r="49" spans="1:11">
      <c r="A49" s="216"/>
      <c r="B49" s="156"/>
      <c r="C49" s="156"/>
      <c r="D49" s="156"/>
      <c r="E49" s="156"/>
      <c r="F49" s="156"/>
      <c r="G49" s="172"/>
      <c r="H49" s="170"/>
      <c r="I49" s="437"/>
      <c r="J49" s="437"/>
      <c r="K49" s="246"/>
    </row>
    <row r="50" spans="1:11">
      <c r="A50" s="216"/>
      <c r="B50" s="156"/>
      <c r="C50" s="156"/>
      <c r="D50" s="156"/>
      <c r="E50" s="156"/>
      <c r="F50" s="156"/>
      <c r="G50" s="1601" t="s">
        <v>666</v>
      </c>
      <c r="H50" s="1601"/>
      <c r="I50" s="441">
        <f>I11+I16+I27+I32+I39+I47</f>
        <v>16467958.67</v>
      </c>
      <c r="J50" s="441">
        <f>J11+J16+J27+J32+J39+J47</f>
        <v>56516117.880000003</v>
      </c>
      <c r="K50" s="442"/>
    </row>
    <row r="51" spans="1:11">
      <c r="A51" s="216"/>
      <c r="B51" s="156"/>
      <c r="C51" s="156"/>
      <c r="D51" s="156"/>
      <c r="E51" s="156"/>
      <c r="F51" s="156"/>
      <c r="G51" s="175"/>
      <c r="H51" s="175"/>
      <c r="I51" s="437"/>
      <c r="J51" s="437"/>
      <c r="K51" s="442"/>
    </row>
    <row r="52" spans="1:11">
      <c r="A52" s="216"/>
      <c r="B52" s="156"/>
      <c r="C52" s="156"/>
      <c r="D52" s="156"/>
      <c r="E52" s="156"/>
      <c r="F52" s="156"/>
      <c r="G52" s="1603" t="s">
        <v>667</v>
      </c>
      <c r="H52" s="1603"/>
      <c r="I52" s="441">
        <f>D32-I50</f>
        <v>13979844.209999999</v>
      </c>
      <c r="J52" s="441">
        <f>E32-J50</f>
        <v>82707402.840000004</v>
      </c>
      <c r="K52" s="442"/>
    </row>
    <row r="53" spans="1:11" ht="6" customHeight="1">
      <c r="A53" s="443"/>
      <c r="B53" s="196"/>
      <c r="C53" s="196"/>
      <c r="D53" s="196"/>
      <c r="E53" s="196"/>
      <c r="F53" s="196"/>
      <c r="G53" s="196"/>
      <c r="H53" s="196"/>
      <c r="I53" s="196"/>
      <c r="J53" s="196"/>
      <c r="K53" s="192"/>
    </row>
    <row r="54" spans="1:11" ht="6" customHeight="1"/>
    <row r="55" spans="1:11" ht="6" customHeight="1">
      <c r="A55" s="196"/>
      <c r="B55" s="197"/>
      <c r="C55" s="198"/>
      <c r="D55" s="199"/>
      <c r="E55" s="199"/>
      <c r="F55" s="196"/>
      <c r="G55" s="200"/>
      <c r="H55" s="198"/>
      <c r="I55" s="199"/>
      <c r="J55" s="199"/>
      <c r="K55" s="196"/>
    </row>
    <row r="56" spans="1:11" ht="6" customHeight="1">
      <c r="B56" s="170"/>
      <c r="C56" s="193"/>
      <c r="D56" s="194"/>
      <c r="E56" s="194"/>
      <c r="G56" s="195"/>
      <c r="H56" s="193"/>
      <c r="I56" s="194"/>
      <c r="J56" s="194"/>
    </row>
    <row r="57" spans="1:11" ht="15" customHeight="1">
      <c r="B57" s="1604" t="s">
        <v>668</v>
      </c>
      <c r="C57" s="1604"/>
      <c r="D57" s="1604"/>
      <c r="E57" s="1604"/>
      <c r="F57" s="1604"/>
      <c r="G57" s="1604"/>
      <c r="H57" s="1604"/>
      <c r="I57" s="1604"/>
      <c r="J57" s="1604"/>
    </row>
    <row r="58" spans="1:11" ht="9.75" customHeight="1">
      <c r="B58" s="170"/>
      <c r="C58" s="193"/>
      <c r="D58" s="194"/>
      <c r="E58" s="194"/>
      <c r="G58" s="195"/>
      <c r="H58" s="193"/>
      <c r="I58" s="194"/>
      <c r="J58" s="194"/>
    </row>
    <row r="59" spans="1:11" ht="30" customHeight="1">
      <c r="B59" s="170"/>
      <c r="C59" s="1605"/>
      <c r="D59" s="1605"/>
      <c r="E59" s="194"/>
      <c r="G59" s="1606"/>
      <c r="H59" s="1606"/>
      <c r="I59" s="194"/>
      <c r="J59" s="194"/>
    </row>
    <row r="60" spans="1:11" ht="14.1" customHeight="1">
      <c r="B60" s="201"/>
      <c r="C60" s="1607" t="s">
        <v>2872</v>
      </c>
      <c r="D60" s="1607"/>
      <c r="E60" s="194"/>
      <c r="F60" s="194"/>
      <c r="G60" s="1607" t="s">
        <v>669</v>
      </c>
      <c r="H60" s="1607"/>
      <c r="I60" s="171"/>
      <c r="J60" s="194"/>
    </row>
    <row r="61" spans="1:11" ht="14.1" customHeight="1">
      <c r="B61" s="203"/>
      <c r="C61" s="1602" t="s">
        <v>1769</v>
      </c>
      <c r="D61" s="1602"/>
      <c r="E61" s="204"/>
      <c r="F61" s="204"/>
      <c r="G61" s="1602" t="s">
        <v>670</v>
      </c>
      <c r="H61" s="1602"/>
      <c r="I61" s="171"/>
      <c r="J61" s="194"/>
    </row>
    <row r="62" spans="1:11" ht="9.9499999999999993" customHeight="1">
      <c r="D62" s="426"/>
    </row>
    <row r="63" spans="1:11">
      <c r="D63" s="426"/>
    </row>
    <row r="64" spans="1:11">
      <c r="D64" s="426"/>
    </row>
  </sheetData>
  <sheetProtection formatCells="0" selectLockedCells="1"/>
  <mergeCells count="70">
    <mergeCell ref="C61:D61"/>
    <mergeCell ref="G61:H61"/>
    <mergeCell ref="G52:H52"/>
    <mergeCell ref="B57:J57"/>
    <mergeCell ref="C59:D59"/>
    <mergeCell ref="G59:H59"/>
    <mergeCell ref="C60:D60"/>
    <mergeCell ref="G60:H60"/>
    <mergeCell ref="G50:H50"/>
    <mergeCell ref="G36:H36"/>
    <mergeCell ref="G37:H37"/>
    <mergeCell ref="G39:H39"/>
    <mergeCell ref="G40:H40"/>
    <mergeCell ref="G41:H41"/>
    <mergeCell ref="G42:H42"/>
    <mergeCell ref="G43:H43"/>
    <mergeCell ref="G44:H44"/>
    <mergeCell ref="G45:H45"/>
    <mergeCell ref="G47:H47"/>
    <mergeCell ref="G48:H48"/>
    <mergeCell ref="G35:H35"/>
    <mergeCell ref="B28:C28"/>
    <mergeCell ref="G28:H28"/>
    <mergeCell ref="B29:C29"/>
    <mergeCell ref="G29:H29"/>
    <mergeCell ref="B30:C30"/>
    <mergeCell ref="G30:H30"/>
    <mergeCell ref="B32:C32"/>
    <mergeCell ref="G32:H32"/>
    <mergeCell ref="B33:C33"/>
    <mergeCell ref="G33:H33"/>
    <mergeCell ref="G34:H34"/>
    <mergeCell ref="G24:H24"/>
    <mergeCell ref="B25:C25"/>
    <mergeCell ref="G25:H25"/>
    <mergeCell ref="B26:C26"/>
    <mergeCell ref="B27:C27"/>
    <mergeCell ref="G27:H27"/>
    <mergeCell ref="B23:C23"/>
    <mergeCell ref="G23:H23"/>
    <mergeCell ref="B17:C17"/>
    <mergeCell ref="G17:H17"/>
    <mergeCell ref="B18:C18"/>
    <mergeCell ref="G18:H18"/>
    <mergeCell ref="B19:C19"/>
    <mergeCell ref="G19:H19"/>
    <mergeCell ref="G20:H20"/>
    <mergeCell ref="B21:C21"/>
    <mergeCell ref="G21:H21"/>
    <mergeCell ref="B22:C22"/>
    <mergeCell ref="G22:H22"/>
    <mergeCell ref="B16:C16"/>
    <mergeCell ref="G16:H16"/>
    <mergeCell ref="B10:C10"/>
    <mergeCell ref="G10:H10"/>
    <mergeCell ref="B11:C11"/>
    <mergeCell ref="G11:H11"/>
    <mergeCell ref="B12:C12"/>
    <mergeCell ref="G12:H12"/>
    <mergeCell ref="B13:C13"/>
    <mergeCell ref="G13:H13"/>
    <mergeCell ref="B14:C14"/>
    <mergeCell ref="G14:H14"/>
    <mergeCell ref="B15:C15"/>
    <mergeCell ref="B8:C8"/>
    <mergeCell ref="G8:H8"/>
    <mergeCell ref="C1:I1"/>
    <mergeCell ref="C2:I2"/>
    <mergeCell ref="C3:I3"/>
    <mergeCell ref="C4:I4"/>
  </mergeCells>
  <printOptions verticalCentered="1"/>
  <pageMargins left="0.34" right="0.33" top="0.41" bottom="0.70866141732283472" header="0" footer="0"/>
  <pageSetup scale="64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7706DE-727A-4401-A5F9-54D2EDF1AA50}">
  <sheetPr>
    <pageSetUpPr fitToPage="1"/>
  </sheetPr>
  <dimension ref="B1:F65"/>
  <sheetViews>
    <sheetView zoomScaleNormal="100" workbookViewId="0">
      <selection activeCell="E5" sqref="E5"/>
    </sheetView>
  </sheetViews>
  <sheetFormatPr baseColWidth="10" defaultRowHeight="12.75"/>
  <cols>
    <col min="1" max="1" width="3.28515625" customWidth="1"/>
    <col min="2" max="2" width="40" customWidth="1"/>
    <col min="3" max="3" width="28.5703125" customWidth="1"/>
    <col min="4" max="4" width="29.28515625" customWidth="1"/>
    <col min="5" max="5" width="16.5703125" customWidth="1"/>
    <col min="6" max="6" width="16.42578125" customWidth="1"/>
  </cols>
  <sheetData>
    <row r="1" spans="2:6" ht="13.5" thickBot="1"/>
    <row r="2" spans="2:6">
      <c r="B2" s="1610" t="s">
        <v>2992</v>
      </c>
      <c r="C2" s="1611"/>
      <c r="D2" s="1611"/>
      <c r="E2" s="1611"/>
      <c r="F2" s="1612"/>
    </row>
    <row r="3" spans="2:6">
      <c r="B3" s="1613" t="s">
        <v>614</v>
      </c>
      <c r="C3" s="1614"/>
      <c r="D3" s="1614"/>
      <c r="E3" s="1614"/>
      <c r="F3" s="1615"/>
    </row>
    <row r="4" spans="2:6" ht="13.5" thickBot="1">
      <c r="B4" s="1616"/>
      <c r="C4" s="1617"/>
      <c r="D4" s="1617"/>
      <c r="E4" s="1617"/>
      <c r="F4" s="1618"/>
    </row>
    <row r="5" spans="2:6">
      <c r="B5" s="838"/>
      <c r="C5" s="839"/>
      <c r="D5" s="839"/>
      <c r="E5" s="840" t="s">
        <v>5933</v>
      </c>
      <c r="F5" s="841" t="s">
        <v>4880</v>
      </c>
    </row>
    <row r="6" spans="2:6">
      <c r="B6" s="1619" t="s">
        <v>615</v>
      </c>
      <c r="C6" s="1620"/>
      <c r="D6" s="842"/>
      <c r="E6" s="836"/>
      <c r="F6" s="832"/>
    </row>
    <row r="7" spans="2:6">
      <c r="B7" s="843" t="s">
        <v>4881</v>
      </c>
      <c r="C7" s="842"/>
      <c r="D7" s="842"/>
      <c r="E7" s="831">
        <f>SUM(E8:E14)</f>
        <v>27770619.809999999</v>
      </c>
      <c r="F7" s="832">
        <f>SUM(F8:F14)</f>
        <v>91363023.789999992</v>
      </c>
    </row>
    <row r="8" spans="2:6">
      <c r="B8" s="844" t="s">
        <v>619</v>
      </c>
      <c r="C8" s="845"/>
      <c r="D8" s="845"/>
      <c r="E8" s="833">
        <v>0</v>
      </c>
      <c r="F8" s="834">
        <v>0</v>
      </c>
    </row>
    <row r="9" spans="2:6">
      <c r="B9" s="844" t="s">
        <v>770</v>
      </c>
      <c r="C9" s="845"/>
      <c r="D9" s="845"/>
      <c r="E9" s="833">
        <v>0</v>
      </c>
      <c r="F9" s="834">
        <v>0</v>
      </c>
    </row>
    <row r="10" spans="2:6">
      <c r="B10" s="844" t="s">
        <v>4882</v>
      </c>
      <c r="C10" s="845"/>
      <c r="D10" s="845"/>
      <c r="E10" s="833">
        <v>0</v>
      </c>
      <c r="F10" s="834">
        <v>0</v>
      </c>
    </row>
    <row r="11" spans="2:6">
      <c r="B11" s="844" t="s">
        <v>623</v>
      </c>
      <c r="C11" s="845"/>
      <c r="D11" s="845"/>
      <c r="E11" s="833">
        <v>0</v>
      </c>
      <c r="F11" s="834">
        <v>0</v>
      </c>
    </row>
    <row r="12" spans="2:6">
      <c r="B12" s="844" t="s">
        <v>805</v>
      </c>
      <c r="C12" s="845"/>
      <c r="D12" s="845"/>
      <c r="E12" s="833">
        <v>0</v>
      </c>
      <c r="F12" s="834">
        <v>0</v>
      </c>
    </row>
    <row r="13" spans="2:6">
      <c r="B13" s="844" t="s">
        <v>808</v>
      </c>
      <c r="C13" s="845"/>
      <c r="D13" s="845"/>
      <c r="E13" s="833">
        <v>0</v>
      </c>
      <c r="F13" s="834">
        <v>0</v>
      </c>
    </row>
    <row r="14" spans="2:6">
      <c r="B14" s="844" t="s">
        <v>4883</v>
      </c>
      <c r="C14" s="845"/>
      <c r="D14" s="845"/>
      <c r="E14" s="833">
        <f>+EA!D18</f>
        <v>27770619.809999999</v>
      </c>
      <c r="F14" s="834">
        <f>+EA!E18</f>
        <v>91363023.789999992</v>
      </c>
    </row>
    <row r="15" spans="2:6" ht="38.25" customHeight="1">
      <c r="B15" s="1619" t="s">
        <v>4884</v>
      </c>
      <c r="C15" s="1620"/>
      <c r="D15" s="1620"/>
      <c r="E15" s="831">
        <f>SUM(E16:E17)</f>
        <v>0</v>
      </c>
      <c r="F15" s="832">
        <f>SUM(F16:F17)</f>
        <v>36623839.039999999</v>
      </c>
    </row>
    <row r="16" spans="2:6" ht="27.75" customHeight="1">
      <c r="B16" s="1621" t="s">
        <v>4885</v>
      </c>
      <c r="C16" s="1622"/>
      <c r="D16" s="1622"/>
      <c r="E16" s="833">
        <v>0</v>
      </c>
      <c r="F16" s="834">
        <v>0</v>
      </c>
    </row>
    <row r="17" spans="2:6" ht="25.5" customHeight="1">
      <c r="B17" s="1621" t="s">
        <v>4886</v>
      </c>
      <c r="C17" s="1622"/>
      <c r="D17" s="1622"/>
      <c r="E17" s="833">
        <f>+EA!D23</f>
        <v>0</v>
      </c>
      <c r="F17" s="834">
        <f>+EA!E23</f>
        <v>36623839.039999999</v>
      </c>
    </row>
    <row r="18" spans="2:6">
      <c r="B18" s="846" t="s">
        <v>640</v>
      </c>
      <c r="C18" s="847"/>
      <c r="D18" s="847"/>
      <c r="E18" s="831">
        <f>SUM(E19:E23)</f>
        <v>2677183.0699999994</v>
      </c>
      <c r="F18" s="832">
        <f>SUM(F19:F23)</f>
        <v>11236657.890000002</v>
      </c>
    </row>
    <row r="19" spans="2:6">
      <c r="B19" s="844" t="s">
        <v>4887</v>
      </c>
      <c r="C19" s="848"/>
      <c r="D19" s="848"/>
      <c r="E19" s="833">
        <f>+EA!D26</f>
        <v>2649306.3099999996</v>
      </c>
      <c r="F19" s="834">
        <f>+EA!E26</f>
        <v>11213569.460000001</v>
      </c>
    </row>
    <row r="20" spans="2:6">
      <c r="B20" s="844" t="s">
        <v>643</v>
      </c>
      <c r="C20" s="848"/>
      <c r="D20" s="848"/>
      <c r="E20" s="833">
        <v>0</v>
      </c>
      <c r="F20" s="834">
        <v>0</v>
      </c>
    </row>
    <row r="21" spans="2:6" ht="27" customHeight="1">
      <c r="B21" s="1621" t="s">
        <v>644</v>
      </c>
      <c r="C21" s="1622"/>
      <c r="D21" s="1622"/>
      <c r="E21" s="833">
        <v>0</v>
      </c>
      <c r="F21" s="834">
        <v>0</v>
      </c>
    </row>
    <row r="22" spans="2:6">
      <c r="B22" s="844" t="s">
        <v>646</v>
      </c>
      <c r="C22" s="848"/>
      <c r="D22" s="848"/>
      <c r="E22" s="833">
        <v>0</v>
      </c>
      <c r="F22" s="834">
        <v>0</v>
      </c>
    </row>
    <row r="23" spans="2:6">
      <c r="B23" s="844" t="s">
        <v>648</v>
      </c>
      <c r="C23" s="848"/>
      <c r="D23" s="848"/>
      <c r="E23" s="833">
        <f>+EA!D30</f>
        <v>27876.759999999776</v>
      </c>
      <c r="F23" s="834">
        <f>+EA!E30</f>
        <v>23088.430000001565</v>
      </c>
    </row>
    <row r="24" spans="2:6">
      <c r="B24" s="849"/>
      <c r="C24" s="850"/>
      <c r="D24" s="850"/>
      <c r="E24" s="836"/>
      <c r="F24" s="851"/>
    </row>
    <row r="25" spans="2:6">
      <c r="B25" s="846" t="s">
        <v>650</v>
      </c>
      <c r="C25" s="842"/>
      <c r="D25" s="842"/>
      <c r="E25" s="831">
        <f>SUM(E18,E15,E7)</f>
        <v>30447802.879999999</v>
      </c>
      <c r="F25" s="832">
        <f>SUM(F18,F15,F7)</f>
        <v>139223520.72</v>
      </c>
    </row>
    <row r="26" spans="2:6">
      <c r="B26" s="849"/>
      <c r="C26" s="850"/>
      <c r="D26" s="850"/>
      <c r="E26" s="836"/>
      <c r="F26" s="837"/>
    </row>
    <row r="27" spans="2:6">
      <c r="B27" s="843" t="s">
        <v>616</v>
      </c>
      <c r="C27" s="842"/>
      <c r="D27" s="842"/>
      <c r="E27" s="836"/>
      <c r="F27" s="837"/>
    </row>
    <row r="28" spans="2:6">
      <c r="B28" s="843" t="s">
        <v>4888</v>
      </c>
      <c r="C28" s="842"/>
      <c r="D28" s="842"/>
      <c r="E28" s="831">
        <f>SUM(E29:E31)</f>
        <v>14860974.84</v>
      </c>
      <c r="F28" s="832">
        <f>SUM(F29:F31)</f>
        <v>51703099.219999999</v>
      </c>
    </row>
    <row r="29" spans="2:6">
      <c r="B29" s="844" t="s">
        <v>169</v>
      </c>
      <c r="C29" s="848"/>
      <c r="D29" s="848"/>
      <c r="E29" s="833">
        <f>+EA!I12</f>
        <v>4375817.34</v>
      </c>
      <c r="F29" s="834">
        <f>+EA!J12</f>
        <v>14762712.049999997</v>
      </c>
    </row>
    <row r="30" spans="2:6">
      <c r="B30" s="844" t="s">
        <v>167</v>
      </c>
      <c r="C30" s="848"/>
      <c r="D30" s="848"/>
      <c r="E30" s="833">
        <f>+EA!I13</f>
        <v>241376.94</v>
      </c>
      <c r="F30" s="834">
        <f>+EA!J13</f>
        <v>858269.25</v>
      </c>
    </row>
    <row r="31" spans="2:6">
      <c r="B31" s="844" t="s">
        <v>168</v>
      </c>
      <c r="C31" s="848"/>
      <c r="D31" s="848"/>
      <c r="E31" s="833">
        <f>+EA!I14</f>
        <v>10243780.559999999</v>
      </c>
      <c r="F31" s="834">
        <f>+EA!J14</f>
        <v>36082117.920000002</v>
      </c>
    </row>
    <row r="32" spans="2:6">
      <c r="B32" s="846" t="s">
        <v>810</v>
      </c>
      <c r="C32" s="847"/>
      <c r="D32" s="847"/>
      <c r="E32" s="831">
        <f>SUM(E33:E41)</f>
        <v>159527.47</v>
      </c>
      <c r="F32" s="832">
        <f>SUM(F33:F41)</f>
        <v>658567.99</v>
      </c>
    </row>
    <row r="33" spans="2:6">
      <c r="B33" s="1608" t="s">
        <v>627</v>
      </c>
      <c r="C33" s="1609"/>
      <c r="D33" s="1609"/>
      <c r="E33" s="833">
        <f>+EA!I17</f>
        <v>49735.63</v>
      </c>
      <c r="F33" s="834">
        <f>+EA!J17</f>
        <v>116363.09</v>
      </c>
    </row>
    <row r="34" spans="2:6">
      <c r="B34" s="1608" t="s">
        <v>629</v>
      </c>
      <c r="C34" s="1609"/>
      <c r="D34" s="1609"/>
      <c r="E34" s="833">
        <v>0</v>
      </c>
      <c r="F34" s="834">
        <v>0</v>
      </c>
    </row>
    <row r="35" spans="2:6">
      <c r="B35" s="1608" t="s">
        <v>631</v>
      </c>
      <c r="C35" s="1609"/>
      <c r="D35" s="1609"/>
      <c r="E35" s="833">
        <f>+EA!I19</f>
        <v>0</v>
      </c>
      <c r="F35" s="834">
        <f>+EA!J19</f>
        <v>0</v>
      </c>
    </row>
    <row r="36" spans="2:6">
      <c r="B36" s="1608" t="s">
        <v>632</v>
      </c>
      <c r="C36" s="1609"/>
      <c r="D36" s="1609"/>
      <c r="E36" s="833">
        <v>0</v>
      </c>
      <c r="F36" s="834">
        <v>0</v>
      </c>
    </row>
    <row r="37" spans="2:6">
      <c r="B37" s="1608" t="s">
        <v>634</v>
      </c>
      <c r="C37" s="1609"/>
      <c r="D37" s="1609"/>
      <c r="E37" s="833">
        <f>+EA!I21</f>
        <v>109791.84</v>
      </c>
      <c r="F37" s="834">
        <f>+EA!J21</f>
        <v>542204.9</v>
      </c>
    </row>
    <row r="38" spans="2:6">
      <c r="B38" s="1608" t="s">
        <v>636</v>
      </c>
      <c r="C38" s="1609"/>
      <c r="D38" s="1609"/>
      <c r="E38" s="833">
        <v>0</v>
      </c>
      <c r="F38" s="834">
        <v>0</v>
      </c>
    </row>
    <row r="39" spans="2:6">
      <c r="B39" s="1608" t="s">
        <v>638</v>
      </c>
      <c r="C39" s="1609"/>
      <c r="D39" s="1609"/>
      <c r="E39" s="833">
        <v>0</v>
      </c>
      <c r="F39" s="834">
        <v>0</v>
      </c>
    </row>
    <row r="40" spans="2:6">
      <c r="B40" s="1608" t="s">
        <v>639</v>
      </c>
      <c r="C40" s="1609"/>
      <c r="D40" s="1609"/>
      <c r="E40" s="833">
        <v>0</v>
      </c>
      <c r="F40" s="834">
        <v>0</v>
      </c>
    </row>
    <row r="41" spans="2:6">
      <c r="B41" s="1608" t="s">
        <v>641</v>
      </c>
      <c r="C41" s="1609"/>
      <c r="D41" s="1609"/>
      <c r="E41" s="833">
        <v>0</v>
      </c>
      <c r="F41" s="834">
        <v>0</v>
      </c>
    </row>
    <row r="42" spans="2:6">
      <c r="B42" s="843" t="s">
        <v>635</v>
      </c>
      <c r="C42" s="842"/>
      <c r="D42" s="842"/>
      <c r="E42" s="831">
        <f>SUM(E43:E45)</f>
        <v>0</v>
      </c>
      <c r="F42" s="832">
        <f>SUM(F43:F45)</f>
        <v>0</v>
      </c>
    </row>
    <row r="43" spans="2:6">
      <c r="B43" s="1608" t="s">
        <v>645</v>
      </c>
      <c r="C43" s="1609"/>
      <c r="D43" s="1609"/>
      <c r="E43" s="833">
        <v>0</v>
      </c>
      <c r="F43" s="834">
        <v>0</v>
      </c>
    </row>
    <row r="44" spans="2:6">
      <c r="B44" s="1608" t="s">
        <v>647</v>
      </c>
      <c r="C44" s="1609"/>
      <c r="D44" s="1609"/>
      <c r="E44" s="833">
        <v>0</v>
      </c>
      <c r="F44" s="834">
        <v>0</v>
      </c>
    </row>
    <row r="45" spans="2:6">
      <c r="B45" s="1608" t="s">
        <v>649</v>
      </c>
      <c r="C45" s="1609"/>
      <c r="D45" s="1609"/>
      <c r="E45" s="833">
        <v>0</v>
      </c>
      <c r="F45" s="834">
        <v>0</v>
      </c>
    </row>
    <row r="46" spans="2:6">
      <c r="B46" s="846" t="s">
        <v>651</v>
      </c>
      <c r="C46" s="847"/>
      <c r="D46" s="847"/>
      <c r="E46" s="831">
        <f>SUM(E47:E51)</f>
        <v>0</v>
      </c>
      <c r="F46" s="832">
        <f>SUM(F47:F51)</f>
        <v>0</v>
      </c>
    </row>
    <row r="47" spans="2:6">
      <c r="B47" s="1608" t="s">
        <v>652</v>
      </c>
      <c r="C47" s="1609"/>
      <c r="D47" s="1609"/>
      <c r="E47" s="833">
        <v>0</v>
      </c>
      <c r="F47" s="834">
        <v>0</v>
      </c>
    </row>
    <row r="48" spans="2:6">
      <c r="B48" s="1608" t="s">
        <v>653</v>
      </c>
      <c r="C48" s="1609"/>
      <c r="D48" s="1609"/>
      <c r="E48" s="833">
        <v>0</v>
      </c>
      <c r="F48" s="834">
        <v>0</v>
      </c>
    </row>
    <row r="49" spans="2:6">
      <c r="B49" s="1608" t="s">
        <v>654</v>
      </c>
      <c r="C49" s="1609"/>
      <c r="D49" s="1609"/>
      <c r="E49" s="833">
        <v>0</v>
      </c>
      <c r="F49" s="834">
        <v>0</v>
      </c>
    </row>
    <row r="50" spans="2:6">
      <c r="B50" s="1608" t="s">
        <v>655</v>
      </c>
      <c r="C50" s="1609"/>
      <c r="D50" s="1609"/>
      <c r="E50" s="833">
        <v>0</v>
      </c>
      <c r="F50" s="834">
        <v>0</v>
      </c>
    </row>
    <row r="51" spans="2:6">
      <c r="B51" s="1608" t="s">
        <v>656</v>
      </c>
      <c r="C51" s="1609"/>
      <c r="D51" s="1609"/>
      <c r="E51" s="833">
        <v>0</v>
      </c>
      <c r="F51" s="834">
        <v>0</v>
      </c>
    </row>
    <row r="52" spans="2:6">
      <c r="B52" s="846" t="s">
        <v>657</v>
      </c>
      <c r="C52" s="847"/>
      <c r="D52" s="847"/>
      <c r="E52" s="831">
        <f>SUM(E53:E58)</f>
        <v>1447456.3599999999</v>
      </c>
      <c r="F52" s="832">
        <f>SUM(F53:F58)</f>
        <v>4154450.67</v>
      </c>
    </row>
    <row r="53" spans="2:6">
      <c r="B53" s="1608" t="s">
        <v>658</v>
      </c>
      <c r="C53" s="1609"/>
      <c r="D53" s="1609"/>
      <c r="E53" s="833">
        <f>+EA!I40</f>
        <v>1372466.92</v>
      </c>
      <c r="F53" s="834">
        <f>+EA!J40</f>
        <v>3764489.75</v>
      </c>
    </row>
    <row r="54" spans="2:6">
      <c r="B54" s="1608" t="s">
        <v>659</v>
      </c>
      <c r="C54" s="1609"/>
      <c r="D54" s="1609"/>
      <c r="E54" s="833">
        <v>0</v>
      </c>
      <c r="F54" s="834">
        <v>0</v>
      </c>
    </row>
    <row r="55" spans="2:6">
      <c r="B55" s="1608" t="s">
        <v>660</v>
      </c>
      <c r="C55" s="1609"/>
      <c r="D55" s="1609"/>
      <c r="E55" s="833">
        <v>0</v>
      </c>
      <c r="F55" s="834">
        <v>0</v>
      </c>
    </row>
    <row r="56" spans="2:6">
      <c r="B56" s="1608" t="s">
        <v>4889</v>
      </c>
      <c r="C56" s="1609"/>
      <c r="D56" s="1609"/>
      <c r="E56" s="833">
        <v>0</v>
      </c>
      <c r="F56" s="834">
        <v>0</v>
      </c>
    </row>
    <row r="57" spans="2:6">
      <c r="B57" s="1608" t="s">
        <v>662</v>
      </c>
      <c r="C57" s="1609"/>
      <c r="D57" s="1609"/>
      <c r="E57" s="833">
        <v>0</v>
      </c>
      <c r="F57" s="834">
        <v>0</v>
      </c>
    </row>
    <row r="58" spans="2:6">
      <c r="B58" s="1608" t="s">
        <v>663</v>
      </c>
      <c r="C58" s="1609"/>
      <c r="D58" s="1609"/>
      <c r="E58" s="833">
        <f>+EA!I45</f>
        <v>74989.439999999944</v>
      </c>
      <c r="F58" s="834">
        <f>+EA!J45</f>
        <v>389960.91999999993</v>
      </c>
    </row>
    <row r="59" spans="2:6">
      <c r="B59" s="843" t="s">
        <v>664</v>
      </c>
      <c r="C59" s="842"/>
      <c r="D59" s="842"/>
      <c r="E59" s="831">
        <f>SUM(E60)</f>
        <v>0</v>
      </c>
      <c r="F59" s="832">
        <f>SUM(F60)</f>
        <v>0</v>
      </c>
    </row>
    <row r="60" spans="2:6">
      <c r="B60" s="1608" t="s">
        <v>4890</v>
      </c>
      <c r="C60" s="1609"/>
      <c r="D60" s="1609"/>
      <c r="E60" s="833">
        <v>0</v>
      </c>
      <c r="F60" s="834">
        <v>0</v>
      </c>
    </row>
    <row r="61" spans="2:6">
      <c r="B61" s="1623"/>
      <c r="C61" s="1624"/>
      <c r="D61" s="1624"/>
      <c r="E61" s="836"/>
      <c r="F61" s="837"/>
    </row>
    <row r="62" spans="2:6">
      <c r="B62" s="843" t="s">
        <v>666</v>
      </c>
      <c r="C62" s="842"/>
      <c r="D62" s="842"/>
      <c r="E62" s="831">
        <f>SUM(E52,E59,E46,E42,E28,E32)</f>
        <v>16467958.67</v>
      </c>
      <c r="F62" s="832">
        <f>SUM(F59,F52,F46,F42,F28,F32)</f>
        <v>56516117.880000003</v>
      </c>
    </row>
    <row r="63" spans="2:6">
      <c r="B63" s="849"/>
      <c r="C63" s="850"/>
      <c r="D63" s="850"/>
      <c r="E63" s="836"/>
      <c r="F63" s="837"/>
    </row>
    <row r="64" spans="2:6">
      <c r="B64" s="846" t="s">
        <v>765</v>
      </c>
      <c r="C64" s="842"/>
      <c r="D64" s="842"/>
      <c r="E64" s="831">
        <f>E25-E62</f>
        <v>13979844.209999999</v>
      </c>
      <c r="F64" s="832">
        <f>F25-F62</f>
        <v>82707402.840000004</v>
      </c>
    </row>
    <row r="65" spans="2:6" ht="13.5" thickBot="1">
      <c r="B65" s="852"/>
      <c r="C65" s="853"/>
      <c r="D65" s="853"/>
      <c r="E65" s="854"/>
      <c r="F65" s="855"/>
    </row>
  </sheetData>
  <mergeCells count="33">
    <mergeCell ref="B61:D61"/>
    <mergeCell ref="B17:D17"/>
    <mergeCell ref="B21:D21"/>
    <mergeCell ref="B54:D54"/>
    <mergeCell ref="B55:D55"/>
    <mergeCell ref="B56:D56"/>
    <mergeCell ref="B57:D57"/>
    <mergeCell ref="B58:D58"/>
    <mergeCell ref="B60:D60"/>
    <mergeCell ref="B47:D47"/>
    <mergeCell ref="B48:D48"/>
    <mergeCell ref="B49:D49"/>
    <mergeCell ref="B50:D50"/>
    <mergeCell ref="B51:D51"/>
    <mergeCell ref="B53:D53"/>
    <mergeCell ref="B39:D39"/>
    <mergeCell ref="B40:D40"/>
    <mergeCell ref="B41:D41"/>
    <mergeCell ref="B43:D43"/>
    <mergeCell ref="B44:D44"/>
    <mergeCell ref="B45:D45"/>
    <mergeCell ref="B38:D38"/>
    <mergeCell ref="B2:F2"/>
    <mergeCell ref="B3:F3"/>
    <mergeCell ref="B4:F4"/>
    <mergeCell ref="B6:C6"/>
    <mergeCell ref="B15:D15"/>
    <mergeCell ref="B16:D16"/>
    <mergeCell ref="B33:D33"/>
    <mergeCell ref="B34:D34"/>
    <mergeCell ref="B35:D35"/>
    <mergeCell ref="B36:D36"/>
    <mergeCell ref="B37:D37"/>
  </mergeCells>
  <pageMargins left="0.70866141732283472" right="0.70866141732283472" top="0.74803149606299213" bottom="0.74803149606299213" header="0.31496062992125984" footer="0.31496062992125984"/>
  <pageSetup scale="7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>
    <pageSetUpPr fitToPage="1"/>
  </sheetPr>
  <dimension ref="A1:L53"/>
  <sheetViews>
    <sheetView topLeftCell="A25" zoomScaleNormal="100" zoomScalePageLayoutView="80" workbookViewId="0">
      <selection activeCell="C6" sqref="C6:I6"/>
    </sheetView>
  </sheetViews>
  <sheetFormatPr baseColWidth="10" defaultRowHeight="12"/>
  <cols>
    <col min="1" max="1" width="1.5703125" style="157" customWidth="1"/>
    <col min="2" max="2" width="27.5703125" style="156" customWidth="1"/>
    <col min="3" max="3" width="25.28515625" style="157" customWidth="1"/>
    <col min="4" max="4" width="13.5703125" style="157" customWidth="1"/>
    <col min="5" max="5" width="13.7109375" style="157" customWidth="1"/>
    <col min="6" max="6" width="1.28515625" style="158" customWidth="1"/>
    <col min="7" max="7" width="27.5703125" style="157" customWidth="1"/>
    <col min="8" max="8" width="21.28515625" style="157" customWidth="1"/>
    <col min="9" max="9" width="15.7109375" style="157" customWidth="1"/>
    <col min="10" max="10" width="13.42578125" style="157" customWidth="1"/>
    <col min="11" max="11" width="1" style="157" customWidth="1"/>
    <col min="12" max="12" width="1.7109375" style="156" customWidth="1"/>
    <col min="13" max="16384" width="11.42578125" style="157"/>
  </cols>
  <sheetData>
    <row r="1" spans="1:12" ht="6" customHeight="1">
      <c r="A1" s="153"/>
      <c r="B1" s="154"/>
      <c r="C1" s="153"/>
      <c r="D1" s="153"/>
      <c r="E1" s="153"/>
      <c r="F1" s="155"/>
      <c r="G1" s="153"/>
      <c r="H1" s="153"/>
      <c r="I1" s="153"/>
      <c r="J1" s="153"/>
      <c r="K1" s="153"/>
    </row>
    <row r="2" spans="1:12" ht="6" customHeight="1"/>
    <row r="3" spans="1:12" ht="14.1" customHeight="1">
      <c r="B3" s="159"/>
      <c r="C3" s="1631" t="s">
        <v>2992</v>
      </c>
      <c r="D3" s="1631"/>
      <c r="E3" s="1631"/>
      <c r="F3" s="1631"/>
      <c r="G3" s="1631"/>
      <c r="H3" s="1631"/>
      <c r="I3" s="1631"/>
      <c r="J3" s="159"/>
      <c r="K3" s="159"/>
    </row>
    <row r="4" spans="1:12" ht="14.1" customHeight="1">
      <c r="B4" s="451"/>
      <c r="C4" s="1631" t="s">
        <v>671</v>
      </c>
      <c r="D4" s="1631"/>
      <c r="E4" s="1631"/>
      <c r="F4" s="1631"/>
      <c r="G4" s="1631"/>
      <c r="H4" s="1631"/>
      <c r="I4" s="1631"/>
      <c r="J4" s="159"/>
      <c r="K4" s="159"/>
    </row>
    <row r="5" spans="1:12" ht="14.1" customHeight="1">
      <c r="B5" s="451"/>
      <c r="C5" s="1631" t="s">
        <v>6806</v>
      </c>
      <c r="D5" s="1631"/>
      <c r="E5" s="1631"/>
      <c r="F5" s="1631"/>
      <c r="G5" s="1631"/>
      <c r="H5" s="1631"/>
      <c r="I5" s="1631"/>
      <c r="J5" s="159"/>
      <c r="K5" s="159"/>
    </row>
    <row r="6" spans="1:12" ht="14.1" customHeight="1">
      <c r="B6" s="160"/>
      <c r="C6" s="1632" t="str">
        <f>+EA!C4</f>
        <v>y al 31 de diciembre de 2020</v>
      </c>
      <c r="D6" s="1632"/>
      <c r="E6" s="1632"/>
      <c r="F6" s="1632"/>
      <c r="G6" s="1632"/>
      <c r="H6" s="1632"/>
      <c r="I6" s="1632"/>
      <c r="J6" s="160"/>
      <c r="K6" s="160"/>
    </row>
    <row r="7" spans="1:12" ht="3" customHeight="1">
      <c r="A7" s="160"/>
      <c r="B7" s="160"/>
      <c r="C7" s="160"/>
      <c r="D7" s="160"/>
      <c r="E7" s="160"/>
      <c r="F7" s="163"/>
      <c r="G7" s="160"/>
      <c r="H7" s="160"/>
      <c r="I7" s="160"/>
      <c r="J7" s="160"/>
    </row>
    <row r="8" spans="1:12" ht="3" customHeight="1">
      <c r="A8" s="160"/>
      <c r="B8" s="160"/>
      <c r="C8" s="160"/>
      <c r="D8" s="160"/>
      <c r="E8" s="160"/>
      <c r="F8" s="163"/>
      <c r="G8" s="160"/>
      <c r="H8" s="160"/>
      <c r="I8" s="160"/>
      <c r="J8" s="160"/>
    </row>
    <row r="9" spans="1:12" s="165" customFormat="1" ht="15" customHeight="1">
      <c r="A9" s="1625"/>
      <c r="B9" s="1627" t="s">
        <v>101</v>
      </c>
      <c r="C9" s="1627"/>
      <c r="D9" s="662" t="s">
        <v>1866</v>
      </c>
      <c r="E9" s="662"/>
      <c r="F9" s="1629"/>
      <c r="G9" s="1627" t="s">
        <v>101</v>
      </c>
      <c r="H9" s="1627"/>
      <c r="I9" s="632" t="s">
        <v>1867</v>
      </c>
      <c r="J9" s="632"/>
      <c r="K9" s="633"/>
      <c r="L9" s="164"/>
    </row>
    <row r="10" spans="1:12" s="165" customFormat="1" ht="15" customHeight="1">
      <c r="A10" s="1626"/>
      <c r="B10" s="1628"/>
      <c r="C10" s="1628"/>
      <c r="D10" s="661">
        <v>2021</v>
      </c>
      <c r="E10" s="661">
        <v>2020</v>
      </c>
      <c r="F10" s="1630"/>
      <c r="G10" s="1628"/>
      <c r="H10" s="1628"/>
      <c r="I10" s="661">
        <v>2021</v>
      </c>
      <c r="J10" s="661">
        <v>2020</v>
      </c>
      <c r="K10" s="634"/>
      <c r="L10" s="164"/>
    </row>
    <row r="11" spans="1:12" ht="3" customHeight="1">
      <c r="A11" s="166"/>
      <c r="B11" s="160"/>
      <c r="C11" s="160"/>
      <c r="D11" s="160"/>
      <c r="E11" s="160"/>
      <c r="F11" s="163"/>
      <c r="G11" s="160"/>
      <c r="H11" s="160"/>
      <c r="I11" s="160"/>
      <c r="J11" s="160"/>
      <c r="K11" s="167"/>
    </row>
    <row r="12" spans="1:12" ht="3" customHeight="1">
      <c r="A12" s="166"/>
      <c r="B12" s="160"/>
      <c r="C12" s="160"/>
      <c r="D12" s="160"/>
      <c r="E12" s="160"/>
      <c r="F12" s="163"/>
      <c r="G12" s="160"/>
      <c r="H12" s="160"/>
      <c r="I12" s="160"/>
      <c r="J12" s="160"/>
      <c r="K12" s="167"/>
    </row>
    <row r="13" spans="1:12">
      <c r="A13" s="168"/>
      <c r="B13" s="1599" t="s">
        <v>672</v>
      </c>
      <c r="C13" s="1599"/>
      <c r="D13" s="169"/>
      <c r="E13" s="170"/>
      <c r="G13" s="1599" t="s">
        <v>673</v>
      </c>
      <c r="H13" s="1599"/>
      <c r="I13" s="171"/>
      <c r="J13" s="171"/>
      <c r="K13" s="167"/>
    </row>
    <row r="14" spans="1:12" ht="5.0999999999999996" customHeight="1">
      <c r="A14" s="168"/>
      <c r="B14" s="172"/>
      <c r="C14" s="171"/>
      <c r="D14" s="173"/>
      <c r="E14" s="173"/>
      <c r="G14" s="172"/>
      <c r="H14" s="171"/>
      <c r="I14" s="174"/>
      <c r="J14" s="174"/>
      <c r="K14" s="167"/>
    </row>
    <row r="15" spans="1:12">
      <c r="A15" s="168"/>
      <c r="B15" s="1601" t="s">
        <v>674</v>
      </c>
      <c r="C15" s="1601"/>
      <c r="D15" s="173"/>
      <c r="E15" s="173"/>
      <c r="G15" s="1601" t="s">
        <v>675</v>
      </c>
      <c r="H15" s="1601"/>
      <c r="I15" s="173"/>
      <c r="J15" s="173"/>
      <c r="K15" s="167"/>
    </row>
    <row r="16" spans="1:12" ht="5.0999999999999996" customHeight="1">
      <c r="A16" s="168"/>
      <c r="B16" s="175"/>
      <c r="C16" s="176"/>
      <c r="D16" s="173"/>
      <c r="E16" s="173"/>
      <c r="G16" s="175"/>
      <c r="H16" s="176"/>
      <c r="I16" s="173"/>
      <c r="J16" s="173"/>
      <c r="K16" s="167"/>
    </row>
    <row r="17" spans="1:11">
      <c r="A17" s="168"/>
      <c r="B17" s="1597" t="s">
        <v>676</v>
      </c>
      <c r="C17" s="1597"/>
      <c r="D17" s="177">
        <f>+BALANCE!B12+BALANCE!B13+BALANCE!B14</f>
        <v>184667850.49000001</v>
      </c>
      <c r="E17" s="177">
        <v>192432921.41000003</v>
      </c>
      <c r="G17" s="1597" t="s">
        <v>677</v>
      </c>
      <c r="H17" s="1597"/>
      <c r="I17" s="177">
        <f>+BALANCE!E12+BALANCE!E13+BALANCE!E14+BALANCE!E15</f>
        <v>1664328.67</v>
      </c>
      <c r="J17" s="177">
        <v>3290802.8</v>
      </c>
      <c r="K17" s="167"/>
    </row>
    <row r="18" spans="1:11">
      <c r="A18" s="168"/>
      <c r="B18" s="1597" t="s">
        <v>678</v>
      </c>
      <c r="C18" s="1597"/>
      <c r="D18" s="177">
        <f>+BALANCE!B15+BALANCE!B16+BALANCE!B17+BALANCE!B18</f>
        <v>18347330.919999998</v>
      </c>
      <c r="E18" s="177">
        <v>30004506.859999999</v>
      </c>
      <c r="G18" s="1597" t="s">
        <v>679</v>
      </c>
      <c r="H18" s="1597"/>
      <c r="I18" s="177">
        <f>+BALANCE!E16</f>
        <v>0</v>
      </c>
      <c r="J18" s="177">
        <v>0</v>
      </c>
      <c r="K18" s="167"/>
    </row>
    <row r="19" spans="1:11">
      <c r="A19" s="168"/>
      <c r="B19" s="1597" t="s">
        <v>680</v>
      </c>
      <c r="C19" s="1597"/>
      <c r="D19" s="177">
        <f>+BALANCE!B19+BALANCE!B20+BALANCE!B21</f>
        <v>785385.31</v>
      </c>
      <c r="E19" s="177">
        <v>292951.38</v>
      </c>
      <c r="G19" s="1597" t="s">
        <v>685</v>
      </c>
      <c r="H19" s="1597"/>
      <c r="I19" s="177">
        <f>+BALANCE!E17</f>
        <v>11210.76</v>
      </c>
      <c r="J19" s="177">
        <v>9449.58</v>
      </c>
      <c r="K19" s="167"/>
    </row>
    <row r="20" spans="1:11">
      <c r="A20" s="168"/>
      <c r="B20" s="1597" t="s">
        <v>687</v>
      </c>
      <c r="C20" s="1597"/>
      <c r="D20" s="177">
        <f>+BALANCE!B22</f>
        <v>163103.14000000001</v>
      </c>
      <c r="E20" s="177">
        <v>163103.14000000001</v>
      </c>
      <c r="G20" s="1601" t="s">
        <v>691</v>
      </c>
      <c r="H20" s="1601"/>
      <c r="I20" s="174">
        <f>SUM(I17:I19)</f>
        <v>1675539.43</v>
      </c>
      <c r="J20" s="174">
        <f>SUM(J17:J19)</f>
        <v>3300252.38</v>
      </c>
      <c r="K20" s="167"/>
    </row>
    <row r="21" spans="1:11">
      <c r="A21" s="168"/>
      <c r="B21" s="1597"/>
      <c r="C21" s="1597"/>
      <c r="D21" s="177"/>
      <c r="E21" s="177"/>
      <c r="K21" s="167"/>
    </row>
    <row r="22" spans="1:11" ht="25.5" customHeight="1">
      <c r="A22" s="168"/>
      <c r="B22" s="1601" t="s">
        <v>690</v>
      </c>
      <c r="C22" s="1601"/>
      <c r="D22" s="174">
        <f>SUM(D17:D21)</f>
        <v>203963669.85999998</v>
      </c>
      <c r="E22" s="174">
        <f>SUM(E17:E21)</f>
        <v>222893482.79000002</v>
      </c>
      <c r="G22" s="1601" t="s">
        <v>709</v>
      </c>
      <c r="H22" s="1601"/>
      <c r="I22" s="174">
        <f>+I20</f>
        <v>1675539.43</v>
      </c>
      <c r="J22" s="174">
        <f>+J20</f>
        <v>3300252.38</v>
      </c>
      <c r="K22" s="167"/>
    </row>
    <row r="23" spans="1:11">
      <c r="A23" s="168"/>
      <c r="K23" s="167"/>
    </row>
    <row r="24" spans="1:11">
      <c r="A24" s="168"/>
      <c r="B24" s="178"/>
      <c r="C24" s="179"/>
      <c r="D24" s="180"/>
      <c r="E24" s="180"/>
      <c r="G24" s="1597"/>
      <c r="H24" s="1597"/>
      <c r="I24" s="177"/>
      <c r="J24" s="177"/>
      <c r="K24" s="167"/>
    </row>
    <row r="25" spans="1:11">
      <c r="A25" s="181"/>
      <c r="F25" s="182"/>
      <c r="G25" s="1599" t="s">
        <v>711</v>
      </c>
      <c r="H25" s="1599"/>
      <c r="I25" s="180"/>
      <c r="J25" s="180"/>
      <c r="K25" s="167"/>
    </row>
    <row r="26" spans="1:11">
      <c r="A26" s="181"/>
      <c r="B26" s="172"/>
      <c r="C26" s="184"/>
      <c r="D26" s="183"/>
      <c r="E26" s="183"/>
      <c r="F26" s="182"/>
      <c r="G26" s="172"/>
      <c r="H26" s="186"/>
      <c r="I26" s="180"/>
      <c r="J26" s="180"/>
      <c r="K26" s="167"/>
    </row>
    <row r="27" spans="1:11">
      <c r="A27" s="168"/>
      <c r="B27" s="178"/>
      <c r="C27" s="178"/>
      <c r="D27" s="180"/>
      <c r="E27" s="180"/>
      <c r="G27" s="1601" t="s">
        <v>713</v>
      </c>
      <c r="H27" s="1601"/>
      <c r="I27" s="174">
        <f>SUM(I29:I30)</f>
        <v>278482908.89999998</v>
      </c>
      <c r="J27" s="174">
        <f>SUM(J29:J30)</f>
        <v>278482908.89999998</v>
      </c>
      <c r="K27" s="167"/>
    </row>
    <row r="28" spans="1:11">
      <c r="A28" s="168"/>
      <c r="B28" s="1601" t="s">
        <v>692</v>
      </c>
      <c r="C28" s="1601"/>
      <c r="D28" s="173"/>
      <c r="E28" s="173"/>
      <c r="G28" s="178"/>
      <c r="H28" s="170"/>
      <c r="I28" s="180"/>
      <c r="J28" s="180"/>
      <c r="K28" s="167"/>
    </row>
    <row r="29" spans="1:11">
      <c r="A29" s="168"/>
      <c r="B29" s="178"/>
      <c r="C29" s="178"/>
      <c r="D29" s="180"/>
      <c r="E29" s="180"/>
      <c r="G29" s="1597" t="s">
        <v>647</v>
      </c>
      <c r="H29" s="1597"/>
      <c r="I29" s="177">
        <v>10952891.960000001</v>
      </c>
      <c r="J29" s="177">
        <v>10952891.960000001</v>
      </c>
      <c r="K29" s="167"/>
    </row>
    <row r="30" spans="1:11">
      <c r="A30" s="168"/>
      <c r="B30" s="1597" t="s">
        <v>694</v>
      </c>
      <c r="C30" s="1597"/>
      <c r="D30" s="177">
        <f>+BALANCE!B28</f>
        <v>1758830</v>
      </c>
      <c r="E30" s="177">
        <v>1758830</v>
      </c>
      <c r="G30" s="1597" t="s">
        <v>715</v>
      </c>
      <c r="H30" s="1597"/>
      <c r="I30" s="177">
        <v>267530016.94</v>
      </c>
      <c r="J30" s="177">
        <v>267530016.94</v>
      </c>
      <c r="K30" s="167"/>
    </row>
    <row r="31" spans="1:11">
      <c r="A31" s="168"/>
      <c r="B31" s="1597" t="s">
        <v>696</v>
      </c>
      <c r="C31" s="1597"/>
      <c r="D31" s="177">
        <f>+BALANCE!B29</f>
        <v>0</v>
      </c>
      <c r="E31" s="177">
        <v>0</v>
      </c>
      <c r="G31" s="1597"/>
      <c r="H31" s="1597"/>
      <c r="I31" s="177"/>
      <c r="J31" s="177"/>
      <c r="K31" s="167"/>
    </row>
    <row r="32" spans="1:11">
      <c r="A32" s="168"/>
      <c r="B32" s="1597" t="s">
        <v>698</v>
      </c>
      <c r="C32" s="1597"/>
      <c r="D32" s="177">
        <f>+BALANCE!B30+BALANCE!B31+BALANCE!B32</f>
        <v>980297651.08000004</v>
      </c>
      <c r="E32" s="177">
        <v>947679244.29999995</v>
      </c>
      <c r="G32" s="1601" t="s">
        <v>716</v>
      </c>
      <c r="H32" s="1601"/>
      <c r="I32" s="174">
        <f>SUM(I34:I35)</f>
        <v>869368823.5</v>
      </c>
      <c r="J32" s="174">
        <f>SUM(J34:J35)</f>
        <v>855388979.29000008</v>
      </c>
      <c r="K32" s="167"/>
    </row>
    <row r="33" spans="1:11">
      <c r="A33" s="168"/>
      <c r="B33" s="1597" t="s">
        <v>700</v>
      </c>
      <c r="C33" s="1597"/>
      <c r="D33" s="177">
        <f>+BALANCE!B33+BALANCE!B34+BALANCE!B35</f>
        <v>12318241.439999999</v>
      </c>
      <c r="E33" s="177">
        <v>12279237.109999999</v>
      </c>
      <c r="G33" s="172"/>
      <c r="H33" s="170"/>
      <c r="I33" s="187"/>
      <c r="J33" s="187"/>
      <c r="K33" s="167"/>
    </row>
    <row r="34" spans="1:11" ht="26.25" customHeight="1">
      <c r="A34" s="168"/>
      <c r="B34" s="1597" t="s">
        <v>702</v>
      </c>
      <c r="C34" s="1597"/>
      <c r="D34" s="177">
        <f>+BALANCE!B36</f>
        <v>8744971.7599999998</v>
      </c>
      <c r="E34" s="177">
        <v>8744971.7599999998</v>
      </c>
      <c r="G34" s="1597" t="s">
        <v>717</v>
      </c>
      <c r="H34" s="1597"/>
      <c r="I34" s="177">
        <f>+BALANCE!E38</f>
        <v>13979844.210000001</v>
      </c>
      <c r="J34" s="177">
        <v>82707402.840000004</v>
      </c>
      <c r="K34" s="167"/>
    </row>
    <row r="35" spans="1:11">
      <c r="A35" s="168"/>
      <c r="B35" s="1597" t="s">
        <v>703</v>
      </c>
      <c r="C35" s="1597"/>
      <c r="D35" s="177">
        <f>+BALANCE!B37+BALANCE!B38</f>
        <v>-36979865.799999997</v>
      </c>
      <c r="E35" s="177">
        <v>-35607398.879999995</v>
      </c>
      <c r="G35" s="1597" t="s">
        <v>718</v>
      </c>
      <c r="H35" s="1597"/>
      <c r="I35" s="177">
        <f>+BALANCE!E37</f>
        <v>855388979.28999996</v>
      </c>
      <c r="J35" s="177">
        <v>772681576.45000005</v>
      </c>
      <c r="K35" s="167"/>
    </row>
    <row r="36" spans="1:11">
      <c r="A36" s="168"/>
      <c r="B36" s="1597"/>
      <c r="C36" s="1597"/>
      <c r="D36" s="177"/>
      <c r="E36" s="177"/>
      <c r="G36" s="178"/>
      <c r="H36" s="179"/>
      <c r="I36" s="180"/>
      <c r="J36" s="180"/>
      <c r="K36" s="167"/>
    </row>
    <row r="37" spans="1:11">
      <c r="A37" s="168"/>
      <c r="B37" s="1597"/>
      <c r="C37" s="1597"/>
      <c r="D37" s="177"/>
      <c r="E37" s="177"/>
      <c r="G37" s="1601" t="s">
        <v>721</v>
      </c>
      <c r="H37" s="1601"/>
      <c r="I37" s="174">
        <f>SUM(I39:I40)</f>
        <v>20576226.51000002</v>
      </c>
      <c r="J37" s="174">
        <f>SUM(J39:J40)</f>
        <v>20576226.51000002</v>
      </c>
      <c r="K37" s="167"/>
    </row>
    <row r="38" spans="1:11">
      <c r="A38" s="168"/>
      <c r="B38" s="1597"/>
      <c r="C38" s="1597"/>
      <c r="D38" s="177"/>
      <c r="E38" s="177"/>
      <c r="G38" s="178"/>
      <c r="H38" s="170"/>
      <c r="I38" s="180"/>
      <c r="J38" s="180"/>
      <c r="K38" s="167"/>
    </row>
    <row r="39" spans="1:11">
      <c r="A39" s="168"/>
      <c r="B39" s="178"/>
      <c r="C39" s="179"/>
      <c r="D39" s="180"/>
      <c r="E39" s="180"/>
      <c r="G39" s="1597" t="s">
        <v>722</v>
      </c>
      <c r="H39" s="1597"/>
      <c r="I39" s="177">
        <v>-167471499.56999999</v>
      </c>
      <c r="J39" s="177">
        <v>-167471499.56999999</v>
      </c>
      <c r="K39" s="167"/>
    </row>
    <row r="40" spans="1:11">
      <c r="A40" s="181"/>
      <c r="F40" s="182"/>
      <c r="G40" s="1597" t="s">
        <v>723</v>
      </c>
      <c r="H40" s="1597"/>
      <c r="I40" s="177">
        <v>188047726.08000001</v>
      </c>
      <c r="J40" s="177">
        <v>188047726.08000001</v>
      </c>
      <c r="K40" s="167"/>
    </row>
    <row r="41" spans="1:11">
      <c r="A41" s="168"/>
      <c r="G41" s="178"/>
      <c r="H41" s="188"/>
      <c r="I41" s="180"/>
      <c r="J41" s="180"/>
      <c r="K41" s="167"/>
    </row>
    <row r="42" spans="1:11">
      <c r="A42" s="168"/>
      <c r="B42" s="1601" t="s">
        <v>710</v>
      </c>
      <c r="C42" s="1601"/>
      <c r="D42" s="174">
        <f>SUM(D30:D41)</f>
        <v>966139828.48000014</v>
      </c>
      <c r="E42" s="174">
        <f>SUM(E30:E41)</f>
        <v>934854884.28999996</v>
      </c>
      <c r="G42" s="1601" t="s">
        <v>724</v>
      </c>
      <c r="H42" s="1601"/>
      <c r="I42" s="174">
        <f>I27+I32+I37</f>
        <v>1168427958.9100001</v>
      </c>
      <c r="J42" s="174">
        <f>J27+J32+J37</f>
        <v>1154448114.7</v>
      </c>
      <c r="K42" s="167"/>
    </row>
    <row r="43" spans="1:11">
      <c r="A43" s="168"/>
      <c r="B43" s="178"/>
      <c r="C43" s="172"/>
      <c r="D43" s="180"/>
      <c r="E43" s="180"/>
      <c r="G43" s="178"/>
      <c r="H43" s="170"/>
      <c r="I43" s="180"/>
      <c r="J43" s="180"/>
      <c r="K43" s="167"/>
    </row>
    <row r="44" spans="1:11">
      <c r="A44" s="168"/>
      <c r="B44" s="824" t="s">
        <v>712</v>
      </c>
      <c r="C44" s="824"/>
      <c r="D44" s="174">
        <f>D22+D42</f>
        <v>1170103498.3400002</v>
      </c>
      <c r="E44" s="174">
        <f>E22+E42</f>
        <v>1157748367.0799999</v>
      </c>
      <c r="G44" s="1601" t="s">
        <v>725</v>
      </c>
      <c r="H44" s="1601"/>
      <c r="I44" s="174">
        <f>I22+I42</f>
        <v>1170103498.3400002</v>
      </c>
      <c r="J44" s="174">
        <f>J22+J42</f>
        <v>1157748367.0800002</v>
      </c>
      <c r="K44" s="167"/>
    </row>
    <row r="45" spans="1:11" ht="6" customHeight="1">
      <c r="A45" s="189"/>
      <c r="B45" s="190"/>
      <c r="C45" s="190"/>
      <c r="D45" s="190"/>
      <c r="E45" s="190"/>
      <c r="F45" s="191"/>
      <c r="G45" s="190"/>
      <c r="H45" s="190"/>
      <c r="I45" s="190"/>
      <c r="J45" s="190"/>
      <c r="K45" s="192"/>
    </row>
    <row r="46" spans="1:11" ht="6" customHeight="1">
      <c r="B46" s="170"/>
      <c r="C46" s="193"/>
      <c r="D46" s="194"/>
      <c r="E46" s="194"/>
      <c r="G46" s="195"/>
      <c r="H46" s="193"/>
      <c r="I46" s="194"/>
      <c r="J46" s="194"/>
    </row>
    <row r="47" spans="1:11" ht="6" customHeight="1">
      <c r="A47" s="196"/>
      <c r="B47" s="197"/>
      <c r="C47" s="198"/>
      <c r="D47" s="199"/>
      <c r="E47" s="199"/>
      <c r="F47" s="191"/>
      <c r="G47" s="200"/>
      <c r="H47" s="198"/>
      <c r="I47" s="199"/>
      <c r="J47" s="199"/>
    </row>
    <row r="48" spans="1:11" ht="6" customHeight="1">
      <c r="B48" s="170"/>
      <c r="C48" s="193"/>
      <c r="D48" s="194"/>
      <c r="E48" s="194"/>
      <c r="G48" s="195"/>
      <c r="H48" s="193"/>
      <c r="I48" s="194"/>
      <c r="J48" s="194"/>
    </row>
    <row r="49" spans="2:10" ht="15" customHeight="1">
      <c r="B49" s="1604" t="s">
        <v>668</v>
      </c>
      <c r="C49" s="1604"/>
      <c r="D49" s="1604"/>
      <c r="E49" s="1604"/>
      <c r="F49" s="1604"/>
      <c r="G49" s="1604"/>
      <c r="H49" s="1604"/>
      <c r="I49" s="1604"/>
      <c r="J49" s="1604"/>
    </row>
    <row r="50" spans="2:10" ht="9.75" customHeight="1">
      <c r="B50" s="170"/>
      <c r="C50" s="193"/>
      <c r="D50" s="194"/>
      <c r="E50" s="194"/>
      <c r="G50" s="195"/>
      <c r="H50" s="193"/>
      <c r="I50" s="194"/>
      <c r="J50" s="194"/>
    </row>
    <row r="51" spans="2:10" ht="50.1" customHeight="1">
      <c r="B51" s="170"/>
      <c r="C51" s="1605"/>
      <c r="D51" s="1605"/>
      <c r="E51" s="194"/>
      <c r="G51" s="1606"/>
      <c r="H51" s="1606"/>
      <c r="I51" s="194"/>
      <c r="J51" s="194"/>
    </row>
    <row r="52" spans="2:10" ht="14.1" customHeight="1">
      <c r="B52" s="201"/>
      <c r="C52" s="1607" t="s">
        <v>2872</v>
      </c>
      <c r="D52" s="1607"/>
      <c r="E52" s="194"/>
      <c r="F52" s="202"/>
      <c r="G52" s="1607" t="s">
        <v>669</v>
      </c>
      <c r="H52" s="1607"/>
      <c r="I52" s="171"/>
      <c r="J52" s="194"/>
    </row>
    <row r="53" spans="2:10" ht="14.1" customHeight="1">
      <c r="B53" s="203"/>
      <c r="C53" s="1602" t="s">
        <v>1769</v>
      </c>
      <c r="D53" s="1602"/>
      <c r="E53" s="204"/>
      <c r="F53" s="202"/>
      <c r="G53" s="1602" t="s">
        <v>670</v>
      </c>
      <c r="H53" s="1602"/>
      <c r="I53" s="171"/>
      <c r="J53" s="194"/>
    </row>
  </sheetData>
  <sheetProtection formatCells="0" selectLockedCells="1"/>
  <mergeCells count="55">
    <mergeCell ref="C53:D53"/>
    <mergeCell ref="G53:H53"/>
    <mergeCell ref="G44:H44"/>
    <mergeCell ref="B49:J49"/>
    <mergeCell ref="C51:D51"/>
    <mergeCell ref="G51:H51"/>
    <mergeCell ref="C52:D52"/>
    <mergeCell ref="G52:H52"/>
    <mergeCell ref="B42:C42"/>
    <mergeCell ref="G25:H25"/>
    <mergeCell ref="G42:H42"/>
    <mergeCell ref="G29:H29"/>
    <mergeCell ref="G30:H30"/>
    <mergeCell ref="G32:H32"/>
    <mergeCell ref="G34:H34"/>
    <mergeCell ref="G35:H35"/>
    <mergeCell ref="G37:H37"/>
    <mergeCell ref="G39:H39"/>
    <mergeCell ref="G40:H40"/>
    <mergeCell ref="B34:C34"/>
    <mergeCell ref="B35:C35"/>
    <mergeCell ref="B36:C36"/>
    <mergeCell ref="B37:C37"/>
    <mergeCell ref="B38:C38"/>
    <mergeCell ref="B31:C31"/>
    <mergeCell ref="G31:H31"/>
    <mergeCell ref="B32:C32"/>
    <mergeCell ref="B33:C33"/>
    <mergeCell ref="G27:H27"/>
    <mergeCell ref="B18:C18"/>
    <mergeCell ref="G18:H18"/>
    <mergeCell ref="B19:C19"/>
    <mergeCell ref="B30:C30"/>
    <mergeCell ref="B21:C21"/>
    <mergeCell ref="G19:H19"/>
    <mergeCell ref="B20:C20"/>
    <mergeCell ref="G24:H24"/>
    <mergeCell ref="B22:C22"/>
    <mergeCell ref="G20:H20"/>
    <mergeCell ref="B28:C28"/>
    <mergeCell ref="G22:H22"/>
    <mergeCell ref="B13:C13"/>
    <mergeCell ref="G13:H13"/>
    <mergeCell ref="B15:C15"/>
    <mergeCell ref="G15:H15"/>
    <mergeCell ref="B17:C17"/>
    <mergeCell ref="G17:H17"/>
    <mergeCell ref="A9:A10"/>
    <mergeCell ref="B9:C10"/>
    <mergeCell ref="F9:F10"/>
    <mergeCell ref="G9:H10"/>
    <mergeCell ref="C3:I3"/>
    <mergeCell ref="C4:I4"/>
    <mergeCell ref="C5:I5"/>
    <mergeCell ref="C6:I6"/>
  </mergeCells>
  <printOptions horizontalCentered="1" verticalCentered="1"/>
  <pageMargins left="0" right="0" top="0.94488188976377963" bottom="0.59055118110236227" header="0" footer="0"/>
  <pageSetup scale="79" orientation="landscape" r:id="rId1"/>
  <ignoredErrors>
    <ignoredError sqref="I17:I19 I34:I35 D30:D35 D17:D18 D20" unlocked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C57C43-F3EB-48F6-9E4E-CADF101A0693}">
  <sheetPr>
    <pageSetUpPr fitToPage="1"/>
  </sheetPr>
  <dimension ref="A1:H54"/>
  <sheetViews>
    <sheetView topLeftCell="A37" workbookViewId="0">
      <selection activeCell="C14" sqref="C14"/>
    </sheetView>
  </sheetViews>
  <sheetFormatPr baseColWidth="10" defaultColWidth="11.5703125" defaultRowHeight="15"/>
  <cols>
    <col min="1" max="1" width="2.7109375" style="856" customWidth="1"/>
    <col min="2" max="2" width="38.140625" style="856" customWidth="1"/>
    <col min="3" max="4" width="14.7109375" style="857" customWidth="1"/>
    <col min="5" max="5" width="7.85546875" style="856" customWidth="1"/>
    <col min="6" max="6" width="35.140625" style="856" customWidth="1"/>
    <col min="7" max="8" width="14.7109375" style="857" customWidth="1"/>
    <col min="9" max="16384" width="11.5703125" style="856"/>
  </cols>
  <sheetData>
    <row r="1" spans="2:8" ht="16.899999999999999" customHeight="1" thickBot="1"/>
    <row r="2" spans="2:8" ht="16.899999999999999" customHeight="1">
      <c r="B2" s="1635" t="s">
        <v>2992</v>
      </c>
      <c r="C2" s="1636"/>
      <c r="D2" s="1636"/>
      <c r="E2" s="1636"/>
      <c r="F2" s="1636"/>
      <c r="G2" s="1636"/>
      <c r="H2" s="1637"/>
    </row>
    <row r="3" spans="2:8">
      <c r="B3" s="1613" t="s">
        <v>671</v>
      </c>
      <c r="C3" s="1614"/>
      <c r="D3" s="1614"/>
      <c r="E3" s="1614"/>
      <c r="F3" s="1614"/>
      <c r="G3" s="1614"/>
      <c r="H3" s="1615"/>
    </row>
    <row r="4" spans="2:8" ht="15.75" thickBot="1">
      <c r="B4" s="1616"/>
      <c r="C4" s="1617"/>
      <c r="D4" s="1617"/>
      <c r="E4" s="1617"/>
      <c r="F4" s="1617"/>
      <c r="G4" s="1617"/>
      <c r="H4" s="1618"/>
    </row>
    <row r="5" spans="2:8">
      <c r="B5" s="880" t="s">
        <v>1022</v>
      </c>
      <c r="C5" s="881" t="s">
        <v>5933</v>
      </c>
      <c r="D5" s="881" t="s">
        <v>4880</v>
      </c>
      <c r="E5" s="882"/>
      <c r="F5" s="882" t="s">
        <v>673</v>
      </c>
      <c r="G5" s="881" t="s">
        <v>5933</v>
      </c>
      <c r="H5" s="883" t="s">
        <v>4880</v>
      </c>
    </row>
    <row r="6" spans="2:8">
      <c r="B6" s="1638"/>
      <c r="C6" s="1639"/>
      <c r="D6" s="1639"/>
      <c r="E6" s="884"/>
      <c r="F6" s="1639"/>
      <c r="G6" s="1639"/>
      <c r="H6" s="1640"/>
    </row>
    <row r="7" spans="2:8">
      <c r="B7" s="835" t="s">
        <v>674</v>
      </c>
      <c r="C7" s="885"/>
      <c r="D7" s="885"/>
      <c r="E7" s="884"/>
      <c r="F7" s="886" t="s">
        <v>675</v>
      </c>
      <c r="G7" s="887"/>
      <c r="H7" s="859"/>
    </row>
    <row r="8" spans="2:8">
      <c r="B8" s="860" t="s">
        <v>676</v>
      </c>
      <c r="C8" s="833">
        <f>+ESF!D17</f>
        <v>184667850.49000001</v>
      </c>
      <c r="D8" s="833">
        <f>+ESF!E17</f>
        <v>192432921.41000003</v>
      </c>
      <c r="E8" s="884"/>
      <c r="F8" s="888" t="s">
        <v>677</v>
      </c>
      <c r="G8" s="833">
        <f>+ESF!I17</f>
        <v>1664328.67</v>
      </c>
      <c r="H8" s="834">
        <f>+ESF!J17</f>
        <v>3290802.8</v>
      </c>
    </row>
    <row r="9" spans="2:8" ht="23.45" customHeight="1">
      <c r="B9" s="861" t="s">
        <v>678</v>
      </c>
      <c r="C9" s="833">
        <f>+ESF!D18</f>
        <v>18347330.919999998</v>
      </c>
      <c r="D9" s="833">
        <f>+ESF!E18</f>
        <v>30004506.859999999</v>
      </c>
      <c r="E9" s="889"/>
      <c r="F9" s="890" t="s">
        <v>679</v>
      </c>
      <c r="G9" s="833">
        <f>+ESF!I18</f>
        <v>0</v>
      </c>
      <c r="H9" s="834">
        <f>+ESF!J18</f>
        <v>0</v>
      </c>
    </row>
    <row r="10" spans="2:8" ht="24">
      <c r="B10" s="860" t="s">
        <v>680</v>
      </c>
      <c r="C10" s="833">
        <f>+ESF!D19</f>
        <v>785385.31</v>
      </c>
      <c r="D10" s="833">
        <f>+ESF!E19</f>
        <v>292951.38</v>
      </c>
      <c r="E10" s="884"/>
      <c r="F10" s="888" t="s">
        <v>681</v>
      </c>
      <c r="G10" s="833">
        <v>0</v>
      </c>
      <c r="H10" s="834">
        <v>0</v>
      </c>
    </row>
    <row r="11" spans="2:8">
      <c r="B11" s="860" t="s">
        <v>4891</v>
      </c>
      <c r="C11" s="833">
        <v>0</v>
      </c>
      <c r="D11" s="833">
        <v>0</v>
      </c>
      <c r="E11" s="884"/>
      <c r="F11" s="888" t="s">
        <v>683</v>
      </c>
      <c r="G11" s="833">
        <v>0</v>
      </c>
      <c r="H11" s="834">
        <v>0</v>
      </c>
    </row>
    <row r="12" spans="2:8">
      <c r="B12" s="860" t="s">
        <v>684</v>
      </c>
      <c r="C12" s="833">
        <v>0</v>
      </c>
      <c r="D12" s="833">
        <v>0</v>
      </c>
      <c r="E12" s="884"/>
      <c r="F12" s="888" t="s">
        <v>685</v>
      </c>
      <c r="G12" s="833">
        <f>+ESF!I19</f>
        <v>11210.76</v>
      </c>
      <c r="H12" s="834">
        <f>+ESF!J19</f>
        <v>9449.58</v>
      </c>
    </row>
    <row r="13" spans="2:8" ht="24">
      <c r="B13" s="860" t="s">
        <v>686</v>
      </c>
      <c r="C13" s="833">
        <v>0</v>
      </c>
      <c r="D13" s="833">
        <v>0</v>
      </c>
      <c r="E13" s="884"/>
      <c r="F13" s="888" t="s">
        <v>4892</v>
      </c>
      <c r="G13" s="833">
        <v>0</v>
      </c>
      <c r="H13" s="834">
        <v>0</v>
      </c>
    </row>
    <row r="14" spans="2:8">
      <c r="B14" s="860" t="s">
        <v>4893</v>
      </c>
      <c r="C14" s="833">
        <f>+ESF!D20</f>
        <v>163103.14000000001</v>
      </c>
      <c r="D14" s="833">
        <f>+ESF!E20</f>
        <v>163103.14000000001</v>
      </c>
      <c r="E14" s="884"/>
      <c r="F14" s="888" t="s">
        <v>688</v>
      </c>
      <c r="G14" s="833">
        <v>0</v>
      </c>
      <c r="H14" s="834">
        <v>0</v>
      </c>
    </row>
    <row r="15" spans="2:8">
      <c r="B15" s="860"/>
      <c r="C15" s="836"/>
      <c r="D15" s="836"/>
      <c r="E15" s="891"/>
      <c r="F15" s="888" t="s">
        <v>689</v>
      </c>
      <c r="G15" s="833">
        <v>0</v>
      </c>
      <c r="H15" s="834">
        <v>0</v>
      </c>
    </row>
    <row r="16" spans="2:8">
      <c r="B16" s="863" t="s">
        <v>4894</v>
      </c>
      <c r="C16" s="864">
        <f>SUM(C8:C14)</f>
        <v>203963669.85999998</v>
      </c>
      <c r="D16" s="864">
        <f>SUM(D8:D14)</f>
        <v>222893482.79000002</v>
      </c>
      <c r="E16" s="884"/>
      <c r="F16" s="888"/>
      <c r="G16" s="892"/>
      <c r="H16" s="865"/>
    </row>
    <row r="17" spans="2:8">
      <c r="B17" s="863"/>
      <c r="C17" s="892"/>
      <c r="D17" s="892"/>
      <c r="E17" s="884"/>
      <c r="F17" s="893" t="s">
        <v>691</v>
      </c>
      <c r="G17" s="864">
        <f>SUM(G8:G15)</f>
        <v>1675539.43</v>
      </c>
      <c r="H17" s="866">
        <f>SUM(H8:H15)</f>
        <v>3300252.38</v>
      </c>
    </row>
    <row r="18" spans="2:8" ht="16.899999999999999" customHeight="1">
      <c r="B18" s="830" t="s">
        <v>692</v>
      </c>
      <c r="C18" s="894"/>
      <c r="D18" s="894"/>
      <c r="E18" s="891"/>
      <c r="F18" s="893"/>
      <c r="G18" s="895"/>
      <c r="H18" s="867"/>
    </row>
    <row r="19" spans="2:8" ht="16.899999999999999" customHeight="1">
      <c r="B19" s="860" t="s">
        <v>694</v>
      </c>
      <c r="C19" s="833">
        <f>+ESF!D30</f>
        <v>1758830</v>
      </c>
      <c r="D19" s="833">
        <f>+ESF!E30</f>
        <v>1758830</v>
      </c>
      <c r="E19" s="884"/>
      <c r="F19" s="886" t="s">
        <v>693</v>
      </c>
      <c r="G19" s="894"/>
      <c r="H19" s="868"/>
    </row>
    <row r="20" spans="2:8" ht="24">
      <c r="B20" s="860" t="s">
        <v>696</v>
      </c>
      <c r="C20" s="833">
        <f>+ESF!D31</f>
        <v>0</v>
      </c>
      <c r="D20" s="833">
        <f>+ESF!E31</f>
        <v>0</v>
      </c>
      <c r="E20" s="884"/>
      <c r="F20" s="888" t="s">
        <v>695</v>
      </c>
      <c r="G20" s="896">
        <v>0</v>
      </c>
      <c r="H20" s="869">
        <v>0</v>
      </c>
    </row>
    <row r="21" spans="2:8" ht="24">
      <c r="B21" s="860" t="s">
        <v>698</v>
      </c>
      <c r="C21" s="833">
        <f>+ESF!D32</f>
        <v>980297651.08000004</v>
      </c>
      <c r="D21" s="833">
        <f>+ESF!E32</f>
        <v>947679244.29999995</v>
      </c>
      <c r="E21" s="884"/>
      <c r="F21" s="888" t="s">
        <v>697</v>
      </c>
      <c r="G21" s="896">
        <v>0</v>
      </c>
      <c r="H21" s="869">
        <v>0</v>
      </c>
    </row>
    <row r="22" spans="2:8">
      <c r="B22" s="860" t="s">
        <v>700</v>
      </c>
      <c r="C22" s="833">
        <f>+ESF!D33</f>
        <v>12318241.439999999</v>
      </c>
      <c r="D22" s="833">
        <f>+ESF!E33</f>
        <v>12279237.109999999</v>
      </c>
      <c r="E22" s="884"/>
      <c r="F22" s="888" t="s">
        <v>699</v>
      </c>
      <c r="G22" s="896">
        <v>0</v>
      </c>
      <c r="H22" s="869">
        <v>0</v>
      </c>
    </row>
    <row r="23" spans="2:8">
      <c r="B23" s="860" t="s">
        <v>702</v>
      </c>
      <c r="C23" s="833">
        <f>+ESF!D34</f>
        <v>8744971.7599999998</v>
      </c>
      <c r="D23" s="833">
        <f>+ESF!E34</f>
        <v>8744971.7599999998</v>
      </c>
      <c r="E23" s="884"/>
      <c r="F23" s="888" t="s">
        <v>701</v>
      </c>
      <c r="G23" s="833">
        <v>0</v>
      </c>
      <c r="H23" s="834">
        <v>0</v>
      </c>
    </row>
    <row r="24" spans="2:8" ht="24">
      <c r="B24" s="860" t="s">
        <v>703</v>
      </c>
      <c r="C24" s="833">
        <f>+ESF!D35</f>
        <v>-36979865.799999997</v>
      </c>
      <c r="D24" s="833">
        <f>+ESF!E35</f>
        <v>-35607398.879999995</v>
      </c>
      <c r="E24" s="884"/>
      <c r="F24" s="888" t="s">
        <v>4895</v>
      </c>
      <c r="G24" s="896">
        <v>0</v>
      </c>
      <c r="H24" s="869">
        <v>0</v>
      </c>
    </row>
    <row r="25" spans="2:8">
      <c r="B25" s="860" t="s">
        <v>705</v>
      </c>
      <c r="C25" s="833">
        <v>0</v>
      </c>
      <c r="D25" s="833">
        <v>0</v>
      </c>
      <c r="E25" s="884"/>
      <c r="F25" s="888" t="s">
        <v>704</v>
      </c>
      <c r="G25" s="896">
        <v>0</v>
      </c>
      <c r="H25" s="869">
        <v>0</v>
      </c>
    </row>
    <row r="26" spans="2:8" ht="24">
      <c r="B26" s="860" t="s">
        <v>706</v>
      </c>
      <c r="C26" s="833">
        <v>0</v>
      </c>
      <c r="D26" s="833">
        <v>0</v>
      </c>
      <c r="E26" s="884"/>
      <c r="F26" s="888"/>
      <c r="G26" s="892"/>
      <c r="H26" s="865"/>
    </row>
    <row r="27" spans="2:8">
      <c r="B27" s="860"/>
      <c r="C27" s="892"/>
      <c r="D27" s="892"/>
      <c r="E27" s="884"/>
      <c r="F27" s="893" t="s">
        <v>707</v>
      </c>
      <c r="G27" s="864">
        <f>SUM(G20:G25)</f>
        <v>0</v>
      </c>
      <c r="H27" s="866">
        <f>SUM(H20:H25)</f>
        <v>0</v>
      </c>
    </row>
    <row r="28" spans="2:8">
      <c r="B28" s="860" t="s">
        <v>708</v>
      </c>
      <c r="C28" s="833">
        <v>0</v>
      </c>
      <c r="D28" s="896">
        <v>0</v>
      </c>
      <c r="E28" s="884"/>
      <c r="F28" s="893"/>
      <c r="G28" s="895"/>
      <c r="H28" s="867"/>
    </row>
    <row r="29" spans="2:8">
      <c r="B29" s="870"/>
      <c r="C29" s="892"/>
      <c r="D29" s="892"/>
      <c r="E29" s="884"/>
      <c r="F29" s="897" t="s">
        <v>4896</v>
      </c>
      <c r="G29" s="894">
        <f>SUM(G27,G17)</f>
        <v>1675539.43</v>
      </c>
      <c r="H29" s="868">
        <f>SUM(H27,H17)</f>
        <v>3300252.38</v>
      </c>
    </row>
    <row r="30" spans="2:8">
      <c r="B30" s="863" t="s">
        <v>4897</v>
      </c>
      <c r="C30" s="892">
        <f>SUM(C19:C28)</f>
        <v>966139828.48000014</v>
      </c>
      <c r="D30" s="892">
        <f>SUM(D19:D28)</f>
        <v>934854884.28999996</v>
      </c>
      <c r="E30" s="884"/>
      <c r="F30" s="897"/>
      <c r="G30" s="898"/>
      <c r="H30" s="871"/>
    </row>
    <row r="31" spans="2:8">
      <c r="B31" s="870"/>
      <c r="C31" s="836"/>
      <c r="D31" s="836"/>
      <c r="E31" s="884"/>
      <c r="F31" s="886" t="s">
        <v>4898</v>
      </c>
      <c r="G31" s="894"/>
      <c r="H31" s="868"/>
    </row>
    <row r="32" spans="2:8">
      <c r="B32" s="872" t="s">
        <v>712</v>
      </c>
      <c r="C32" s="894">
        <f>SUM(C30,C16)</f>
        <v>1170103498.3400002</v>
      </c>
      <c r="D32" s="894">
        <f>SUM(D30,D16)</f>
        <v>1157748367.0799999</v>
      </c>
      <c r="E32" s="884"/>
      <c r="F32" s="886"/>
      <c r="G32" s="894"/>
      <c r="H32" s="868"/>
    </row>
    <row r="33" spans="2:8">
      <c r="B33" s="870"/>
      <c r="C33" s="873"/>
      <c r="D33" s="873"/>
      <c r="E33" s="884"/>
      <c r="F33" s="897" t="s">
        <v>713</v>
      </c>
      <c r="G33" s="894">
        <f>SUM(G34:G36)</f>
        <v>278482908.89999998</v>
      </c>
      <c r="H33" s="868">
        <f>SUM(H34:H36)</f>
        <v>278482908.89999998</v>
      </c>
    </row>
    <row r="34" spans="2:8">
      <c r="B34" s="1633"/>
      <c r="C34" s="1634"/>
      <c r="D34" s="1634"/>
      <c r="E34" s="884"/>
      <c r="F34" s="888" t="s">
        <v>647</v>
      </c>
      <c r="G34" s="833">
        <f>+ESF!I29</f>
        <v>10952891.960000001</v>
      </c>
      <c r="H34" s="834">
        <f>+ESF!J29</f>
        <v>10952891.960000001</v>
      </c>
    </row>
    <row r="35" spans="2:8">
      <c r="B35" s="1633"/>
      <c r="C35" s="1634"/>
      <c r="D35" s="1634"/>
      <c r="E35" s="884"/>
      <c r="F35" s="888" t="s">
        <v>714</v>
      </c>
      <c r="G35" s="833">
        <v>0</v>
      </c>
      <c r="H35" s="834">
        <v>0</v>
      </c>
    </row>
    <row r="36" spans="2:8" ht="24">
      <c r="B36" s="1633"/>
      <c r="C36" s="1634"/>
      <c r="D36" s="1634"/>
      <c r="E36" s="884"/>
      <c r="F36" s="888" t="s">
        <v>763</v>
      </c>
      <c r="G36" s="833">
        <f>+ESF!I30</f>
        <v>267530016.94</v>
      </c>
      <c r="H36" s="834">
        <f>+ESF!J30</f>
        <v>267530016.94</v>
      </c>
    </row>
    <row r="37" spans="2:8">
      <c r="B37" s="1641"/>
      <c r="C37" s="1642"/>
      <c r="D37" s="1642"/>
      <c r="E37" s="884"/>
      <c r="F37" s="886"/>
      <c r="G37" s="831"/>
      <c r="H37" s="832"/>
    </row>
    <row r="38" spans="2:8" ht="16.899999999999999" customHeight="1">
      <c r="B38" s="1638"/>
      <c r="C38" s="1639"/>
      <c r="D38" s="1639"/>
      <c r="E38" s="899"/>
      <c r="F38" s="897" t="s">
        <v>716</v>
      </c>
      <c r="G38" s="831">
        <f>SUM(G39:G43)</f>
        <v>869368823.5</v>
      </c>
      <c r="H38" s="832">
        <f>SUM(H39:H43)</f>
        <v>855388979.29000008</v>
      </c>
    </row>
    <row r="39" spans="2:8" ht="24">
      <c r="B39" s="1641"/>
      <c r="C39" s="1642"/>
      <c r="D39" s="1642"/>
      <c r="E39" s="884"/>
      <c r="F39" s="888" t="s">
        <v>4899</v>
      </c>
      <c r="G39" s="833">
        <f>+ESF!I34</f>
        <v>13979844.210000001</v>
      </c>
      <c r="H39" s="834">
        <f>+ESF!J34</f>
        <v>82707402.840000004</v>
      </c>
    </row>
    <row r="40" spans="2:8">
      <c r="B40" s="1641"/>
      <c r="C40" s="1642"/>
      <c r="D40" s="1642"/>
      <c r="E40" s="884"/>
      <c r="F40" s="888" t="s">
        <v>718</v>
      </c>
      <c r="G40" s="833">
        <f>+ESF!I35</f>
        <v>855388979.28999996</v>
      </c>
      <c r="H40" s="834">
        <f>+ESF!J35</f>
        <v>772681576.45000005</v>
      </c>
    </row>
    <row r="41" spans="2:8">
      <c r="B41" s="1641"/>
      <c r="C41" s="1642"/>
      <c r="D41" s="1642"/>
      <c r="E41" s="884"/>
      <c r="F41" s="888" t="s">
        <v>719</v>
      </c>
      <c r="G41" s="896">
        <v>0</v>
      </c>
      <c r="H41" s="869">
        <v>0</v>
      </c>
    </row>
    <row r="42" spans="2:8" ht="17.45" customHeight="1">
      <c r="B42" s="1641"/>
      <c r="C42" s="1642"/>
      <c r="D42" s="1642"/>
      <c r="E42" s="884"/>
      <c r="F42" s="888" t="s">
        <v>720</v>
      </c>
      <c r="G42" s="896">
        <v>0</v>
      </c>
      <c r="H42" s="869">
        <v>0</v>
      </c>
    </row>
    <row r="43" spans="2:8" ht="24">
      <c r="B43" s="1641"/>
      <c r="C43" s="1642"/>
      <c r="D43" s="1642"/>
      <c r="E43" s="884"/>
      <c r="F43" s="888" t="s">
        <v>231</v>
      </c>
      <c r="G43" s="833">
        <v>0</v>
      </c>
      <c r="H43" s="834">
        <v>0</v>
      </c>
    </row>
    <row r="44" spans="2:8">
      <c r="B44" s="1633"/>
      <c r="C44" s="1634"/>
      <c r="D44" s="1634"/>
      <c r="E44" s="884"/>
      <c r="F44" s="886"/>
      <c r="G44" s="831"/>
      <c r="H44" s="832"/>
    </row>
    <row r="45" spans="2:8" ht="36">
      <c r="B45" s="1638"/>
      <c r="C45" s="1639"/>
      <c r="D45" s="1639"/>
      <c r="E45" s="891"/>
      <c r="F45" s="897" t="s">
        <v>727</v>
      </c>
      <c r="G45" s="831">
        <f>SUM(G46:G47)</f>
        <v>20576226.51000002</v>
      </c>
      <c r="H45" s="832">
        <f>SUM(H46:H47)</f>
        <v>20576226.51000002</v>
      </c>
    </row>
    <row r="46" spans="2:8">
      <c r="B46" s="1633"/>
      <c r="C46" s="1634"/>
      <c r="D46" s="1634"/>
      <c r="E46" s="884"/>
      <c r="F46" s="888" t="s">
        <v>722</v>
      </c>
      <c r="G46" s="833">
        <f>+ESF!I39</f>
        <v>-167471499.56999999</v>
      </c>
      <c r="H46" s="834">
        <f>+ESF!J39</f>
        <v>-167471499.56999999</v>
      </c>
    </row>
    <row r="47" spans="2:8" ht="24">
      <c r="B47" s="1633"/>
      <c r="C47" s="1634"/>
      <c r="D47" s="1634"/>
      <c r="E47" s="884"/>
      <c r="F47" s="888" t="s">
        <v>723</v>
      </c>
      <c r="G47" s="833">
        <f>+ESF!I40</f>
        <v>188047726.08000001</v>
      </c>
      <c r="H47" s="834">
        <f>+ESF!J40</f>
        <v>188047726.08000001</v>
      </c>
    </row>
    <row r="48" spans="2:8">
      <c r="B48" s="1641"/>
      <c r="C48" s="1642"/>
      <c r="D48" s="1642"/>
      <c r="E48" s="884"/>
      <c r="F48" s="886"/>
      <c r="G48" s="874"/>
      <c r="H48" s="875"/>
    </row>
    <row r="49" spans="1:8">
      <c r="B49" s="1638"/>
      <c r="C49" s="1639"/>
      <c r="D49" s="1639"/>
      <c r="E49" s="891"/>
      <c r="F49" s="893" t="s">
        <v>4900</v>
      </c>
      <c r="G49" s="864">
        <f>SUM(G45,G38,G33)</f>
        <v>1168427958.9099998</v>
      </c>
      <c r="H49" s="866">
        <f>SUM(H45,H38,H33)</f>
        <v>1154448114.7</v>
      </c>
    </row>
    <row r="50" spans="1:8">
      <c r="B50" s="1641"/>
      <c r="C50" s="1642"/>
      <c r="D50" s="1642"/>
      <c r="E50" s="884"/>
      <c r="F50" s="886"/>
      <c r="G50" s="831"/>
      <c r="H50" s="832"/>
    </row>
    <row r="51" spans="1:8" ht="24">
      <c r="B51" s="1638"/>
      <c r="C51" s="1639"/>
      <c r="D51" s="1639"/>
      <c r="E51" s="891"/>
      <c r="F51" s="897" t="s">
        <v>4901</v>
      </c>
      <c r="G51" s="894">
        <f>SUM(G49,G29)</f>
        <v>1170103498.3399999</v>
      </c>
      <c r="H51" s="868">
        <f>SUM(H49,H29)</f>
        <v>1157748367.0800002</v>
      </c>
    </row>
    <row r="52" spans="1:8" ht="15.75" thickBot="1">
      <c r="A52" s="876" t="s">
        <v>4902</v>
      </c>
      <c r="B52" s="1645"/>
      <c r="C52" s="1643"/>
      <c r="D52" s="1643"/>
      <c r="E52" s="877"/>
      <c r="F52" s="1643"/>
      <c r="G52" s="1643"/>
      <c r="H52" s="1644"/>
    </row>
    <row r="54" spans="1:8" ht="16.899999999999999" customHeight="1">
      <c r="B54" s="878"/>
      <c r="C54" s="879"/>
      <c r="D54" s="879"/>
      <c r="E54" s="878"/>
      <c r="F54" s="878"/>
      <c r="G54" s="879"/>
      <c r="H54" s="879"/>
    </row>
  </sheetData>
  <mergeCells count="25">
    <mergeCell ref="F52:H52"/>
    <mergeCell ref="B47:D47"/>
    <mergeCell ref="B48:D48"/>
    <mergeCell ref="B49:D49"/>
    <mergeCell ref="B50:D50"/>
    <mergeCell ref="B51:D51"/>
    <mergeCell ref="B52:D52"/>
    <mergeCell ref="B46:D46"/>
    <mergeCell ref="B35:D35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34:D34"/>
    <mergeCell ref="B2:H2"/>
    <mergeCell ref="B3:H3"/>
    <mergeCell ref="B4:H4"/>
    <mergeCell ref="B6:D6"/>
    <mergeCell ref="F6:H6"/>
  </mergeCells>
  <pageMargins left="0.70866141732283472" right="0.70866141732283472" top="0.74803149606299213" bottom="0.74803149606299213" header="0.31496062992125984" footer="0.31496062992125984"/>
  <pageSetup scale="65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>
    <pageSetUpPr fitToPage="1"/>
  </sheetPr>
  <dimension ref="A1:L100"/>
  <sheetViews>
    <sheetView topLeftCell="A70" zoomScaleNormal="100" zoomScalePageLayoutView="80" workbookViewId="0">
      <selection activeCell="D37" sqref="D37"/>
    </sheetView>
  </sheetViews>
  <sheetFormatPr baseColWidth="10" defaultRowHeight="12"/>
  <cols>
    <col min="1" max="1" width="3" style="157" customWidth="1"/>
    <col min="2" max="2" width="2.7109375" style="156" customWidth="1"/>
    <col min="3" max="3" width="48.85546875" style="157" customWidth="1"/>
    <col min="4" max="5" width="21" style="157" customWidth="1"/>
    <col min="6" max="6" width="11" style="158" customWidth="1"/>
    <col min="7" max="7" width="2.7109375" style="157" customWidth="1"/>
    <col min="8" max="8" width="51.42578125" style="157" customWidth="1"/>
    <col min="9" max="10" width="21" style="157" customWidth="1"/>
    <col min="11" max="11" width="4.85546875" style="157" customWidth="1"/>
    <col min="12" max="12" width="1.7109375" style="156" customWidth="1"/>
    <col min="13" max="16384" width="11.42578125" style="157"/>
  </cols>
  <sheetData>
    <row r="1" spans="1:12" ht="6" customHeight="1">
      <c r="A1" s="153"/>
      <c r="B1" s="154"/>
      <c r="C1" s="153"/>
      <c r="D1" s="153"/>
      <c r="E1" s="153"/>
      <c r="F1" s="155"/>
      <c r="G1" s="153"/>
      <c r="H1" s="153"/>
      <c r="I1" s="153"/>
      <c r="J1" s="153"/>
      <c r="K1" s="153"/>
    </row>
    <row r="2" spans="1:12" ht="6" customHeight="1"/>
    <row r="3" spans="1:12" ht="14.1" customHeight="1">
      <c r="B3" s="159"/>
      <c r="C3" s="1631" t="s">
        <v>2992</v>
      </c>
      <c r="D3" s="1631"/>
      <c r="E3" s="1631"/>
      <c r="F3" s="1631"/>
      <c r="G3" s="1631"/>
      <c r="H3" s="1631"/>
      <c r="I3" s="1631"/>
      <c r="J3" s="159"/>
      <c r="K3" s="159"/>
    </row>
    <row r="4" spans="1:12" ht="14.1" customHeight="1">
      <c r="B4" s="451"/>
      <c r="C4" s="1631" t="s">
        <v>671</v>
      </c>
      <c r="D4" s="1631"/>
      <c r="E4" s="1631"/>
      <c r="F4" s="1631"/>
      <c r="G4" s="1631"/>
      <c r="H4" s="1631"/>
      <c r="I4" s="1631"/>
      <c r="J4" s="159"/>
      <c r="K4" s="159"/>
    </row>
    <row r="5" spans="1:12" ht="14.1" customHeight="1">
      <c r="B5" s="451"/>
      <c r="C5" s="1631" t="str">
        <f>+ESF!C5</f>
        <v>Al 30 de abril de 2021</v>
      </c>
      <c r="D5" s="1631"/>
      <c r="E5" s="1631"/>
      <c r="F5" s="1631"/>
      <c r="G5" s="1631"/>
      <c r="H5" s="1631"/>
      <c r="I5" s="1631"/>
      <c r="J5" s="159"/>
      <c r="K5" s="159"/>
    </row>
    <row r="6" spans="1:12" ht="14.1" customHeight="1">
      <c r="B6" s="160"/>
      <c r="C6" s="1632" t="str">
        <f>+EA!C4</f>
        <v>y al 31 de diciembre de 2020</v>
      </c>
      <c r="D6" s="1632"/>
      <c r="E6" s="1632"/>
      <c r="F6" s="1632"/>
      <c r="G6" s="1632"/>
      <c r="H6" s="1632"/>
      <c r="I6" s="1632"/>
      <c r="J6" s="160"/>
      <c r="K6" s="160"/>
    </row>
    <row r="7" spans="1:12" ht="3" customHeight="1">
      <c r="A7" s="160"/>
      <c r="B7" s="160"/>
      <c r="C7" s="160"/>
      <c r="D7" s="160"/>
      <c r="E7" s="160"/>
      <c r="F7" s="163"/>
      <c r="G7" s="160"/>
      <c r="H7" s="160"/>
      <c r="I7" s="160"/>
      <c r="J7" s="160"/>
    </row>
    <row r="8" spans="1:12" ht="3" customHeight="1">
      <c r="A8" s="160"/>
      <c r="B8" s="160"/>
      <c r="C8" s="160"/>
      <c r="D8" s="160"/>
      <c r="E8" s="160"/>
      <c r="F8" s="163"/>
      <c r="G8" s="160"/>
      <c r="H8" s="160"/>
      <c r="I8" s="160"/>
      <c r="J8" s="160"/>
    </row>
    <row r="9" spans="1:12" s="165" customFormat="1" ht="15" customHeight="1">
      <c r="A9" s="1625"/>
      <c r="B9" s="1627" t="s">
        <v>101</v>
      </c>
      <c r="C9" s="1627"/>
      <c r="D9" s="632" t="s">
        <v>1864</v>
      </c>
      <c r="E9" s="632"/>
      <c r="F9" s="1629"/>
      <c r="G9" s="1627" t="s">
        <v>101</v>
      </c>
      <c r="H9" s="1627"/>
      <c r="I9" s="632" t="s">
        <v>1865</v>
      </c>
      <c r="J9" s="632"/>
      <c r="K9" s="633"/>
      <c r="L9" s="164"/>
    </row>
    <row r="10" spans="1:12" s="165" customFormat="1" ht="15" customHeight="1">
      <c r="A10" s="1626"/>
      <c r="B10" s="1628"/>
      <c r="C10" s="1628"/>
      <c r="D10" s="661">
        <v>2021</v>
      </c>
      <c r="E10" s="661">
        <v>2020</v>
      </c>
      <c r="F10" s="1630"/>
      <c r="G10" s="1628"/>
      <c r="H10" s="1628"/>
      <c r="I10" s="661">
        <v>2021</v>
      </c>
      <c r="J10" s="661">
        <v>2020</v>
      </c>
      <c r="K10" s="634"/>
      <c r="L10" s="164"/>
    </row>
    <row r="11" spans="1:12" ht="3" customHeight="1">
      <c r="A11" s="166"/>
      <c r="B11" s="160"/>
      <c r="C11" s="160"/>
      <c r="D11" s="160"/>
      <c r="E11" s="160"/>
      <c r="F11" s="163"/>
      <c r="G11" s="160"/>
      <c r="H11" s="160"/>
      <c r="I11" s="160"/>
      <c r="J11" s="160"/>
      <c r="K11" s="167"/>
    </row>
    <row r="12" spans="1:12" ht="3" customHeight="1">
      <c r="A12" s="166"/>
      <c r="B12" s="160"/>
      <c r="C12" s="160"/>
      <c r="D12" s="160"/>
      <c r="E12" s="160"/>
      <c r="F12" s="163"/>
      <c r="G12" s="160"/>
      <c r="H12" s="160"/>
      <c r="I12" s="160"/>
      <c r="J12" s="160"/>
      <c r="K12" s="167"/>
    </row>
    <row r="13" spans="1:12">
      <c r="A13" s="168"/>
      <c r="B13" s="1599" t="s">
        <v>672</v>
      </c>
      <c r="C13" s="1599"/>
      <c r="D13" s="169"/>
      <c r="E13" s="170"/>
      <c r="G13" s="1599" t="s">
        <v>673</v>
      </c>
      <c r="H13" s="1599"/>
      <c r="I13" s="171"/>
      <c r="J13" s="171"/>
      <c r="K13" s="167"/>
    </row>
    <row r="14" spans="1:12" ht="5.0999999999999996" customHeight="1">
      <c r="A14" s="168"/>
      <c r="B14" s="172"/>
      <c r="C14" s="171"/>
      <c r="D14" s="173"/>
      <c r="E14" s="173"/>
      <c r="G14" s="172"/>
      <c r="H14" s="171"/>
      <c r="I14" s="174"/>
      <c r="J14" s="174"/>
      <c r="K14" s="167"/>
    </row>
    <row r="15" spans="1:12">
      <c r="A15" s="168"/>
      <c r="B15" s="1601" t="s">
        <v>674</v>
      </c>
      <c r="C15" s="1601"/>
      <c r="D15" s="173"/>
      <c r="E15" s="173"/>
      <c r="G15" s="1601" t="s">
        <v>675</v>
      </c>
      <c r="H15" s="1601"/>
      <c r="I15" s="173"/>
      <c r="J15" s="173"/>
      <c r="K15" s="167"/>
    </row>
    <row r="16" spans="1:12" ht="5.0999999999999996" customHeight="1">
      <c r="A16" s="168"/>
      <c r="B16" s="175"/>
      <c r="C16" s="176"/>
      <c r="D16" s="173"/>
      <c r="E16" s="173"/>
      <c r="G16" s="175"/>
      <c r="H16" s="176"/>
      <c r="I16" s="173"/>
      <c r="J16" s="173"/>
      <c r="K16" s="167"/>
    </row>
    <row r="17" spans="1:11" s="156" customFormat="1">
      <c r="A17" s="168"/>
      <c r="B17" s="1597" t="s">
        <v>676</v>
      </c>
      <c r="C17" s="1597"/>
      <c r="D17" s="177">
        <f>SUM(D18:D24)</f>
        <v>184667850.49000001</v>
      </c>
      <c r="E17" s="177">
        <f>SUM(E18:E24)</f>
        <v>192432921.41000003</v>
      </c>
      <c r="F17" s="158"/>
      <c r="G17" s="1597" t="s">
        <v>677</v>
      </c>
      <c r="H17" s="1597"/>
      <c r="I17" s="177">
        <f>SUM(I18:I25)</f>
        <v>1664328.67</v>
      </c>
      <c r="J17" s="177">
        <f>SUM(J18:J25)</f>
        <v>3290802.8</v>
      </c>
      <c r="K17" s="167"/>
    </row>
    <row r="18" spans="1:11" s="156" customFormat="1" ht="12.75" customHeight="1">
      <c r="A18" s="168"/>
      <c r="B18" s="179"/>
      <c r="C18" s="179" t="s">
        <v>1710</v>
      </c>
      <c r="D18" s="177">
        <f>+BALANCE!B12</f>
        <v>11000</v>
      </c>
      <c r="E18" s="177">
        <v>11000</v>
      </c>
      <c r="F18" s="158"/>
      <c r="G18" s="179"/>
      <c r="H18" s="179" t="s">
        <v>1736</v>
      </c>
      <c r="I18" s="177">
        <f>+BALANCE!E12</f>
        <v>0</v>
      </c>
      <c r="J18" s="177">
        <v>0</v>
      </c>
      <c r="K18" s="167"/>
    </row>
    <row r="19" spans="1:11" s="156" customFormat="1">
      <c r="A19" s="168"/>
      <c r="B19" s="179"/>
      <c r="C19" s="179" t="s">
        <v>1711</v>
      </c>
      <c r="D19" s="177">
        <f>+BALANCE!B13</f>
        <v>12780838.359999999</v>
      </c>
      <c r="E19" s="177">
        <v>27566078.359999999</v>
      </c>
      <c r="F19" s="158"/>
      <c r="G19" s="179"/>
      <c r="H19" s="179" t="s">
        <v>1737</v>
      </c>
      <c r="I19" s="177">
        <f>+BALANCE!E13</f>
        <v>0</v>
      </c>
      <c r="J19" s="177">
        <v>0</v>
      </c>
      <c r="K19" s="167"/>
    </row>
    <row r="20" spans="1:11" s="156" customFormat="1" ht="13.5" customHeight="1">
      <c r="A20" s="168"/>
      <c r="B20" s="179"/>
      <c r="C20" s="179" t="s">
        <v>1712</v>
      </c>
      <c r="D20" s="177"/>
      <c r="E20" s="177"/>
      <c r="F20" s="158"/>
      <c r="G20" s="179"/>
      <c r="H20" s="179" t="s">
        <v>1738</v>
      </c>
      <c r="I20" s="177"/>
      <c r="J20" s="177"/>
      <c r="K20" s="167"/>
    </row>
    <row r="21" spans="1:11" s="156" customFormat="1" ht="13.5" customHeight="1">
      <c r="A21" s="168"/>
      <c r="B21" s="179"/>
      <c r="C21" s="179" t="s">
        <v>1713</v>
      </c>
      <c r="D21" s="177">
        <f>+BALANCE!B14</f>
        <v>171876012.13</v>
      </c>
      <c r="E21" s="177">
        <v>164855843.05000001</v>
      </c>
      <c r="F21" s="158"/>
      <c r="G21" s="179"/>
      <c r="H21" s="179" t="s">
        <v>1739</v>
      </c>
      <c r="I21" s="177"/>
      <c r="J21" s="177"/>
      <c r="K21" s="167"/>
    </row>
    <row r="22" spans="1:11" s="156" customFormat="1">
      <c r="A22" s="168"/>
      <c r="B22" s="179"/>
      <c r="C22" s="179" t="s">
        <v>1714</v>
      </c>
      <c r="D22" s="177"/>
      <c r="E22" s="177"/>
      <c r="F22" s="158"/>
      <c r="G22" s="179"/>
      <c r="H22" s="179" t="s">
        <v>1740</v>
      </c>
      <c r="I22" s="177"/>
      <c r="J22" s="177"/>
      <c r="K22" s="167"/>
    </row>
    <row r="23" spans="1:11" s="156" customFormat="1">
      <c r="A23" s="168"/>
      <c r="B23" s="179"/>
      <c r="C23" s="179" t="s">
        <v>1715</v>
      </c>
      <c r="D23" s="177"/>
      <c r="E23" s="177"/>
      <c r="F23" s="158"/>
      <c r="G23" s="179"/>
      <c r="H23" s="179" t="s">
        <v>1741</v>
      </c>
      <c r="I23" s="177"/>
      <c r="J23" s="177"/>
      <c r="K23" s="167"/>
    </row>
    <row r="24" spans="1:11" s="156" customFormat="1">
      <c r="A24" s="168"/>
      <c r="B24" s="179"/>
      <c r="C24" s="179" t="s">
        <v>1716</v>
      </c>
      <c r="D24" s="177"/>
      <c r="E24" s="177"/>
      <c r="F24" s="158"/>
      <c r="G24" s="179"/>
      <c r="H24" s="179" t="s">
        <v>1742</v>
      </c>
      <c r="I24" s="177">
        <f>+BALANCE!E14</f>
        <v>1560882.94</v>
      </c>
      <c r="J24" s="177">
        <v>2485657.73</v>
      </c>
      <c r="K24" s="167"/>
    </row>
    <row r="25" spans="1:11" s="156" customFormat="1">
      <c r="A25" s="168"/>
      <c r="B25" s="1597" t="s">
        <v>678</v>
      </c>
      <c r="C25" s="1597"/>
      <c r="D25" s="177">
        <f>SUM(D26:D32)</f>
        <v>18347330.919999998</v>
      </c>
      <c r="E25" s="177">
        <f>SUM(E26:E32)</f>
        <v>30004506.859999999</v>
      </c>
      <c r="F25" s="158"/>
      <c r="H25" s="156" t="s">
        <v>1763</v>
      </c>
      <c r="I25" s="177">
        <f>+BALANCE!E15</f>
        <v>103445.73</v>
      </c>
      <c r="J25" s="177">
        <v>805145.07</v>
      </c>
      <c r="K25" s="167"/>
    </row>
    <row r="26" spans="1:11" s="156" customFormat="1">
      <c r="A26" s="168"/>
      <c r="B26" s="179"/>
      <c r="C26" s="179" t="s">
        <v>1717</v>
      </c>
      <c r="D26" s="177"/>
      <c r="E26" s="177"/>
      <c r="F26" s="158"/>
      <c r="G26" s="1597" t="s">
        <v>679</v>
      </c>
      <c r="H26" s="1597"/>
      <c r="I26" s="177">
        <f>SUM(I27:I29)</f>
        <v>0</v>
      </c>
      <c r="J26" s="177">
        <v>0</v>
      </c>
      <c r="K26" s="167"/>
    </row>
    <row r="27" spans="1:11" s="156" customFormat="1">
      <c r="A27" s="168"/>
      <c r="B27" s="179"/>
      <c r="C27" s="179" t="s">
        <v>1718</v>
      </c>
      <c r="D27" s="177">
        <f>+BALANCE!B15</f>
        <v>9771171.2899999991</v>
      </c>
      <c r="E27" s="177">
        <v>15440775.220000001</v>
      </c>
      <c r="F27" s="158"/>
      <c r="G27" s="179"/>
      <c r="H27" s="179" t="s">
        <v>1743</v>
      </c>
      <c r="I27" s="177"/>
      <c r="J27" s="177"/>
      <c r="K27" s="167"/>
    </row>
    <row r="28" spans="1:11" s="156" customFormat="1">
      <c r="A28" s="168"/>
      <c r="B28" s="179"/>
      <c r="C28" s="179" t="s">
        <v>1719</v>
      </c>
      <c r="D28" s="177">
        <f>+BALANCE!B16</f>
        <v>24997.27</v>
      </c>
      <c r="E28" s="177">
        <v>7044674.3300000001</v>
      </c>
      <c r="F28" s="158"/>
      <c r="H28" s="156" t="s">
        <v>1744</v>
      </c>
      <c r="K28" s="167"/>
    </row>
    <row r="29" spans="1:11" s="156" customFormat="1">
      <c r="A29" s="168"/>
      <c r="B29" s="179"/>
      <c r="C29" s="179" t="s">
        <v>1720</v>
      </c>
      <c r="D29" s="177">
        <f>+BALANCE!B17</f>
        <v>8551162.3599999994</v>
      </c>
      <c r="E29" s="177">
        <v>7518457.3099999996</v>
      </c>
      <c r="F29" s="158"/>
      <c r="G29" s="179"/>
      <c r="H29" s="179" t="s">
        <v>1745</v>
      </c>
      <c r="I29" s="177">
        <f>+BALANCE!E16</f>
        <v>0</v>
      </c>
      <c r="J29" s="177">
        <v>0</v>
      </c>
      <c r="K29" s="167"/>
    </row>
    <row r="30" spans="1:11" s="156" customFormat="1" ht="13.5" customHeight="1">
      <c r="A30" s="168"/>
      <c r="B30" s="179"/>
      <c r="C30" s="179" t="s">
        <v>1721</v>
      </c>
      <c r="D30" s="177">
        <f>+BALANCE!B18</f>
        <v>0</v>
      </c>
      <c r="E30" s="177">
        <v>600</v>
      </c>
      <c r="F30" s="158"/>
      <c r="G30" s="1597" t="s">
        <v>681</v>
      </c>
      <c r="H30" s="1597"/>
      <c r="I30" s="177">
        <f>SUM(I31:I32)</f>
        <v>0</v>
      </c>
      <c r="J30" s="177">
        <v>0</v>
      </c>
      <c r="K30" s="167"/>
    </row>
    <row r="31" spans="1:11" s="156" customFormat="1">
      <c r="A31" s="168"/>
      <c r="B31" s="179"/>
      <c r="C31" s="179" t="s">
        <v>1722</v>
      </c>
      <c r="D31" s="177"/>
      <c r="E31" s="177"/>
      <c r="F31" s="158"/>
      <c r="G31" s="179"/>
      <c r="H31" s="179" t="s">
        <v>1746</v>
      </c>
      <c r="I31" s="177"/>
      <c r="J31" s="177"/>
      <c r="K31" s="167"/>
    </row>
    <row r="32" spans="1:11" s="156" customFormat="1">
      <c r="A32" s="168"/>
      <c r="B32" s="179"/>
      <c r="C32" s="179" t="s">
        <v>1723</v>
      </c>
      <c r="D32" s="177"/>
      <c r="E32" s="177"/>
      <c r="F32" s="158"/>
      <c r="G32" s="179"/>
      <c r="H32" s="179" t="s">
        <v>1747</v>
      </c>
      <c r="I32" s="177"/>
      <c r="J32" s="177"/>
      <c r="K32" s="167"/>
    </row>
    <row r="33" spans="1:11" s="156" customFormat="1">
      <c r="A33" s="168"/>
      <c r="B33" s="1597" t="s">
        <v>680</v>
      </c>
      <c r="C33" s="1597"/>
      <c r="D33" s="177">
        <f>SUM(D34:D38)</f>
        <v>785385.31</v>
      </c>
      <c r="E33" s="177">
        <f>SUM(E34:E38)</f>
        <v>292951.38</v>
      </c>
      <c r="F33" s="158"/>
      <c r="G33" s="1597" t="s">
        <v>683</v>
      </c>
      <c r="H33" s="1597"/>
      <c r="I33" s="177">
        <v>0</v>
      </c>
      <c r="J33" s="177">
        <v>0</v>
      </c>
      <c r="K33" s="167"/>
    </row>
    <row r="34" spans="1:11" s="156" customFormat="1">
      <c r="A34" s="168"/>
      <c r="B34" s="179"/>
      <c r="C34" s="179" t="s">
        <v>1724</v>
      </c>
      <c r="D34" s="177">
        <f>+BALANCE!B19</f>
        <v>8604.6</v>
      </c>
      <c r="E34" s="177">
        <v>15380</v>
      </c>
      <c r="F34" s="158"/>
      <c r="G34" s="1597" t="s">
        <v>685</v>
      </c>
      <c r="H34" s="1597"/>
      <c r="I34" s="177">
        <f>SUM(I35:I37)</f>
        <v>11210.76</v>
      </c>
      <c r="J34" s="177">
        <f>SUM(J35:J37)</f>
        <v>9449.58</v>
      </c>
      <c r="K34" s="167"/>
    </row>
    <row r="35" spans="1:11" s="156" customFormat="1" ht="13.5" customHeight="1">
      <c r="A35" s="168"/>
      <c r="B35" s="179"/>
      <c r="C35" s="179" t="s">
        <v>1725</v>
      </c>
      <c r="D35" s="177"/>
      <c r="E35" s="177"/>
      <c r="F35" s="158"/>
      <c r="G35" s="179"/>
      <c r="H35" s="179" t="s">
        <v>1748</v>
      </c>
      <c r="I35" s="177">
        <f>+BALANCE!E17</f>
        <v>11210.76</v>
      </c>
      <c r="J35" s="177">
        <v>9449.58</v>
      </c>
      <c r="K35" s="167"/>
    </row>
    <row r="36" spans="1:11" s="156" customFormat="1">
      <c r="A36" s="168"/>
      <c r="B36" s="179"/>
      <c r="C36" s="179" t="s">
        <v>1726</v>
      </c>
      <c r="D36" s="177">
        <f>+BALANCE!B20</f>
        <v>128109.72</v>
      </c>
      <c r="E36" s="177">
        <v>277571.38</v>
      </c>
      <c r="F36" s="158"/>
      <c r="G36" s="179"/>
      <c r="H36" s="179" t="s">
        <v>1749</v>
      </c>
      <c r="I36" s="177"/>
      <c r="J36" s="177"/>
      <c r="K36" s="167"/>
    </row>
    <row r="37" spans="1:11" s="156" customFormat="1">
      <c r="A37" s="168"/>
      <c r="B37" s="179"/>
      <c r="C37" s="179" t="s">
        <v>1727</v>
      </c>
      <c r="D37" s="177">
        <f>+BALANCE!B21</f>
        <v>648670.99</v>
      </c>
      <c r="E37" s="177"/>
      <c r="F37" s="158"/>
      <c r="G37" s="179"/>
      <c r="H37" s="179" t="s">
        <v>1750</v>
      </c>
      <c r="I37" s="177"/>
      <c r="J37" s="177"/>
      <c r="K37" s="167"/>
    </row>
    <row r="38" spans="1:11" s="156" customFormat="1">
      <c r="A38" s="168"/>
      <c r="B38" s="179"/>
      <c r="C38" s="179" t="s">
        <v>1728</v>
      </c>
      <c r="D38" s="177"/>
      <c r="E38" s="177"/>
      <c r="F38" s="158"/>
      <c r="G38" s="1600" t="s">
        <v>1751</v>
      </c>
      <c r="H38" s="1600"/>
      <c r="I38" s="177">
        <f>SUM(I39:I44)</f>
        <v>0</v>
      </c>
      <c r="J38" s="177">
        <v>0</v>
      </c>
      <c r="K38" s="167"/>
    </row>
    <row r="39" spans="1:11" s="156" customFormat="1">
      <c r="A39" s="168"/>
      <c r="B39" s="1597" t="s">
        <v>682</v>
      </c>
      <c r="C39" s="1597"/>
      <c r="D39" s="177">
        <v>0</v>
      </c>
      <c r="E39" s="177">
        <v>0</v>
      </c>
      <c r="F39" s="158"/>
      <c r="H39" s="156" t="s">
        <v>1752</v>
      </c>
      <c r="K39" s="167"/>
    </row>
    <row r="40" spans="1:11" s="156" customFormat="1">
      <c r="A40" s="168"/>
      <c r="B40" s="179"/>
      <c r="C40" s="179" t="s">
        <v>1729</v>
      </c>
      <c r="D40" s="177"/>
      <c r="E40" s="177"/>
      <c r="F40" s="158"/>
      <c r="G40" s="179"/>
      <c r="H40" s="179" t="s">
        <v>1753</v>
      </c>
      <c r="I40" s="177"/>
      <c r="J40" s="177"/>
      <c r="K40" s="167"/>
    </row>
    <row r="41" spans="1:11" s="156" customFormat="1">
      <c r="A41" s="168"/>
      <c r="B41" s="1597" t="s">
        <v>684</v>
      </c>
      <c r="C41" s="1597"/>
      <c r="D41" s="177">
        <v>0</v>
      </c>
      <c r="E41" s="177">
        <v>0</v>
      </c>
      <c r="F41" s="158"/>
      <c r="H41" s="156" t="s">
        <v>1754</v>
      </c>
      <c r="K41" s="167"/>
    </row>
    <row r="42" spans="1:11" s="156" customFormat="1" ht="13.5" customHeight="1">
      <c r="A42" s="168"/>
      <c r="B42" s="1597" t="s">
        <v>686</v>
      </c>
      <c r="C42" s="1597"/>
      <c r="D42" s="177">
        <f>SUM(D43:D44)</f>
        <v>0</v>
      </c>
      <c r="E42" s="177">
        <v>0</v>
      </c>
      <c r="F42" s="158"/>
      <c r="H42" s="156" t="s">
        <v>1755</v>
      </c>
      <c r="I42" s="177"/>
      <c r="J42" s="177"/>
      <c r="K42" s="167"/>
    </row>
    <row r="43" spans="1:11" s="156" customFormat="1" ht="11.25" customHeight="1">
      <c r="A43" s="168"/>
      <c r="B43" s="179"/>
      <c r="C43" s="179" t="s">
        <v>1730</v>
      </c>
      <c r="D43" s="177">
        <v>0</v>
      </c>
      <c r="E43" s="177">
        <v>0</v>
      </c>
      <c r="F43" s="158"/>
      <c r="G43" s="555"/>
      <c r="H43" s="555" t="s">
        <v>1756</v>
      </c>
      <c r="I43" s="177"/>
      <c r="J43" s="177"/>
      <c r="K43" s="167"/>
    </row>
    <row r="44" spans="1:11" s="156" customFormat="1" ht="15" customHeight="1">
      <c r="A44" s="168"/>
      <c r="B44" s="179"/>
      <c r="C44" s="179" t="s">
        <v>1731</v>
      </c>
      <c r="D44" s="177"/>
      <c r="E44" s="177"/>
      <c r="F44" s="158"/>
      <c r="G44" s="555"/>
      <c r="H44" s="555" t="s">
        <v>1757</v>
      </c>
      <c r="I44" s="177"/>
      <c r="J44" s="177"/>
      <c r="K44" s="167"/>
    </row>
    <row r="45" spans="1:11" s="156" customFormat="1">
      <c r="A45" s="168"/>
      <c r="B45" s="1597" t="s">
        <v>687</v>
      </c>
      <c r="C45" s="1597"/>
      <c r="D45" s="177">
        <f>SUM(D46:D50)</f>
        <v>163103.14000000001</v>
      </c>
      <c r="E45" s="177">
        <f>SUM(E46:E50)</f>
        <v>163103.14000000001</v>
      </c>
      <c r="F45" s="158"/>
      <c r="G45" s="1597" t="s">
        <v>688</v>
      </c>
      <c r="H45" s="1597"/>
      <c r="I45" s="177">
        <f>SUM(I46:I48)</f>
        <v>0</v>
      </c>
      <c r="J45" s="177">
        <v>0</v>
      </c>
      <c r="K45" s="167"/>
    </row>
    <row r="46" spans="1:11" s="156" customFormat="1">
      <c r="A46" s="168"/>
      <c r="B46" s="179"/>
      <c r="C46" s="179" t="s">
        <v>1732</v>
      </c>
      <c r="D46" s="177">
        <f>+BALANCE!B22</f>
        <v>163103.14000000001</v>
      </c>
      <c r="E46" s="177">
        <v>163103.14000000001</v>
      </c>
      <c r="F46" s="158"/>
      <c r="G46" s="179"/>
      <c r="H46" s="179" t="s">
        <v>1758</v>
      </c>
      <c r="I46" s="177"/>
      <c r="J46" s="177"/>
      <c r="K46" s="167"/>
    </row>
    <row r="47" spans="1:11" s="156" customFormat="1">
      <c r="A47" s="168"/>
      <c r="B47" s="179"/>
      <c r="C47" s="179" t="s">
        <v>1733</v>
      </c>
      <c r="D47" s="177"/>
      <c r="E47" s="177"/>
      <c r="F47" s="158"/>
      <c r="G47" s="179"/>
      <c r="H47" s="179" t="s">
        <v>1759</v>
      </c>
      <c r="I47" s="177"/>
      <c r="J47" s="177"/>
      <c r="K47" s="167"/>
    </row>
    <row r="48" spans="1:11" s="156" customFormat="1">
      <c r="A48" s="168"/>
      <c r="B48" s="179"/>
      <c r="C48" s="179" t="s">
        <v>1734</v>
      </c>
      <c r="D48" s="177"/>
      <c r="E48" s="177"/>
      <c r="F48" s="158"/>
      <c r="G48" s="179"/>
      <c r="H48" s="179" t="s">
        <v>1760</v>
      </c>
      <c r="I48" s="177"/>
      <c r="J48" s="177"/>
      <c r="K48" s="167"/>
    </row>
    <row r="49" spans="1:11" s="156" customFormat="1">
      <c r="A49" s="168"/>
      <c r="B49" s="179"/>
      <c r="C49" s="179" t="s">
        <v>1735</v>
      </c>
      <c r="D49" s="177"/>
      <c r="E49" s="177"/>
      <c r="F49" s="158"/>
      <c r="G49" s="1597" t="s">
        <v>689</v>
      </c>
      <c r="H49" s="1597"/>
      <c r="I49" s="177">
        <f>SUM(I50)</f>
        <v>0</v>
      </c>
      <c r="J49" s="177">
        <v>0</v>
      </c>
      <c r="K49" s="167"/>
    </row>
    <row r="50" spans="1:11" s="156" customFormat="1">
      <c r="A50" s="168"/>
      <c r="B50" s="178"/>
      <c r="C50" s="179"/>
      <c r="D50" s="180"/>
      <c r="E50" s="180"/>
      <c r="F50" s="158"/>
      <c r="H50" s="156" t="s">
        <v>1761</v>
      </c>
      <c r="I50" s="177"/>
      <c r="J50" s="177"/>
      <c r="K50" s="167"/>
    </row>
    <row r="51" spans="1:11" s="156" customFormat="1">
      <c r="A51" s="181"/>
      <c r="B51" s="1601" t="s">
        <v>690</v>
      </c>
      <c r="C51" s="1601"/>
      <c r="D51" s="174">
        <f>+D45+D42+D41+D39+D33+D25+D17</f>
        <v>203963669.86000001</v>
      </c>
      <c r="E51" s="174">
        <f>+E45+E42+E41+E39+E33+E25+E17</f>
        <v>222893482.79000002</v>
      </c>
      <c r="F51" s="182"/>
      <c r="G51" s="172"/>
      <c r="H51" s="171"/>
      <c r="I51" s="183"/>
      <c r="J51" s="183"/>
      <c r="K51" s="167"/>
    </row>
    <row r="52" spans="1:11" s="156" customFormat="1">
      <c r="A52" s="181"/>
      <c r="B52" s="172"/>
      <c r="C52" s="184"/>
      <c r="D52" s="183"/>
      <c r="E52" s="183"/>
      <c r="F52" s="182"/>
      <c r="G52" s="1601" t="s">
        <v>691</v>
      </c>
      <c r="H52" s="1601"/>
      <c r="I52" s="174">
        <f>+I49+I45+I38+I34+I33+I30+I26+I17</f>
        <v>1675539.43</v>
      </c>
      <c r="J52" s="174">
        <f>+J49+J45+J38+J34+J33+J30+J26+J17</f>
        <v>3300252.38</v>
      </c>
      <c r="K52" s="167"/>
    </row>
    <row r="53" spans="1:11" s="156" customFormat="1">
      <c r="A53" s="168"/>
      <c r="B53" s="178"/>
      <c r="C53" s="178"/>
      <c r="D53" s="180"/>
      <c r="E53" s="180"/>
      <c r="F53" s="158"/>
      <c r="G53" s="185"/>
      <c r="H53" s="179"/>
      <c r="I53" s="180"/>
      <c r="J53" s="180"/>
      <c r="K53" s="167"/>
    </row>
    <row r="54" spans="1:11" s="156" customFormat="1">
      <c r="A54" s="168"/>
      <c r="B54" s="1601" t="s">
        <v>692</v>
      </c>
      <c r="C54" s="1601"/>
      <c r="D54" s="173"/>
      <c r="E54" s="173"/>
      <c r="F54" s="158"/>
      <c r="G54" s="1601" t="s">
        <v>693</v>
      </c>
      <c r="H54" s="1601"/>
      <c r="I54" s="173"/>
      <c r="J54" s="173"/>
      <c r="K54" s="167"/>
    </row>
    <row r="55" spans="1:11" s="156" customFormat="1">
      <c r="A55" s="168"/>
      <c r="B55" s="178"/>
      <c r="C55" s="178"/>
      <c r="D55" s="180"/>
      <c r="E55" s="180"/>
      <c r="F55" s="158"/>
      <c r="G55" s="178"/>
      <c r="H55" s="179"/>
      <c r="I55" s="180"/>
      <c r="J55" s="180"/>
      <c r="K55" s="167"/>
    </row>
    <row r="56" spans="1:11" s="156" customFormat="1">
      <c r="A56" s="168"/>
      <c r="B56" s="1597" t="s">
        <v>694</v>
      </c>
      <c r="C56" s="1597"/>
      <c r="D56" s="177">
        <f>+BALANCE!B28</f>
        <v>1758830</v>
      </c>
      <c r="E56" s="177">
        <v>1758830</v>
      </c>
      <c r="F56" s="158"/>
      <c r="G56" s="1597" t="s">
        <v>695</v>
      </c>
      <c r="H56" s="1597"/>
      <c r="I56" s="177">
        <v>0</v>
      </c>
      <c r="J56" s="177">
        <v>0</v>
      </c>
      <c r="K56" s="167"/>
    </row>
    <row r="57" spans="1:11" s="156" customFormat="1">
      <c r="A57" s="168"/>
      <c r="B57" s="1597" t="s">
        <v>696</v>
      </c>
      <c r="C57" s="1597"/>
      <c r="D57" s="177">
        <f>+BALANCE!B29</f>
        <v>0</v>
      </c>
      <c r="E57" s="177">
        <v>0</v>
      </c>
      <c r="F57" s="158"/>
      <c r="G57" s="1597" t="s">
        <v>697</v>
      </c>
      <c r="H57" s="1597"/>
      <c r="I57" s="177">
        <f>+BALANCE!E25</f>
        <v>0</v>
      </c>
      <c r="J57" s="177">
        <v>0</v>
      </c>
      <c r="K57" s="167"/>
    </row>
    <row r="58" spans="1:11" s="156" customFormat="1">
      <c r="A58" s="168"/>
      <c r="B58" s="1597" t="s">
        <v>698</v>
      </c>
      <c r="C58" s="1597"/>
      <c r="D58" s="177">
        <f>+BALANCE!B30+BALANCE!B31+BALANCE!B32</f>
        <v>980297651.08000004</v>
      </c>
      <c r="E58" s="177">
        <v>947679244.29999995</v>
      </c>
      <c r="F58" s="158"/>
      <c r="G58" s="1597" t="s">
        <v>699</v>
      </c>
      <c r="H58" s="1597"/>
      <c r="I58" s="177">
        <v>0</v>
      </c>
      <c r="J58" s="177">
        <v>0</v>
      </c>
      <c r="K58" s="167"/>
    </row>
    <row r="59" spans="1:11" s="156" customFormat="1">
      <c r="A59" s="168"/>
      <c r="B59" s="1597" t="s">
        <v>700</v>
      </c>
      <c r="C59" s="1597"/>
      <c r="D59" s="177">
        <f>+BALANCE!B33+BALANCE!B34+BALANCE!B35</f>
        <v>12318241.439999999</v>
      </c>
      <c r="E59" s="177">
        <v>12279237.109999999</v>
      </c>
      <c r="F59" s="158"/>
      <c r="G59" s="1597" t="s">
        <v>701</v>
      </c>
      <c r="H59" s="1597"/>
      <c r="I59" s="177">
        <v>0</v>
      </c>
      <c r="J59" s="177">
        <v>0</v>
      </c>
      <c r="K59" s="167"/>
    </row>
    <row r="60" spans="1:11" s="156" customFormat="1" ht="13.5" customHeight="1">
      <c r="A60" s="168"/>
      <c r="B60" s="1597" t="s">
        <v>702</v>
      </c>
      <c r="C60" s="1597"/>
      <c r="D60" s="177">
        <f>+BALANCE!B36</f>
        <v>8744971.7599999998</v>
      </c>
      <c r="E60" s="177">
        <v>8744971.7599999998</v>
      </c>
      <c r="F60" s="158"/>
      <c r="G60" s="1600" t="s">
        <v>1762</v>
      </c>
      <c r="H60" s="1600"/>
      <c r="I60" s="177">
        <v>0</v>
      </c>
      <c r="J60" s="177">
        <v>0</v>
      </c>
      <c r="K60" s="167"/>
    </row>
    <row r="61" spans="1:11" s="156" customFormat="1" ht="12" customHeight="1">
      <c r="A61" s="168"/>
      <c r="B61" s="1597" t="s">
        <v>703</v>
      </c>
      <c r="C61" s="1597"/>
      <c r="D61" s="177">
        <f>+BALANCE!B37+BALANCE!B38</f>
        <v>-36979865.799999997</v>
      </c>
      <c r="E61" s="177">
        <v>-35607398.879999995</v>
      </c>
      <c r="F61" s="158"/>
      <c r="G61" s="1597" t="s">
        <v>704</v>
      </c>
      <c r="H61" s="1597"/>
      <c r="I61" s="177">
        <v>0</v>
      </c>
      <c r="J61" s="177">
        <v>0</v>
      </c>
      <c r="K61" s="167"/>
    </row>
    <row r="62" spans="1:11" s="156" customFormat="1">
      <c r="A62" s="168"/>
      <c r="B62" s="1597" t="s">
        <v>705</v>
      </c>
      <c r="C62" s="1597"/>
      <c r="D62" s="177">
        <v>0</v>
      </c>
      <c r="E62" s="177">
        <v>0</v>
      </c>
      <c r="F62" s="158"/>
      <c r="G62" s="178"/>
      <c r="H62" s="179"/>
      <c r="I62" s="180"/>
      <c r="J62" s="180"/>
      <c r="K62" s="167"/>
    </row>
    <row r="63" spans="1:11" s="156" customFormat="1" ht="12" customHeight="1">
      <c r="A63" s="168"/>
      <c r="B63" s="1597" t="s">
        <v>706</v>
      </c>
      <c r="C63" s="1597"/>
      <c r="D63" s="177">
        <v>0</v>
      </c>
      <c r="E63" s="177">
        <v>0</v>
      </c>
      <c r="F63" s="158"/>
      <c r="G63" s="1601" t="s">
        <v>707</v>
      </c>
      <c r="H63" s="1601"/>
      <c r="I63" s="174">
        <f>SUM(I56:I61)</f>
        <v>0</v>
      </c>
      <c r="J63" s="174">
        <f>SUM(J56:J61)</f>
        <v>0</v>
      </c>
      <c r="K63" s="167"/>
    </row>
    <row r="64" spans="1:11" s="156" customFormat="1">
      <c r="A64" s="168"/>
      <c r="B64" s="1597" t="s">
        <v>708</v>
      </c>
      <c r="C64" s="1597"/>
      <c r="D64" s="177">
        <v>0</v>
      </c>
      <c r="E64" s="177">
        <v>0</v>
      </c>
      <c r="F64" s="158"/>
      <c r="G64" s="172"/>
      <c r="H64" s="184"/>
      <c r="I64" s="183"/>
      <c r="J64" s="183"/>
      <c r="K64" s="167"/>
    </row>
    <row r="65" spans="1:11" s="156" customFormat="1" ht="12" customHeight="1">
      <c r="A65" s="168"/>
      <c r="B65" s="178"/>
      <c r="C65" s="179"/>
      <c r="D65" s="180"/>
      <c r="E65" s="180"/>
      <c r="F65" s="158"/>
      <c r="G65" s="1601" t="s">
        <v>709</v>
      </c>
      <c r="H65" s="1601"/>
      <c r="I65" s="174">
        <f>I52+I63</f>
        <v>1675539.43</v>
      </c>
      <c r="J65" s="174">
        <f>J52+J63</f>
        <v>3300252.38</v>
      </c>
      <c r="K65" s="167"/>
    </row>
    <row r="66" spans="1:11" s="156" customFormat="1">
      <c r="A66" s="181"/>
      <c r="B66" s="1601" t="s">
        <v>710</v>
      </c>
      <c r="C66" s="1601"/>
      <c r="D66" s="174">
        <f>SUM(D56:D64)</f>
        <v>966139828.48000014</v>
      </c>
      <c r="E66" s="174">
        <f>SUM(E56:E64)</f>
        <v>934854884.28999996</v>
      </c>
      <c r="F66" s="182"/>
      <c r="G66" s="172"/>
      <c r="H66" s="186"/>
      <c r="I66" s="183"/>
      <c r="J66" s="183"/>
      <c r="K66" s="167"/>
    </row>
    <row r="67" spans="1:11" s="156" customFormat="1" ht="12" customHeight="1">
      <c r="A67" s="168"/>
      <c r="B67" s="178"/>
      <c r="C67" s="172"/>
      <c r="D67" s="180"/>
      <c r="E67" s="180"/>
      <c r="F67" s="158"/>
      <c r="G67" s="1599" t="s">
        <v>711</v>
      </c>
      <c r="H67" s="1599"/>
      <c r="I67" s="180"/>
      <c r="J67" s="180"/>
      <c r="K67" s="167"/>
    </row>
    <row r="68" spans="1:11" s="156" customFormat="1">
      <c r="A68" s="168"/>
      <c r="B68" s="1601" t="s">
        <v>712</v>
      </c>
      <c r="C68" s="1601"/>
      <c r="D68" s="174">
        <f>D51+D66</f>
        <v>1170103498.3400002</v>
      </c>
      <c r="E68" s="174">
        <f>E51+E66</f>
        <v>1157748367.0799999</v>
      </c>
      <c r="F68" s="158"/>
      <c r="G68" s="172"/>
      <c r="H68" s="186"/>
      <c r="I68" s="180"/>
      <c r="J68" s="180"/>
      <c r="K68" s="167"/>
    </row>
    <row r="69" spans="1:11" s="156" customFormat="1" ht="12" customHeight="1">
      <c r="A69" s="168"/>
      <c r="B69" s="178"/>
      <c r="C69" s="178"/>
      <c r="D69" s="180"/>
      <c r="E69" s="180"/>
      <c r="F69" s="158"/>
      <c r="G69" s="1601" t="s">
        <v>713</v>
      </c>
      <c r="H69" s="1601"/>
      <c r="I69" s="174">
        <f>SUM(I71:I73)</f>
        <v>278482908.89999998</v>
      </c>
      <c r="J69" s="174">
        <f>SUM(J71:J73)</f>
        <v>278482908.89999998</v>
      </c>
      <c r="K69" s="167"/>
    </row>
    <row r="70" spans="1:11" s="156" customFormat="1">
      <c r="A70" s="168"/>
      <c r="B70" s="178"/>
      <c r="C70" s="178"/>
      <c r="D70" s="180"/>
      <c r="E70" s="180"/>
      <c r="F70" s="158"/>
      <c r="G70" s="178"/>
      <c r="H70" s="170"/>
      <c r="I70" s="180"/>
      <c r="J70" s="180"/>
      <c r="K70" s="167"/>
    </row>
    <row r="71" spans="1:11" s="156" customFormat="1" ht="12" customHeight="1">
      <c r="A71" s="168"/>
      <c r="B71" s="178"/>
      <c r="C71" s="178"/>
      <c r="D71" s="180"/>
      <c r="E71" s="180"/>
      <c r="F71" s="158"/>
      <c r="G71" s="1597" t="s">
        <v>647</v>
      </c>
      <c r="H71" s="1597"/>
      <c r="I71" s="177">
        <v>10952891.960000001</v>
      </c>
      <c r="J71" s="177">
        <v>10952891.960000001</v>
      </c>
      <c r="K71" s="167"/>
    </row>
    <row r="72" spans="1:11" s="156" customFormat="1" ht="12" customHeight="1">
      <c r="A72" s="168"/>
      <c r="B72" s="178"/>
      <c r="C72" s="556"/>
      <c r="D72" s="556"/>
      <c r="E72" s="180"/>
      <c r="F72" s="158"/>
      <c r="G72" s="1597" t="s">
        <v>714</v>
      </c>
      <c r="H72" s="1597"/>
      <c r="I72" s="177">
        <v>0</v>
      </c>
      <c r="J72" s="177">
        <v>0</v>
      </c>
      <c r="K72" s="167"/>
    </row>
    <row r="73" spans="1:11" s="156" customFormat="1" ht="12" customHeight="1">
      <c r="A73" s="168"/>
      <c r="B73" s="178"/>
      <c r="C73" s="556"/>
      <c r="D73" s="556"/>
      <c r="E73" s="180"/>
      <c r="F73" s="158"/>
      <c r="G73" s="1597" t="s">
        <v>715</v>
      </c>
      <c r="H73" s="1597"/>
      <c r="I73" s="177">
        <v>267530016.94</v>
      </c>
      <c r="J73" s="177">
        <v>267530016.94</v>
      </c>
      <c r="K73" s="167"/>
    </row>
    <row r="74" spans="1:11" s="156" customFormat="1" ht="12" customHeight="1">
      <c r="A74" s="168"/>
      <c r="B74" s="178"/>
      <c r="C74" s="556"/>
      <c r="D74" s="556"/>
      <c r="E74" s="180"/>
      <c r="F74" s="158"/>
      <c r="G74" s="178"/>
      <c r="H74" s="170"/>
      <c r="I74" s="180"/>
      <c r="J74" s="180"/>
      <c r="K74" s="167"/>
    </row>
    <row r="75" spans="1:11" s="156" customFormat="1" ht="12" customHeight="1">
      <c r="A75" s="168"/>
      <c r="B75" s="178"/>
      <c r="C75" s="556"/>
      <c r="D75" s="556"/>
      <c r="E75" s="180"/>
      <c r="F75" s="158"/>
      <c r="G75" s="1601" t="s">
        <v>716</v>
      </c>
      <c r="H75" s="1601"/>
      <c r="I75" s="174">
        <f>SUM(I77:I81)</f>
        <v>869368823.5</v>
      </c>
      <c r="J75" s="174">
        <f>SUM(J77:J81)</f>
        <v>855388979.29000008</v>
      </c>
      <c r="K75" s="167"/>
    </row>
    <row r="76" spans="1:11" s="156" customFormat="1" ht="12" customHeight="1">
      <c r="A76" s="168"/>
      <c r="B76" s="178"/>
      <c r="C76" s="556"/>
      <c r="D76" s="556"/>
      <c r="E76" s="180"/>
      <c r="F76" s="158"/>
      <c r="G76" s="172"/>
      <c r="H76" s="170"/>
      <c r="I76" s="187"/>
      <c r="J76" s="187"/>
      <c r="K76" s="167"/>
    </row>
    <row r="77" spans="1:11" s="156" customFormat="1" ht="12" customHeight="1">
      <c r="A77" s="168"/>
      <c r="B77" s="178"/>
      <c r="C77" s="556"/>
      <c r="D77" s="556"/>
      <c r="E77" s="180"/>
      <c r="F77" s="158"/>
      <c r="G77" s="1597" t="s">
        <v>717</v>
      </c>
      <c r="H77" s="1597"/>
      <c r="I77" s="177">
        <f>+BALANCE!E38</f>
        <v>13979844.210000001</v>
      </c>
      <c r="J77" s="177">
        <v>82707402.840000004</v>
      </c>
      <c r="K77" s="167"/>
    </row>
    <row r="78" spans="1:11" s="156" customFormat="1" ht="12" customHeight="1">
      <c r="A78" s="168"/>
      <c r="B78" s="178"/>
      <c r="C78" s="556"/>
      <c r="D78" s="556"/>
      <c r="E78" s="180"/>
      <c r="F78" s="158"/>
      <c r="G78" s="1597" t="s">
        <v>718</v>
      </c>
      <c r="H78" s="1597"/>
      <c r="I78" s="177">
        <f>+BALANCE!E37</f>
        <v>855388979.28999996</v>
      </c>
      <c r="J78" s="177">
        <v>772681576.45000005</v>
      </c>
      <c r="K78" s="167"/>
    </row>
    <row r="79" spans="1:11" s="156" customFormat="1" ht="12" customHeight="1">
      <c r="A79" s="168"/>
      <c r="B79" s="178"/>
      <c r="C79" s="556"/>
      <c r="D79" s="556"/>
      <c r="E79" s="180"/>
      <c r="F79" s="158"/>
      <c r="G79" s="1597" t="s">
        <v>719</v>
      </c>
      <c r="H79" s="1597"/>
      <c r="I79" s="177">
        <v>0</v>
      </c>
      <c r="J79" s="177">
        <v>0</v>
      </c>
      <c r="K79" s="167"/>
    </row>
    <row r="80" spans="1:11" s="156" customFormat="1" ht="12" customHeight="1">
      <c r="A80" s="168"/>
      <c r="B80" s="178"/>
      <c r="C80" s="178"/>
      <c r="D80" s="180"/>
      <c r="E80" s="180"/>
      <c r="F80" s="158"/>
      <c r="G80" s="1597" t="s">
        <v>720</v>
      </c>
      <c r="H80" s="1597"/>
      <c r="I80" s="177">
        <v>0</v>
      </c>
      <c r="J80" s="177">
        <v>0</v>
      </c>
      <c r="K80" s="167"/>
    </row>
    <row r="81" spans="1:11" s="156" customFormat="1" ht="12" customHeight="1">
      <c r="A81" s="168"/>
      <c r="B81" s="178"/>
      <c r="C81" s="178"/>
      <c r="D81" s="180"/>
      <c r="E81" s="180"/>
      <c r="F81" s="158"/>
      <c r="G81" s="1597" t="s">
        <v>231</v>
      </c>
      <c r="H81" s="1597"/>
      <c r="I81" s="177">
        <v>0</v>
      </c>
      <c r="J81" s="177">
        <v>0</v>
      </c>
      <c r="K81" s="167"/>
    </row>
    <row r="82" spans="1:11" s="156" customFormat="1">
      <c r="A82" s="168"/>
      <c r="B82" s="178"/>
      <c r="C82" s="178"/>
      <c r="D82" s="180"/>
      <c r="E82" s="180"/>
      <c r="F82" s="158"/>
      <c r="G82" s="178"/>
      <c r="H82" s="170"/>
      <c r="I82" s="180"/>
      <c r="J82" s="180"/>
      <c r="K82" s="167"/>
    </row>
    <row r="83" spans="1:11" s="156" customFormat="1" ht="25.5" customHeight="1">
      <c r="A83" s="168"/>
      <c r="B83" s="178"/>
      <c r="C83" s="178"/>
      <c r="D83" s="180"/>
      <c r="E83" s="180"/>
      <c r="F83" s="158"/>
      <c r="G83" s="1601" t="s">
        <v>721</v>
      </c>
      <c r="H83" s="1601"/>
      <c r="I83" s="174">
        <f>SUM(I85:I86)</f>
        <v>20576226.51000002</v>
      </c>
      <c r="J83" s="174">
        <f>SUM(J85:J86)</f>
        <v>20576226.51000002</v>
      </c>
      <c r="K83" s="167"/>
    </row>
    <row r="84" spans="1:11" s="156" customFormat="1">
      <c r="A84" s="168"/>
      <c r="B84" s="178"/>
      <c r="C84" s="178"/>
      <c r="D84" s="180"/>
      <c r="E84" s="180"/>
      <c r="F84" s="158"/>
      <c r="G84" s="178"/>
      <c r="H84" s="170"/>
      <c r="I84" s="180"/>
      <c r="J84" s="180"/>
      <c r="K84" s="167"/>
    </row>
    <row r="85" spans="1:11" s="156" customFormat="1" ht="12" customHeight="1">
      <c r="A85" s="168"/>
      <c r="B85" s="178"/>
      <c r="C85" s="178"/>
      <c r="D85" s="180"/>
      <c r="E85" s="180"/>
      <c r="F85" s="158"/>
      <c r="G85" s="1597" t="s">
        <v>722</v>
      </c>
      <c r="H85" s="1597"/>
      <c r="I85" s="177">
        <v>-167471499.56999999</v>
      </c>
      <c r="J85" s="177">
        <v>-167471499.56999999</v>
      </c>
      <c r="K85" s="167"/>
    </row>
    <row r="86" spans="1:11" s="156" customFormat="1" ht="12" customHeight="1">
      <c r="A86" s="168"/>
      <c r="B86" s="178"/>
      <c r="C86" s="178"/>
      <c r="D86" s="180"/>
      <c r="E86" s="180"/>
      <c r="F86" s="158"/>
      <c r="G86" s="1597" t="s">
        <v>723</v>
      </c>
      <c r="H86" s="1597"/>
      <c r="I86" s="177">
        <v>188047726.08000001</v>
      </c>
      <c r="J86" s="177">
        <v>188047726.08000001</v>
      </c>
      <c r="K86" s="167"/>
    </row>
    <row r="87" spans="1:11" s="156" customFormat="1" ht="9.9499999999999993" customHeight="1">
      <c r="A87" s="168"/>
      <c r="B87" s="178"/>
      <c r="C87" s="178"/>
      <c r="D87" s="180"/>
      <c r="E87" s="180"/>
      <c r="F87" s="158"/>
      <c r="G87" s="178"/>
      <c r="H87" s="188"/>
      <c r="I87" s="180"/>
      <c r="J87" s="180"/>
      <c r="K87" s="167"/>
    </row>
    <row r="88" spans="1:11" s="156" customFormat="1" ht="12" customHeight="1">
      <c r="A88" s="168"/>
      <c r="B88" s="178"/>
      <c r="C88" s="178"/>
      <c r="D88" s="180"/>
      <c r="E88" s="180"/>
      <c r="F88" s="158"/>
      <c r="G88" s="1601" t="s">
        <v>724</v>
      </c>
      <c r="H88" s="1601"/>
      <c r="I88" s="174">
        <f>I69+I75+I83</f>
        <v>1168427958.9100001</v>
      </c>
      <c r="J88" s="174">
        <f>J69+J75+J83</f>
        <v>1154448114.7</v>
      </c>
      <c r="K88" s="167"/>
    </row>
    <row r="89" spans="1:11" s="156" customFormat="1" ht="9.9499999999999993" customHeight="1">
      <c r="A89" s="168"/>
      <c r="B89" s="178"/>
      <c r="C89" s="178"/>
      <c r="D89" s="180"/>
      <c r="E89" s="180"/>
      <c r="F89" s="158"/>
      <c r="G89" s="178"/>
      <c r="H89" s="170"/>
      <c r="I89" s="180"/>
      <c r="J89" s="180"/>
      <c r="K89" s="167"/>
    </row>
    <row r="90" spans="1:11" s="156" customFormat="1" ht="12" customHeight="1">
      <c r="A90" s="168"/>
      <c r="B90" s="178"/>
      <c r="C90" s="178"/>
      <c r="D90" s="180"/>
      <c r="E90" s="180"/>
      <c r="F90" s="158"/>
      <c r="G90" s="1601" t="s">
        <v>725</v>
      </c>
      <c r="H90" s="1601"/>
      <c r="I90" s="174">
        <f>I65+I88</f>
        <v>1170103498.3400002</v>
      </c>
      <c r="J90" s="174">
        <f>J65+J88</f>
        <v>1157748367.0800002</v>
      </c>
      <c r="K90" s="167"/>
    </row>
    <row r="91" spans="1:11" s="156" customFormat="1">
      <c r="A91" s="168"/>
      <c r="B91" s="178"/>
      <c r="C91" s="178"/>
      <c r="D91" s="180"/>
      <c r="E91" s="180"/>
      <c r="F91" s="158"/>
      <c r="G91" s="554"/>
      <c r="H91" s="554"/>
      <c r="I91" s="174"/>
      <c r="J91" s="174"/>
      <c r="K91" s="167"/>
    </row>
    <row r="92" spans="1:11" s="156" customFormat="1" ht="6" customHeight="1">
      <c r="A92" s="189"/>
      <c r="B92" s="190"/>
      <c r="C92" s="190"/>
      <c r="D92" s="190"/>
      <c r="E92" s="190"/>
      <c r="F92" s="191"/>
      <c r="G92" s="190"/>
      <c r="H92" s="190"/>
      <c r="I92" s="190"/>
      <c r="J92" s="190"/>
      <c r="K92" s="192"/>
    </row>
    <row r="93" spans="1:11" s="156" customFormat="1" ht="6" customHeight="1">
      <c r="A93" s="157"/>
      <c r="B93" s="170"/>
      <c r="C93" s="193"/>
      <c r="D93" s="194"/>
      <c r="E93" s="194"/>
      <c r="F93" s="158"/>
      <c r="G93" s="195"/>
      <c r="H93" s="193"/>
      <c r="I93" s="194"/>
      <c r="J93" s="194"/>
      <c r="K93" s="157"/>
    </row>
    <row r="94" spans="1:11" s="156" customFormat="1" ht="6" customHeight="1">
      <c r="A94" s="196"/>
      <c r="B94" s="197"/>
      <c r="C94" s="198"/>
      <c r="D94" s="199"/>
      <c r="E94" s="199"/>
      <c r="F94" s="191"/>
      <c r="G94" s="200"/>
      <c r="H94" s="198"/>
      <c r="I94" s="199"/>
      <c r="J94" s="199"/>
      <c r="K94" s="157"/>
    </row>
    <row r="95" spans="1:11" s="156" customFormat="1" ht="6" customHeight="1">
      <c r="A95" s="157"/>
      <c r="B95" s="170"/>
      <c r="C95" s="193"/>
      <c r="D95" s="194"/>
      <c r="E95" s="194"/>
      <c r="F95" s="158"/>
      <c r="G95" s="195"/>
      <c r="H95" s="193"/>
      <c r="I95" s="194"/>
      <c r="J95" s="194"/>
      <c r="K95" s="157"/>
    </row>
    <row r="96" spans="1:11" s="156" customFormat="1" ht="15" customHeight="1">
      <c r="A96" s="157"/>
      <c r="B96" s="1604" t="s">
        <v>668</v>
      </c>
      <c r="C96" s="1604"/>
      <c r="D96" s="1604"/>
      <c r="E96" s="1604"/>
      <c r="F96" s="1604"/>
      <c r="G96" s="1604"/>
      <c r="H96" s="1604"/>
      <c r="I96" s="1604"/>
      <c r="J96" s="1604"/>
      <c r="K96" s="157"/>
    </row>
    <row r="97" spans="1:11" s="156" customFormat="1" ht="9.75" customHeight="1">
      <c r="A97" s="157"/>
      <c r="B97" s="170"/>
      <c r="C97" s="193"/>
      <c r="D97" s="194"/>
      <c r="E97" s="194"/>
      <c r="F97" s="158"/>
      <c r="G97" s="195"/>
      <c r="H97" s="193"/>
      <c r="I97" s="194"/>
      <c r="J97" s="194"/>
      <c r="K97" s="157"/>
    </row>
    <row r="98" spans="1:11" s="156" customFormat="1" ht="50.1" customHeight="1">
      <c r="A98" s="157"/>
      <c r="B98" s="170"/>
      <c r="C98" s="1605"/>
      <c r="D98" s="1605"/>
      <c r="E98" s="194"/>
      <c r="F98" s="158"/>
      <c r="G98" s="1606"/>
      <c r="H98" s="1606"/>
      <c r="I98" s="194"/>
      <c r="J98" s="194"/>
      <c r="K98" s="157"/>
    </row>
    <row r="99" spans="1:11" s="156" customFormat="1" ht="14.1" customHeight="1">
      <c r="A99" s="157"/>
      <c r="B99" s="201"/>
      <c r="C99" s="1607" t="s">
        <v>2872</v>
      </c>
      <c r="D99" s="1607"/>
      <c r="E99" s="194"/>
      <c r="F99" s="202"/>
      <c r="G99" s="1607" t="s">
        <v>669</v>
      </c>
      <c r="H99" s="1607"/>
      <c r="I99" s="171"/>
      <c r="J99" s="194"/>
      <c r="K99" s="157"/>
    </row>
    <row r="100" spans="1:11" s="156" customFormat="1" ht="14.1" customHeight="1">
      <c r="A100" s="157"/>
      <c r="B100" s="203"/>
      <c r="C100" s="1602" t="s">
        <v>1769</v>
      </c>
      <c r="D100" s="1602"/>
      <c r="E100" s="204"/>
      <c r="F100" s="202"/>
      <c r="G100" s="1602" t="s">
        <v>670</v>
      </c>
      <c r="H100" s="1602"/>
      <c r="I100" s="171"/>
      <c r="J100" s="194"/>
      <c r="K100" s="157"/>
    </row>
  </sheetData>
  <sheetProtection formatCells="0" selectLockedCells="1"/>
  <mergeCells count="73">
    <mergeCell ref="C100:D100"/>
    <mergeCell ref="G100:H100"/>
    <mergeCell ref="G69:H69"/>
    <mergeCell ref="G67:H67"/>
    <mergeCell ref="G65:H65"/>
    <mergeCell ref="G90:H90"/>
    <mergeCell ref="B96:J96"/>
    <mergeCell ref="C98:D98"/>
    <mergeCell ref="G98:H98"/>
    <mergeCell ref="C99:D99"/>
    <mergeCell ref="G99:H99"/>
    <mergeCell ref="G80:H80"/>
    <mergeCell ref="G81:H81"/>
    <mergeCell ref="G83:H83"/>
    <mergeCell ref="G85:H85"/>
    <mergeCell ref="G86:H86"/>
    <mergeCell ref="G88:H88"/>
    <mergeCell ref="G71:H71"/>
    <mergeCell ref="G72:H72"/>
    <mergeCell ref="G73:H73"/>
    <mergeCell ref="G75:H75"/>
    <mergeCell ref="G77:H77"/>
    <mergeCell ref="G78:H78"/>
    <mergeCell ref="G79:H79"/>
    <mergeCell ref="B64:C64"/>
    <mergeCell ref="B66:C66"/>
    <mergeCell ref="B68:C68"/>
    <mergeCell ref="B60:C60"/>
    <mergeCell ref="G60:H60"/>
    <mergeCell ref="B61:C61"/>
    <mergeCell ref="G61:H61"/>
    <mergeCell ref="B62:C62"/>
    <mergeCell ref="B63:C63"/>
    <mergeCell ref="G63:H63"/>
    <mergeCell ref="B57:C57"/>
    <mergeCell ref="G57:H57"/>
    <mergeCell ref="B58:C58"/>
    <mergeCell ref="G58:H58"/>
    <mergeCell ref="B59:C59"/>
    <mergeCell ref="G59:H59"/>
    <mergeCell ref="B56:C56"/>
    <mergeCell ref="G56:H56"/>
    <mergeCell ref="B41:C41"/>
    <mergeCell ref="G34:H34"/>
    <mergeCell ref="B42:C42"/>
    <mergeCell ref="G38:H38"/>
    <mergeCell ref="B45:C45"/>
    <mergeCell ref="G45:H45"/>
    <mergeCell ref="G49:H49"/>
    <mergeCell ref="B51:C51"/>
    <mergeCell ref="G52:H52"/>
    <mergeCell ref="B54:C54"/>
    <mergeCell ref="G54:H54"/>
    <mergeCell ref="B25:C25"/>
    <mergeCell ref="G26:H26"/>
    <mergeCell ref="B33:C33"/>
    <mergeCell ref="G30:H30"/>
    <mergeCell ref="B39:C39"/>
    <mergeCell ref="G33:H33"/>
    <mergeCell ref="B13:C13"/>
    <mergeCell ref="G13:H13"/>
    <mergeCell ref="B15:C15"/>
    <mergeCell ref="G15:H15"/>
    <mergeCell ref="B17:C17"/>
    <mergeCell ref="G17:H17"/>
    <mergeCell ref="C3:I3"/>
    <mergeCell ref="C4:I4"/>
    <mergeCell ref="C5:I5"/>
    <mergeCell ref="C6:I6"/>
    <mergeCell ref="A9:A10"/>
    <mergeCell ref="B9:C10"/>
    <mergeCell ref="F9:F10"/>
    <mergeCell ref="G9:H10"/>
  </mergeCells>
  <conditionalFormatting sqref="C72:D79">
    <cfRule type="expression" dxfId="1" priority="1">
      <formula>$E$68&lt;&gt;$J$90</formula>
    </cfRule>
    <cfRule type="expression" dxfId="0" priority="2">
      <formula>$D$68&lt;&gt;$I$90</formula>
    </cfRule>
  </conditionalFormatting>
  <printOptions horizontalCentered="1" verticalCentered="1"/>
  <pageMargins left="0" right="0" top="0.2" bottom="0.18" header="0" footer="0"/>
  <pageSetup scale="4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CC9EB1-9A8B-4A10-B2AB-950FD7BF1B1E}">
  <dimension ref="B1:S100"/>
  <sheetViews>
    <sheetView workbookViewId="0">
      <selection activeCell="C29" sqref="C29"/>
    </sheetView>
  </sheetViews>
  <sheetFormatPr baseColWidth="10" defaultRowHeight="12.75"/>
  <cols>
    <col min="1" max="1" width="0.85546875" customWidth="1"/>
    <col min="2" max="2" width="47.42578125" style="1242" customWidth="1"/>
    <col min="3" max="4" width="14.7109375" style="1242" customWidth="1"/>
    <col min="5" max="5" width="47.42578125" style="1242" customWidth="1"/>
    <col min="6" max="7" width="14.7109375" customWidth="1"/>
    <col min="8" max="8" width="22.140625" bestFit="1" customWidth="1"/>
  </cols>
  <sheetData>
    <row r="1" spans="2:8" ht="3.75" customHeight="1" thickBot="1">
      <c r="H1" s="901" t="s">
        <v>5020</v>
      </c>
    </row>
    <row r="2" spans="2:8">
      <c r="B2" s="1646" t="s">
        <v>2992</v>
      </c>
      <c r="C2" s="1647"/>
      <c r="D2" s="1647"/>
      <c r="E2" s="1647"/>
      <c r="F2" s="1647"/>
      <c r="G2" s="1648"/>
    </row>
    <row r="3" spans="2:8">
      <c r="B3" s="1649" t="s">
        <v>5021</v>
      </c>
      <c r="C3" s="1650"/>
      <c r="D3" s="1650"/>
      <c r="E3" s="1650"/>
      <c r="F3" s="1650"/>
      <c r="G3" s="1651"/>
    </row>
    <row r="4" spans="2:8" ht="15" customHeight="1">
      <c r="B4" s="1652"/>
      <c r="C4" s="1653"/>
      <c r="D4" s="1653"/>
      <c r="E4" s="1653"/>
      <c r="F4" s="1653"/>
      <c r="G4" s="1654"/>
    </row>
    <row r="5" spans="2:8" ht="13.5" thickBot="1">
      <c r="B5" s="1655" t="s">
        <v>5022</v>
      </c>
      <c r="C5" s="1656"/>
      <c r="D5" s="1656"/>
      <c r="E5" s="1656"/>
      <c r="F5" s="1656"/>
      <c r="G5" s="1657"/>
    </row>
    <row r="6" spans="2:8" ht="24.75" thickBot="1">
      <c r="B6" s="1243" t="s">
        <v>5023</v>
      </c>
      <c r="C6" s="1243" t="s">
        <v>5934</v>
      </c>
      <c r="D6" s="1243" t="s">
        <v>5935</v>
      </c>
      <c r="E6" s="1243" t="s">
        <v>5023</v>
      </c>
      <c r="F6" s="1243" t="s">
        <v>5934</v>
      </c>
      <c r="G6" s="1243" t="s">
        <v>5935</v>
      </c>
    </row>
    <row r="7" spans="2:8">
      <c r="B7" s="1244" t="s">
        <v>1022</v>
      </c>
      <c r="C7" s="1245"/>
      <c r="D7" s="1245"/>
      <c r="E7" s="1246" t="s">
        <v>673</v>
      </c>
      <c r="F7" s="1247"/>
      <c r="G7" s="1247"/>
    </row>
    <row r="8" spans="2:8">
      <c r="B8" s="1244" t="s">
        <v>674</v>
      </c>
      <c r="C8" s="1248"/>
      <c r="D8" s="1248"/>
      <c r="E8" s="1246" t="s">
        <v>675</v>
      </c>
      <c r="F8" s="1249"/>
      <c r="G8" s="1249"/>
    </row>
    <row r="9" spans="2:8" ht="24">
      <c r="B9" s="1250" t="s">
        <v>5024</v>
      </c>
      <c r="C9" s="1251">
        <f>SUM(C10:C16)</f>
        <v>184667850.49000001</v>
      </c>
      <c r="D9" s="1251">
        <f>SUM(D10:D16)</f>
        <v>192432921.41000003</v>
      </c>
      <c r="E9" s="1252" t="s">
        <v>5025</v>
      </c>
      <c r="F9" s="1251">
        <f>SUM(F10:F18)</f>
        <v>1664328.67</v>
      </c>
      <c r="G9" s="1251">
        <f>SUM(G10:G18)</f>
        <v>3290802.8</v>
      </c>
    </row>
    <row r="10" spans="2:8">
      <c r="B10" s="1253" t="s">
        <v>5026</v>
      </c>
      <c r="C10" s="1254">
        <f>+'ESF det'!D18</f>
        <v>11000</v>
      </c>
      <c r="D10" s="1254">
        <f>+'ESF det'!E18</f>
        <v>11000</v>
      </c>
      <c r="E10" s="1255" t="s">
        <v>5027</v>
      </c>
      <c r="F10" s="1254">
        <v>0</v>
      </c>
      <c r="G10" s="1254">
        <v>0</v>
      </c>
    </row>
    <row r="11" spans="2:8">
      <c r="B11" s="1253" t="s">
        <v>5028</v>
      </c>
      <c r="C11" s="1254">
        <f>+'ESF det'!D19</f>
        <v>12780838.359999999</v>
      </c>
      <c r="D11" s="1254">
        <f>+'ESF det'!E19</f>
        <v>27566078.359999999</v>
      </c>
      <c r="E11" s="1255" t="s">
        <v>5029</v>
      </c>
      <c r="F11" s="1254">
        <v>0</v>
      </c>
      <c r="G11" s="1254">
        <v>0</v>
      </c>
    </row>
    <row r="12" spans="2:8" ht="24">
      <c r="B12" s="1253" t="s">
        <v>5030</v>
      </c>
      <c r="C12" s="1254">
        <v>0</v>
      </c>
      <c r="D12" s="1254">
        <v>0</v>
      </c>
      <c r="E12" s="1255" t="s">
        <v>5031</v>
      </c>
      <c r="F12" s="1254">
        <v>0</v>
      </c>
      <c r="G12" s="1254">
        <v>0</v>
      </c>
    </row>
    <row r="13" spans="2:8" ht="24">
      <c r="B13" s="1253" t="s">
        <v>5032</v>
      </c>
      <c r="C13" s="1254">
        <f>+'ESF det'!D21</f>
        <v>171876012.13</v>
      </c>
      <c r="D13" s="1254">
        <f>+'ESF det'!E21</f>
        <v>164855843.05000001</v>
      </c>
      <c r="E13" s="1255" t="s">
        <v>5033</v>
      </c>
      <c r="F13" s="1254">
        <v>0</v>
      </c>
      <c r="G13" s="1254">
        <v>0</v>
      </c>
    </row>
    <row r="14" spans="2:8" ht="22.15" customHeight="1">
      <c r="B14" s="1253" t="s">
        <v>5034</v>
      </c>
      <c r="C14" s="1254">
        <v>0</v>
      </c>
      <c r="D14" s="1254">
        <v>0</v>
      </c>
      <c r="E14" s="1255" t="s">
        <v>5035</v>
      </c>
      <c r="F14" s="1254">
        <v>0</v>
      </c>
      <c r="G14" s="1254">
        <v>0</v>
      </c>
    </row>
    <row r="15" spans="2:8" ht="24">
      <c r="B15" s="1253" t="s">
        <v>5036</v>
      </c>
      <c r="C15" s="1254">
        <v>0</v>
      </c>
      <c r="D15" s="1254">
        <v>0</v>
      </c>
      <c r="E15" s="1255" t="s">
        <v>5037</v>
      </c>
      <c r="F15" s="1254">
        <v>0</v>
      </c>
      <c r="G15" s="1254">
        <v>0</v>
      </c>
    </row>
    <row r="16" spans="2:8" ht="24">
      <c r="B16" s="1253" t="s">
        <v>5038</v>
      </c>
      <c r="C16" s="1254">
        <v>0</v>
      </c>
      <c r="D16" s="1254">
        <v>0</v>
      </c>
      <c r="E16" s="1255" t="s">
        <v>5039</v>
      </c>
      <c r="F16" s="1254">
        <f>+'ESF det'!I24</f>
        <v>1560882.94</v>
      </c>
      <c r="G16" s="1254">
        <f>+'ESF det'!J24</f>
        <v>2485657.73</v>
      </c>
    </row>
    <row r="17" spans="2:7" ht="24">
      <c r="B17" s="1250" t="s">
        <v>5040</v>
      </c>
      <c r="C17" s="1251">
        <f>SUM(C18:C24)</f>
        <v>18347330.919999998</v>
      </c>
      <c r="D17" s="1251">
        <f>SUM(D18:D24)</f>
        <v>30004506.859999999</v>
      </c>
      <c r="E17" s="1255" t="s">
        <v>5041</v>
      </c>
      <c r="F17" s="1254">
        <v>0</v>
      </c>
      <c r="G17" s="1254">
        <v>0</v>
      </c>
    </row>
    <row r="18" spans="2:7">
      <c r="B18" s="1253" t="s">
        <v>5042</v>
      </c>
      <c r="C18" s="1254">
        <v>0</v>
      </c>
      <c r="D18" s="1254">
        <v>0</v>
      </c>
      <c r="E18" s="1255" t="s">
        <v>5043</v>
      </c>
      <c r="F18" s="1254">
        <f>+'ESF det'!I25</f>
        <v>103445.73</v>
      </c>
      <c r="G18" s="1254">
        <f>+'ESF det'!J25</f>
        <v>805145.07</v>
      </c>
    </row>
    <row r="19" spans="2:7">
      <c r="B19" s="1253" t="s">
        <v>5044</v>
      </c>
      <c r="C19" s="1254">
        <f>+'ESF det'!D27</f>
        <v>9771171.2899999991</v>
      </c>
      <c r="D19" s="1254">
        <f>+'ESF det'!E27</f>
        <v>15440775.220000001</v>
      </c>
      <c r="E19" s="1252" t="s">
        <v>5045</v>
      </c>
      <c r="F19" s="1251">
        <f>SUM(F20:F22)</f>
        <v>0</v>
      </c>
      <c r="G19" s="1251">
        <f>SUM(G20:G22)</f>
        <v>0</v>
      </c>
    </row>
    <row r="20" spans="2:7" ht="24">
      <c r="B20" s="1253" t="s">
        <v>5046</v>
      </c>
      <c r="C20" s="1254">
        <f>+'ESF det'!D28</f>
        <v>24997.27</v>
      </c>
      <c r="D20" s="1254">
        <f>+'ESF det'!E28</f>
        <v>7044674.3300000001</v>
      </c>
      <c r="E20" s="1255" t="s">
        <v>5047</v>
      </c>
      <c r="F20" s="1254">
        <v>0</v>
      </c>
      <c r="G20" s="1254">
        <v>0</v>
      </c>
    </row>
    <row r="21" spans="2:7" ht="24">
      <c r="B21" s="1253" t="s">
        <v>5048</v>
      </c>
      <c r="C21" s="1254">
        <f>+'ESF det'!D29</f>
        <v>8551162.3599999994</v>
      </c>
      <c r="D21" s="1254">
        <f>+'ESF det'!E29</f>
        <v>7518457.3099999996</v>
      </c>
      <c r="E21" s="1255" t="s">
        <v>5049</v>
      </c>
      <c r="F21" s="1254">
        <v>0</v>
      </c>
      <c r="G21" s="1254">
        <v>0</v>
      </c>
    </row>
    <row r="22" spans="2:7" ht="24">
      <c r="B22" s="1253" t="s">
        <v>5050</v>
      </c>
      <c r="C22" s="1254">
        <f>+'ESF det'!D30</f>
        <v>0</v>
      </c>
      <c r="D22" s="1254">
        <f>+'ESF det'!E30</f>
        <v>600</v>
      </c>
      <c r="E22" s="1255" t="s">
        <v>5051</v>
      </c>
      <c r="F22" s="1254">
        <v>0</v>
      </c>
      <c r="G22" s="1254">
        <v>0</v>
      </c>
    </row>
    <row r="23" spans="2:7" ht="24">
      <c r="B23" s="1253" t="s">
        <v>5052</v>
      </c>
      <c r="C23" s="1254">
        <v>0</v>
      </c>
      <c r="D23" s="1254">
        <v>0</v>
      </c>
      <c r="E23" s="1252" t="s">
        <v>5053</v>
      </c>
      <c r="F23" s="1251">
        <f>SUM(F24:F25)</f>
        <v>0</v>
      </c>
      <c r="G23" s="1251">
        <f>SUM(G24:G25)</f>
        <v>0</v>
      </c>
    </row>
    <row r="24" spans="2:7" ht="24">
      <c r="B24" s="1253" t="s">
        <v>5054</v>
      </c>
      <c r="C24" s="1254">
        <v>0</v>
      </c>
      <c r="D24" s="1254">
        <v>0</v>
      </c>
      <c r="E24" s="1255" t="s">
        <v>5055</v>
      </c>
      <c r="F24" s="1254">
        <v>0</v>
      </c>
      <c r="G24" s="1254">
        <v>0</v>
      </c>
    </row>
    <row r="25" spans="2:7" ht="24">
      <c r="B25" s="1250" t="s">
        <v>5056</v>
      </c>
      <c r="C25" s="1251">
        <f>SUM(C26:C30)</f>
        <v>785385.31</v>
      </c>
      <c r="D25" s="1251">
        <f>SUM(D26:D30)</f>
        <v>292951.38</v>
      </c>
      <c r="E25" s="1255" t="s">
        <v>5057</v>
      </c>
      <c r="F25" s="1254">
        <v>0</v>
      </c>
      <c r="G25" s="1254">
        <v>0</v>
      </c>
    </row>
    <row r="26" spans="2:7" ht="24">
      <c r="B26" s="1253" t="s">
        <v>5058</v>
      </c>
      <c r="C26" s="1254">
        <f>+'ESF det'!D34</f>
        <v>8604.6</v>
      </c>
      <c r="D26" s="1254">
        <f>+'ESF det'!E34</f>
        <v>15380</v>
      </c>
      <c r="E26" s="1252" t="s">
        <v>5059</v>
      </c>
      <c r="F26" s="1256">
        <v>0</v>
      </c>
      <c r="G26" s="1256">
        <v>0</v>
      </c>
    </row>
    <row r="27" spans="2:7" ht="24">
      <c r="B27" s="1253" t="s">
        <v>5060</v>
      </c>
      <c r="C27" s="1254">
        <v>0</v>
      </c>
      <c r="D27" s="1254">
        <v>0</v>
      </c>
      <c r="E27" s="1252" t="s">
        <v>5061</v>
      </c>
      <c r="F27" s="1251">
        <f>SUM(F28:F30)</f>
        <v>11210.76</v>
      </c>
      <c r="G27" s="1251">
        <f>SUM(G28:G30)</f>
        <v>9449.58</v>
      </c>
    </row>
    <row r="28" spans="2:7" ht="24">
      <c r="B28" s="1253" t="s">
        <v>5062</v>
      </c>
      <c r="C28" s="1254">
        <f>+'ESF det'!D36</f>
        <v>128109.72</v>
      </c>
      <c r="D28" s="1254">
        <f>+'ESF det'!E36</f>
        <v>277571.38</v>
      </c>
      <c r="E28" s="1255" t="s">
        <v>5063</v>
      </c>
      <c r="F28" s="1254">
        <f>+'ESF det'!I35</f>
        <v>11210.76</v>
      </c>
      <c r="G28" s="1254">
        <f>+'ESF det'!J35</f>
        <v>9449.58</v>
      </c>
    </row>
    <row r="29" spans="2:7" ht="25.15" customHeight="1">
      <c r="B29" s="1253" t="s">
        <v>5064</v>
      </c>
      <c r="C29" s="1254">
        <f>+'ESF det'!D37</f>
        <v>648670.99</v>
      </c>
      <c r="D29" s="1254">
        <v>0</v>
      </c>
      <c r="E29" s="1255" t="s">
        <v>5065</v>
      </c>
      <c r="F29" s="1254">
        <v>0</v>
      </c>
      <c r="G29" s="1254">
        <v>0</v>
      </c>
    </row>
    <row r="30" spans="2:7" ht="28.9" customHeight="1">
      <c r="B30" s="1253" t="s">
        <v>5066</v>
      </c>
      <c r="C30" s="1254">
        <v>0</v>
      </c>
      <c r="D30" s="1254">
        <v>0</v>
      </c>
      <c r="E30" s="1255" t="s">
        <v>5067</v>
      </c>
      <c r="F30" s="1254">
        <v>0</v>
      </c>
      <c r="G30" s="1254">
        <v>0</v>
      </c>
    </row>
    <row r="31" spans="2:7" ht="24">
      <c r="B31" s="1250" t="s">
        <v>5068</v>
      </c>
      <c r="C31" s="1251">
        <f>SUM(C32:C36)</f>
        <v>0</v>
      </c>
      <c r="D31" s="1251">
        <f>SUM(D32:D36)</f>
        <v>0</v>
      </c>
      <c r="E31" s="1252" t="s">
        <v>5069</v>
      </c>
      <c r="F31" s="1251">
        <f>SUM(F32:F37)</f>
        <v>0</v>
      </c>
      <c r="G31" s="1251">
        <f>SUM(G32:G37)</f>
        <v>0</v>
      </c>
    </row>
    <row r="32" spans="2:7">
      <c r="B32" s="1253" t="s">
        <v>5070</v>
      </c>
      <c r="C32" s="1254">
        <v>0</v>
      </c>
      <c r="D32" s="1254">
        <v>0</v>
      </c>
      <c r="E32" s="1255" t="s">
        <v>5071</v>
      </c>
      <c r="F32" s="1254">
        <v>0</v>
      </c>
      <c r="G32" s="1254">
        <v>0</v>
      </c>
    </row>
    <row r="33" spans="2:7">
      <c r="B33" s="1253" t="s">
        <v>5072</v>
      </c>
      <c r="C33" s="1254">
        <v>0</v>
      </c>
      <c r="D33" s="1254">
        <v>0</v>
      </c>
      <c r="E33" s="1255" t="s">
        <v>5073</v>
      </c>
      <c r="F33" s="1254">
        <v>0</v>
      </c>
      <c r="G33" s="1254">
        <v>0</v>
      </c>
    </row>
    <row r="34" spans="2:7" ht="24">
      <c r="B34" s="1253" t="s">
        <v>5074</v>
      </c>
      <c r="C34" s="1254">
        <v>0</v>
      </c>
      <c r="D34" s="1254">
        <v>0</v>
      </c>
      <c r="E34" s="1255" t="s">
        <v>5075</v>
      </c>
      <c r="F34" s="1254">
        <v>0</v>
      </c>
      <c r="G34" s="1254">
        <v>0</v>
      </c>
    </row>
    <row r="35" spans="2:7" ht="24">
      <c r="B35" s="1253" t="s">
        <v>5076</v>
      </c>
      <c r="C35" s="1254">
        <v>0</v>
      </c>
      <c r="D35" s="1254">
        <v>0</v>
      </c>
      <c r="E35" s="1255" t="s">
        <v>5077</v>
      </c>
      <c r="F35" s="1254">
        <v>0</v>
      </c>
      <c r="G35" s="1254">
        <v>0</v>
      </c>
    </row>
    <row r="36" spans="2:7" ht="24">
      <c r="B36" s="1253" t="s">
        <v>5078</v>
      </c>
      <c r="C36" s="1254">
        <v>0</v>
      </c>
      <c r="D36" s="1254">
        <v>0</v>
      </c>
      <c r="E36" s="1255" t="s">
        <v>5079</v>
      </c>
      <c r="F36" s="1254">
        <v>0</v>
      </c>
      <c r="G36" s="1254">
        <v>0</v>
      </c>
    </row>
    <row r="37" spans="2:7">
      <c r="B37" s="1250" t="s">
        <v>5080</v>
      </c>
      <c r="C37" s="1256">
        <v>0</v>
      </c>
      <c r="D37" s="1256">
        <v>0</v>
      </c>
      <c r="E37" s="1255" t="s">
        <v>5081</v>
      </c>
      <c r="F37" s="1254">
        <v>0</v>
      </c>
      <c r="G37" s="1254">
        <v>0</v>
      </c>
    </row>
    <row r="38" spans="2:7" ht="24">
      <c r="B38" s="1250" t="s">
        <v>5082</v>
      </c>
      <c r="C38" s="1251">
        <f>SUM(C39:C40)</f>
        <v>0</v>
      </c>
      <c r="D38" s="1251">
        <f>SUM(D39:D40)</f>
        <v>0</v>
      </c>
      <c r="E38" s="1252" t="s">
        <v>5083</v>
      </c>
      <c r="F38" s="1251">
        <f>SUM(F39:F41)</f>
        <v>0</v>
      </c>
      <c r="G38" s="1251">
        <f>SUM(G39:G41)</f>
        <v>0</v>
      </c>
    </row>
    <row r="39" spans="2:7" ht="24">
      <c r="B39" s="1253" t="s">
        <v>5084</v>
      </c>
      <c r="C39" s="1254">
        <v>0</v>
      </c>
      <c r="D39" s="1254">
        <v>0</v>
      </c>
      <c r="E39" s="1255" t="s">
        <v>5085</v>
      </c>
      <c r="F39" s="1254">
        <v>0</v>
      </c>
      <c r="G39" s="1254">
        <v>0</v>
      </c>
    </row>
    <row r="40" spans="2:7">
      <c r="B40" s="1253" t="s">
        <v>5086</v>
      </c>
      <c r="C40" s="1254">
        <v>0</v>
      </c>
      <c r="D40" s="1254">
        <v>0</v>
      </c>
      <c r="E40" s="1255" t="s">
        <v>5087</v>
      </c>
      <c r="F40" s="1254">
        <v>0</v>
      </c>
      <c r="G40" s="1254">
        <v>0</v>
      </c>
    </row>
    <row r="41" spans="2:7">
      <c r="B41" s="1250" t="s">
        <v>5088</v>
      </c>
      <c r="C41" s="1251">
        <f>SUM(C42:C45)</f>
        <v>163103.14000000001</v>
      </c>
      <c r="D41" s="1251">
        <f>SUM(D42:D45)</f>
        <v>157809.14000000001</v>
      </c>
      <c r="E41" s="1255" t="s">
        <v>5089</v>
      </c>
      <c r="F41" s="1254">
        <v>0</v>
      </c>
      <c r="G41" s="1254">
        <v>0</v>
      </c>
    </row>
    <row r="42" spans="2:7">
      <c r="B42" s="1253" t="s">
        <v>5090</v>
      </c>
      <c r="C42" s="1254">
        <f>+'ESF det'!D46</f>
        <v>163103.14000000001</v>
      </c>
      <c r="D42" s="1254">
        <v>157809.14000000001</v>
      </c>
      <c r="E42" s="1252" t="s">
        <v>5091</v>
      </c>
      <c r="F42" s="1251">
        <f>SUM(F43:F45)</f>
        <v>0</v>
      </c>
      <c r="G42" s="1251">
        <f>SUM(G43:G45)</f>
        <v>0</v>
      </c>
    </row>
    <row r="43" spans="2:7" ht="24">
      <c r="B43" s="1253" t="s">
        <v>5092</v>
      </c>
      <c r="C43" s="1254">
        <v>0</v>
      </c>
      <c r="D43" s="1254">
        <v>0</v>
      </c>
      <c r="E43" s="1255" t="s">
        <v>5093</v>
      </c>
      <c r="F43" s="1254">
        <v>0</v>
      </c>
      <c r="G43" s="1254">
        <v>0</v>
      </c>
    </row>
    <row r="44" spans="2:7" ht="24">
      <c r="B44" s="1253" t="s">
        <v>5094</v>
      </c>
      <c r="C44" s="1254">
        <v>0</v>
      </c>
      <c r="D44" s="1254">
        <v>0</v>
      </c>
      <c r="E44" s="1255" t="s">
        <v>5095</v>
      </c>
      <c r="F44" s="1254">
        <v>0</v>
      </c>
      <c r="G44" s="1254">
        <v>0</v>
      </c>
    </row>
    <row r="45" spans="2:7">
      <c r="B45" s="1253" t="s">
        <v>5096</v>
      </c>
      <c r="C45" s="1254">
        <v>0</v>
      </c>
      <c r="D45" s="1254">
        <v>0</v>
      </c>
      <c r="E45" s="1255" t="s">
        <v>5097</v>
      </c>
      <c r="F45" s="1254">
        <v>0</v>
      </c>
      <c r="G45" s="1254">
        <v>0</v>
      </c>
    </row>
    <row r="46" spans="2:7" ht="15.75" customHeight="1">
      <c r="B46" s="1250"/>
      <c r="C46" s="1257"/>
      <c r="D46" s="1257"/>
      <c r="E46" s="1252"/>
      <c r="F46" s="1257"/>
      <c r="G46" s="1257"/>
    </row>
    <row r="47" spans="2:7" ht="24">
      <c r="B47" s="1244" t="s">
        <v>5098</v>
      </c>
      <c r="C47" s="1251">
        <f>SUM(C41,C38,C37,C31,C25,C17,C9)</f>
        <v>203963669.86000001</v>
      </c>
      <c r="D47" s="1251">
        <f>SUM(D41,D38,D37,D31,D25,D17,D9)</f>
        <v>222888188.79000002</v>
      </c>
      <c r="E47" s="1246" t="s">
        <v>5099</v>
      </c>
      <c r="F47" s="1251">
        <f>SUM(F42,F38,F31,F27,F26,F23,F19,F9)</f>
        <v>1675539.43</v>
      </c>
      <c r="G47" s="1251">
        <f>SUM(G42,G38,G31,G27,G26,G23,G19,G9)</f>
        <v>3300252.38</v>
      </c>
    </row>
    <row r="48" spans="2:7" ht="15" customHeight="1">
      <c r="B48" s="1258"/>
      <c r="C48" s="1257"/>
      <c r="D48" s="1259"/>
      <c r="E48" s="1260"/>
      <c r="F48" s="1257"/>
      <c r="G48" s="1257"/>
    </row>
    <row r="49" spans="2:7">
      <c r="B49" s="1244" t="s">
        <v>692</v>
      </c>
      <c r="C49" s="1257"/>
      <c r="D49" s="1259"/>
      <c r="E49" s="1246" t="s">
        <v>693</v>
      </c>
      <c r="F49" s="1257"/>
      <c r="G49" s="1257"/>
    </row>
    <row r="50" spans="2:7">
      <c r="B50" s="1250" t="s">
        <v>5100</v>
      </c>
      <c r="C50" s="1254">
        <f>+'ESF det'!D56</f>
        <v>1758830</v>
      </c>
      <c r="D50" s="1254">
        <f>+'ESF det'!E56</f>
        <v>1758830</v>
      </c>
      <c r="E50" s="1252" t="s">
        <v>5101</v>
      </c>
      <c r="F50" s="1254">
        <v>0</v>
      </c>
      <c r="G50" s="1254">
        <v>0</v>
      </c>
    </row>
    <row r="51" spans="2:7" ht="24">
      <c r="B51" s="1250" t="s">
        <v>5102</v>
      </c>
      <c r="C51" s="1254">
        <f>+'ESF det'!D57</f>
        <v>0</v>
      </c>
      <c r="D51" s="1254">
        <f>+'ESF det'!E57</f>
        <v>0</v>
      </c>
      <c r="E51" s="1252" t="s">
        <v>5103</v>
      </c>
      <c r="F51" s="1254">
        <v>0</v>
      </c>
      <c r="G51" s="1254">
        <v>0</v>
      </c>
    </row>
    <row r="52" spans="2:7" ht="24">
      <c r="B52" s="1250" t="s">
        <v>5104</v>
      </c>
      <c r="C52" s="1254">
        <f>+'ESF det'!D58</f>
        <v>980297651.08000004</v>
      </c>
      <c r="D52" s="1254">
        <f>+'ESF det'!E58</f>
        <v>947679244.29999995</v>
      </c>
      <c r="E52" s="1252" t="s">
        <v>5105</v>
      </c>
      <c r="F52" s="1254">
        <v>0</v>
      </c>
      <c r="G52" s="1254">
        <v>0</v>
      </c>
    </row>
    <row r="53" spans="2:7">
      <c r="B53" s="1250" t="s">
        <v>5106</v>
      </c>
      <c r="C53" s="1254">
        <f>+'ESF det'!D59</f>
        <v>12318241.439999999</v>
      </c>
      <c r="D53" s="1254">
        <f>+'ESF det'!E59</f>
        <v>12279237.109999999</v>
      </c>
      <c r="E53" s="1252" t="s">
        <v>5107</v>
      </c>
      <c r="F53" s="1254">
        <v>0</v>
      </c>
      <c r="G53" s="1254">
        <v>0</v>
      </c>
    </row>
    <row r="54" spans="2:7" ht="24">
      <c r="B54" s="1250" t="s">
        <v>5108</v>
      </c>
      <c r="C54" s="1254">
        <f>+'ESF det'!D60</f>
        <v>8744971.7599999998</v>
      </c>
      <c r="D54" s="1254">
        <f>+'ESF det'!E60</f>
        <v>8744971.7599999998</v>
      </c>
      <c r="E54" s="1252" t="s">
        <v>5109</v>
      </c>
      <c r="F54" s="1254">
        <v>0</v>
      </c>
      <c r="G54" s="1254">
        <v>0</v>
      </c>
    </row>
    <row r="55" spans="2:7" ht="21" customHeight="1">
      <c r="B55" s="1250" t="s">
        <v>5110</v>
      </c>
      <c r="C55" s="1254">
        <f>+'ESF det'!D61</f>
        <v>-36979865.799999997</v>
      </c>
      <c r="D55" s="1254">
        <f>+'ESF det'!E61</f>
        <v>-35607398.879999995</v>
      </c>
      <c r="E55" s="1252" t="s">
        <v>5111</v>
      </c>
      <c r="F55" s="1254">
        <v>0</v>
      </c>
      <c r="G55" s="1254">
        <v>0</v>
      </c>
    </row>
    <row r="56" spans="2:7">
      <c r="B56" s="1250" t="s">
        <v>5112</v>
      </c>
      <c r="C56" s="1254">
        <v>0</v>
      </c>
      <c r="D56" s="1254">
        <v>0</v>
      </c>
      <c r="E56" s="1246"/>
      <c r="F56" s="1257"/>
      <c r="G56" s="1257"/>
    </row>
    <row r="57" spans="2:7" ht="24">
      <c r="B57" s="1250" t="s">
        <v>5113</v>
      </c>
      <c r="C57" s="1254">
        <v>0</v>
      </c>
      <c r="D57" s="1254">
        <v>0</v>
      </c>
      <c r="E57" s="1246" t="s">
        <v>5114</v>
      </c>
      <c r="F57" s="1251">
        <f>SUM(F50:F55)</f>
        <v>0</v>
      </c>
      <c r="G57" s="1251">
        <f>SUM(G50:G55)</f>
        <v>0</v>
      </c>
    </row>
    <row r="58" spans="2:7">
      <c r="B58" s="1250" t="s">
        <v>5115</v>
      </c>
      <c r="C58" s="1254">
        <v>0</v>
      </c>
      <c r="D58" s="1254">
        <v>0</v>
      </c>
      <c r="E58" s="1261"/>
      <c r="F58" s="1257"/>
      <c r="G58" s="1257"/>
    </row>
    <row r="59" spans="2:7">
      <c r="B59" s="1250"/>
      <c r="C59" s="1257"/>
      <c r="D59" s="1257"/>
      <c r="E59" s="1246" t="s">
        <v>5116</v>
      </c>
      <c r="F59" s="1251">
        <f>SUM(F47,F57)</f>
        <v>1675539.43</v>
      </c>
      <c r="G59" s="1251">
        <f>SUM(G47,G57)</f>
        <v>3300252.38</v>
      </c>
    </row>
    <row r="60" spans="2:7" ht="24">
      <c r="B60" s="1244" t="s">
        <v>5117</v>
      </c>
      <c r="C60" s="1251">
        <f>SUM(C50:C58)</f>
        <v>966139828.48000014</v>
      </c>
      <c r="D60" s="1251">
        <f>SUM(D50:D58)</f>
        <v>934854884.28999996</v>
      </c>
      <c r="E60" s="1252"/>
      <c r="F60" s="1257"/>
      <c r="G60" s="1257"/>
    </row>
    <row r="61" spans="2:7">
      <c r="B61" s="1250"/>
      <c r="C61" s="1257"/>
      <c r="D61" s="1257"/>
      <c r="E61" s="1246" t="s">
        <v>4898</v>
      </c>
      <c r="F61" s="1257"/>
      <c r="G61" s="1257"/>
    </row>
    <row r="62" spans="2:7">
      <c r="B62" s="1244" t="s">
        <v>5118</v>
      </c>
      <c r="C62" s="1251">
        <f>SUM(C47,C60)</f>
        <v>1170103498.3400002</v>
      </c>
      <c r="D62" s="1251">
        <f>SUM(D47,D60)</f>
        <v>1157743073.0799999</v>
      </c>
      <c r="E62" s="1246"/>
      <c r="F62" s="1257"/>
      <c r="G62" s="1257"/>
    </row>
    <row r="63" spans="2:7" ht="24">
      <c r="B63" s="1258"/>
      <c r="C63" s="1262"/>
      <c r="D63" s="1262"/>
      <c r="E63" s="1246" t="s">
        <v>5119</v>
      </c>
      <c r="F63" s="1251">
        <f>SUM(F64:F66)</f>
        <v>278482908.89999998</v>
      </c>
      <c r="G63" s="1251">
        <f>SUM(G64:G66)</f>
        <v>278482908.89999998</v>
      </c>
    </row>
    <row r="64" spans="2:7">
      <c r="B64" s="1258"/>
      <c r="C64" s="1262"/>
      <c r="D64" s="1262"/>
      <c r="E64" s="1252" t="s">
        <v>5120</v>
      </c>
      <c r="F64" s="1254">
        <f>+'ESF det'!I71</f>
        <v>10952891.960000001</v>
      </c>
      <c r="G64" s="1254">
        <f>+'ESF det'!J71</f>
        <v>10952891.960000001</v>
      </c>
    </row>
    <row r="65" spans="2:7">
      <c r="B65" s="1258"/>
      <c r="C65" s="1262"/>
      <c r="D65" s="1262"/>
      <c r="E65" s="1252" t="s">
        <v>5121</v>
      </c>
      <c r="F65" s="1254">
        <v>0</v>
      </c>
      <c r="G65" s="1254">
        <v>0</v>
      </c>
    </row>
    <row r="66" spans="2:7">
      <c r="B66" s="1258"/>
      <c r="C66" s="1262"/>
      <c r="D66" s="1262"/>
      <c r="E66" s="1252" t="s">
        <v>5122</v>
      </c>
      <c r="F66" s="1254">
        <f>+'ESF det'!I73</f>
        <v>267530016.94</v>
      </c>
      <c r="G66" s="1254">
        <f>+'ESF det'!J73</f>
        <v>267530016.94</v>
      </c>
    </row>
    <row r="67" spans="2:7" ht="14.25" customHeight="1">
      <c r="B67" s="1258"/>
      <c r="C67" s="1262"/>
      <c r="D67" s="1262"/>
      <c r="E67" s="1252"/>
      <c r="F67" s="1257"/>
      <c r="G67" s="1257"/>
    </row>
    <row r="68" spans="2:7" ht="24">
      <c r="B68" s="1258"/>
      <c r="C68" s="1262"/>
      <c r="D68" s="1262"/>
      <c r="E68" s="1246" t="s">
        <v>5123</v>
      </c>
      <c r="F68" s="1251">
        <f>SUM(F69:F73)</f>
        <v>869368823.5</v>
      </c>
      <c r="G68" s="1251">
        <f>SUM(G69:G73)</f>
        <v>855388979.29000008</v>
      </c>
    </row>
    <row r="69" spans="2:7">
      <c r="B69" s="1258"/>
      <c r="C69" s="1262"/>
      <c r="D69" s="1262"/>
      <c r="E69" s="1252" t="s">
        <v>5124</v>
      </c>
      <c r="F69" s="1254">
        <f>+'ESF det'!I77</f>
        <v>13979844.210000001</v>
      </c>
      <c r="G69" s="1254">
        <f>+'ESF det'!J77</f>
        <v>82707402.840000004</v>
      </c>
    </row>
    <row r="70" spans="2:7">
      <c r="B70" s="1258"/>
      <c r="C70" s="1262"/>
      <c r="D70" s="1262"/>
      <c r="E70" s="1252" t="s">
        <v>5125</v>
      </c>
      <c r="F70" s="1254">
        <f>+'ESF det'!I78</f>
        <v>855388979.28999996</v>
      </c>
      <c r="G70" s="1254">
        <f>+'ESF det'!J78</f>
        <v>772681576.45000005</v>
      </c>
    </row>
    <row r="71" spans="2:7">
      <c r="B71" s="1258"/>
      <c r="C71" s="1262"/>
      <c r="D71" s="1262"/>
      <c r="E71" s="1252" t="s">
        <v>5126</v>
      </c>
      <c r="F71" s="1254">
        <v>0</v>
      </c>
      <c r="G71" s="1254">
        <v>0</v>
      </c>
    </row>
    <row r="72" spans="2:7">
      <c r="B72" s="1258"/>
      <c r="C72" s="1262"/>
      <c r="D72" s="1262"/>
      <c r="E72" s="1252" t="s">
        <v>5127</v>
      </c>
      <c r="F72" s="1254">
        <v>0</v>
      </c>
      <c r="G72" s="1254">
        <v>0</v>
      </c>
    </row>
    <row r="73" spans="2:7" ht="24">
      <c r="B73" s="1258"/>
      <c r="C73" s="1262"/>
      <c r="D73" s="1262"/>
      <c r="E73" s="1252" t="s">
        <v>5128</v>
      </c>
      <c r="F73" s="1254">
        <v>0</v>
      </c>
      <c r="G73" s="1254">
        <v>0</v>
      </c>
    </row>
    <row r="74" spans="2:7" ht="15" customHeight="1">
      <c r="B74" s="1258"/>
      <c r="C74" s="1262"/>
      <c r="D74" s="1262"/>
      <c r="E74" s="1252"/>
      <c r="F74" s="1257"/>
      <c r="G74" s="1257"/>
    </row>
    <row r="75" spans="2:7" ht="24">
      <c r="B75" s="1258"/>
      <c r="C75" s="1262"/>
      <c r="D75" s="1262"/>
      <c r="E75" s="1246" t="s">
        <v>5129</v>
      </c>
      <c r="F75" s="1251">
        <f>SUM(F76:F77)</f>
        <v>20576226.51000002</v>
      </c>
      <c r="G75" s="1251">
        <f>SUM(G76:G77)</f>
        <v>20576226.51000002</v>
      </c>
    </row>
    <row r="76" spans="2:7">
      <c r="B76" s="1258"/>
      <c r="C76" s="1262"/>
      <c r="D76" s="1262"/>
      <c r="E76" s="1252" t="s">
        <v>5130</v>
      </c>
      <c r="F76" s="1254">
        <f>+'ESF det'!I85</f>
        <v>-167471499.56999999</v>
      </c>
      <c r="G76" s="1254">
        <f>+'ESF det'!J85</f>
        <v>-167471499.56999999</v>
      </c>
    </row>
    <row r="77" spans="2:7">
      <c r="B77" s="1258"/>
      <c r="C77" s="1262"/>
      <c r="D77" s="1262"/>
      <c r="E77" s="1252" t="s">
        <v>5131</v>
      </c>
      <c r="F77" s="1254">
        <f>+'ESF det'!I86</f>
        <v>188047726.08000001</v>
      </c>
      <c r="G77" s="1254">
        <f>+'ESF det'!J86</f>
        <v>188047726.08000001</v>
      </c>
    </row>
    <row r="78" spans="2:7" ht="15" customHeight="1">
      <c r="B78" s="1258"/>
      <c r="C78" s="1262"/>
      <c r="D78" s="1262"/>
      <c r="E78" s="1252"/>
      <c r="F78" s="1257"/>
      <c r="G78" s="1257"/>
    </row>
    <row r="79" spans="2:7" ht="25.9" customHeight="1">
      <c r="B79" s="1258"/>
      <c r="C79" s="1262"/>
      <c r="D79" s="1262"/>
      <c r="E79" s="1246" t="s">
        <v>5132</v>
      </c>
      <c r="F79" s="1251">
        <f>SUM(F63,F68,F75)</f>
        <v>1168427958.9100001</v>
      </c>
      <c r="G79" s="1251">
        <f>SUM(G63,G68,G75)</f>
        <v>1154448114.7</v>
      </c>
    </row>
    <row r="80" spans="2:7" ht="15" customHeight="1">
      <c r="B80" s="1258"/>
      <c r="C80" s="1262"/>
      <c r="D80" s="1262"/>
      <c r="E80" s="1252"/>
      <c r="F80" s="1251"/>
      <c r="G80" s="1251"/>
    </row>
    <row r="81" spans="2:7" ht="24">
      <c r="B81" s="1258"/>
      <c r="C81" s="1262"/>
      <c r="D81" s="1262"/>
      <c r="E81" s="1246" t="s">
        <v>5133</v>
      </c>
      <c r="F81" s="1251">
        <f>SUM(F59,F79)</f>
        <v>1170103498.3400002</v>
      </c>
      <c r="G81" s="1251">
        <f>SUM(G59,G79)</f>
        <v>1157748367.0800002</v>
      </c>
    </row>
    <row r="82" spans="2:7" ht="14.25" customHeight="1" thickBot="1">
      <c r="B82" s="1263"/>
      <c r="C82" s="1264"/>
      <c r="D82" s="1264"/>
      <c r="E82" s="1265"/>
      <c r="F82" s="1266"/>
      <c r="G82" s="1266"/>
    </row>
    <row r="83" spans="2:7" ht="15" customHeight="1"/>
    <row r="100" spans="19:19" ht="15">
      <c r="S100" s="901"/>
    </row>
  </sheetData>
  <mergeCells count="4">
    <mergeCell ref="B2:G2"/>
    <mergeCell ref="B3:G3"/>
    <mergeCell ref="B4:G4"/>
    <mergeCell ref="B5:G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5">
    <pageSetUpPr fitToPage="1"/>
  </sheetPr>
  <dimension ref="A1:K63"/>
  <sheetViews>
    <sheetView zoomScaleNormal="100" zoomScalePageLayoutView="80" workbookViewId="0">
      <selection activeCell="D19" sqref="D19"/>
    </sheetView>
  </sheetViews>
  <sheetFormatPr baseColWidth="10" defaultRowHeight="12"/>
  <cols>
    <col min="1" max="1" width="4.5703125" style="157" customWidth="1"/>
    <col min="2" max="2" width="24.7109375" style="157" customWidth="1"/>
    <col min="3" max="3" width="40" style="157" customWidth="1"/>
    <col min="4" max="5" width="18.7109375" style="157" customWidth="1"/>
    <col min="6" max="6" width="10.7109375" style="157" customWidth="1"/>
    <col min="7" max="7" width="24.7109375" style="157" customWidth="1"/>
    <col min="8" max="8" width="29.7109375" style="207" customWidth="1"/>
    <col min="9" max="10" width="18.7109375" style="157" customWidth="1"/>
    <col min="11" max="11" width="4.5703125" style="157" customWidth="1"/>
    <col min="12" max="16384" width="11.42578125" style="157"/>
  </cols>
  <sheetData>
    <row r="1" spans="1:11" ht="6" customHeight="1">
      <c r="A1" s="153"/>
      <c r="B1" s="153"/>
      <c r="C1" s="205"/>
      <c r="D1" s="153"/>
      <c r="E1" s="153"/>
      <c r="F1" s="205"/>
      <c r="G1" s="205"/>
      <c r="H1" s="206"/>
      <c r="I1" s="153"/>
      <c r="J1" s="153"/>
      <c r="K1" s="153"/>
    </row>
    <row r="2" spans="1:11" ht="6" customHeight="1">
      <c r="C2" s="156"/>
    </row>
    <row r="3" spans="1:11" ht="14.1" customHeight="1">
      <c r="C3" s="1596" t="s">
        <v>2992</v>
      </c>
      <c r="D3" s="1596"/>
      <c r="E3" s="1596"/>
      <c r="F3" s="1596"/>
      <c r="G3" s="1596"/>
      <c r="H3" s="1596"/>
      <c r="I3" s="1596"/>
      <c r="J3" s="208"/>
      <c r="K3" s="208"/>
    </row>
    <row r="4" spans="1:11" ht="14.1" customHeight="1">
      <c r="A4" s="209"/>
      <c r="B4" s="452"/>
      <c r="C4" s="1596" t="s">
        <v>726</v>
      </c>
      <c r="D4" s="1596"/>
      <c r="E4" s="1596"/>
      <c r="F4" s="1596"/>
      <c r="G4" s="1596"/>
      <c r="H4" s="1596"/>
      <c r="I4" s="1596"/>
      <c r="J4" s="209"/>
      <c r="K4" s="209"/>
    </row>
    <row r="5" spans="1:11" ht="14.1" customHeight="1">
      <c r="A5" s="210"/>
      <c r="B5" s="452"/>
      <c r="C5" s="1596" t="str">
        <f>+EA!C3</f>
        <v>Del 1 de enero al 30 de abril de 2021</v>
      </c>
      <c r="D5" s="1596"/>
      <c r="E5" s="1596"/>
      <c r="F5" s="1596"/>
      <c r="G5" s="1596"/>
      <c r="H5" s="1596"/>
      <c r="I5" s="1596"/>
      <c r="J5" s="209"/>
      <c r="K5" s="209"/>
    </row>
    <row r="6" spans="1:11" ht="14.1" customHeight="1">
      <c r="A6" s="210"/>
      <c r="C6" s="1596"/>
      <c r="D6" s="1596"/>
      <c r="E6" s="1596"/>
      <c r="F6" s="1596"/>
      <c r="G6" s="1596"/>
      <c r="H6" s="1596"/>
      <c r="I6" s="1596"/>
      <c r="J6" s="209"/>
      <c r="K6" s="209"/>
    </row>
    <row r="7" spans="1:11" ht="3" customHeight="1">
      <c r="A7" s="208"/>
      <c r="B7" s="208"/>
      <c r="C7" s="208"/>
      <c r="D7" s="208"/>
      <c r="E7" s="208"/>
      <c r="F7" s="208"/>
    </row>
    <row r="8" spans="1:11" ht="3" customHeight="1">
      <c r="A8" s="210"/>
      <c r="B8" s="211"/>
      <c r="C8" s="211"/>
      <c r="D8" s="211"/>
      <c r="E8" s="211"/>
      <c r="F8" s="212"/>
    </row>
    <row r="9" spans="1:11" ht="3" customHeight="1">
      <c r="A9" s="213"/>
      <c r="B9" s="213"/>
      <c r="C9" s="213"/>
      <c r="D9" s="214"/>
      <c r="E9" s="214"/>
      <c r="F9" s="215"/>
    </row>
    <row r="10" spans="1:11" ht="20.100000000000001" customHeight="1">
      <c r="A10" s="635"/>
      <c r="B10" s="1595" t="s">
        <v>230</v>
      </c>
      <c r="C10" s="1595"/>
      <c r="D10" s="660" t="s">
        <v>226</v>
      </c>
      <c r="E10" s="660" t="s">
        <v>227</v>
      </c>
      <c r="F10" s="630"/>
      <c r="G10" s="1595" t="s">
        <v>230</v>
      </c>
      <c r="H10" s="1595"/>
      <c r="I10" s="660" t="s">
        <v>226</v>
      </c>
      <c r="J10" s="660" t="s">
        <v>227</v>
      </c>
      <c r="K10" s="631"/>
    </row>
    <row r="11" spans="1:11" ht="3" customHeight="1">
      <c r="A11" s="216"/>
      <c r="B11" s="217"/>
      <c r="C11" s="217"/>
      <c r="D11" s="218"/>
      <c r="E11" s="218"/>
      <c r="K11" s="167"/>
    </row>
    <row r="12" spans="1:11" ht="3" customHeight="1">
      <c r="A12" s="168"/>
      <c r="B12" s="219"/>
      <c r="C12" s="219"/>
      <c r="D12" s="220"/>
      <c r="E12" s="220"/>
      <c r="F12" s="156"/>
      <c r="K12" s="167"/>
    </row>
    <row r="13" spans="1:11">
      <c r="A13" s="221"/>
      <c r="B13" s="1599" t="s">
        <v>672</v>
      </c>
      <c r="C13" s="1599"/>
      <c r="D13" s="222">
        <f>D15+D25</f>
        <v>20794713.78000002</v>
      </c>
      <c r="E13" s="222">
        <f>E15+E25</f>
        <v>33149845.040000089</v>
      </c>
      <c r="F13" s="156"/>
      <c r="G13" s="1599" t="s">
        <v>673</v>
      </c>
      <c r="H13" s="1599"/>
      <c r="I13" s="222">
        <f>I15+I26</f>
        <v>1761.1800000000003</v>
      </c>
      <c r="J13" s="222">
        <f>J15+J26</f>
        <v>1626474.13</v>
      </c>
      <c r="K13" s="167"/>
    </row>
    <row r="14" spans="1:11">
      <c r="A14" s="223"/>
      <c r="B14" s="172"/>
      <c r="C14" s="171"/>
      <c r="D14" s="224"/>
      <c r="E14" s="224"/>
      <c r="F14" s="156"/>
      <c r="G14" s="172"/>
      <c r="H14" s="172"/>
      <c r="I14" s="224"/>
      <c r="J14" s="224"/>
      <c r="K14" s="167"/>
    </row>
    <row r="15" spans="1:11">
      <c r="A15" s="223"/>
      <c r="B15" s="1599" t="s">
        <v>674</v>
      </c>
      <c r="C15" s="1599"/>
      <c r="D15" s="222">
        <f>SUM(D17:D23)</f>
        <v>19422246.860000018</v>
      </c>
      <c r="E15" s="222">
        <f>SUM(E17:E23)</f>
        <v>492433.93000000005</v>
      </c>
      <c r="F15" s="156"/>
      <c r="G15" s="1599" t="s">
        <v>675</v>
      </c>
      <c r="H15" s="1599"/>
      <c r="I15" s="222">
        <f>SUM(I17:I24)</f>
        <v>1761.1800000000003</v>
      </c>
      <c r="J15" s="222">
        <f>SUM(J17:J24)</f>
        <v>1626474.13</v>
      </c>
      <c r="K15" s="167"/>
    </row>
    <row r="16" spans="1:11">
      <c r="A16" s="223"/>
      <c r="B16" s="172"/>
      <c r="C16" s="171"/>
      <c r="D16" s="224"/>
      <c r="E16" s="224"/>
      <c r="F16" s="156"/>
      <c r="G16" s="172"/>
      <c r="H16" s="172"/>
      <c r="I16" s="224"/>
      <c r="J16" s="224"/>
      <c r="K16" s="167"/>
    </row>
    <row r="17" spans="1:11">
      <c r="A17" s="221"/>
      <c r="B17" s="1597" t="s">
        <v>676</v>
      </c>
      <c r="C17" s="1597"/>
      <c r="D17" s="225">
        <f>IF(ESF!D17&lt;ESF!E17,ESF!E17-ESF!D17,0)</f>
        <v>7765070.9200000167</v>
      </c>
      <c r="E17" s="225">
        <f>IF(D17&gt;0,0,ESF!D17-ESF!E17)</f>
        <v>0</v>
      </c>
      <c r="F17" s="156"/>
      <c r="G17" s="1597" t="s">
        <v>677</v>
      </c>
      <c r="H17" s="1597"/>
      <c r="I17" s="225">
        <f>IF(ESF!I17&gt;ESF!J17,ESF!I17-ESF!J17,0)</f>
        <v>0</v>
      </c>
      <c r="J17" s="225">
        <f>IF(I17&gt;0,0,ESF!J17-ESF!I17)</f>
        <v>1626474.13</v>
      </c>
      <c r="K17" s="167"/>
    </row>
    <row r="18" spans="1:11">
      <c r="A18" s="221"/>
      <c r="B18" s="1597" t="s">
        <v>678</v>
      </c>
      <c r="C18" s="1597"/>
      <c r="D18" s="225">
        <f>IF(ESF!D18&lt;ESF!E18,ESF!E18-ESF!D18,0)</f>
        <v>11657175.940000001</v>
      </c>
      <c r="E18" s="225">
        <f>IF(D18&gt;0,0,ESF!D18-ESF!E18)</f>
        <v>0</v>
      </c>
      <c r="F18" s="156"/>
      <c r="G18" s="1597" t="s">
        <v>679</v>
      </c>
      <c r="H18" s="1597"/>
      <c r="I18" s="225">
        <f>IF(ESF!I18&gt;ESF!J18,ESF!I18-ESF!J18,0)</f>
        <v>0</v>
      </c>
      <c r="J18" s="225">
        <f>IF(I18&gt;0,0,ESF!J18-ESF!I18)</f>
        <v>0</v>
      </c>
      <c r="K18" s="167"/>
    </row>
    <row r="19" spans="1:11">
      <c r="A19" s="221"/>
      <c r="B19" s="1597" t="s">
        <v>680</v>
      </c>
      <c r="C19" s="1597"/>
      <c r="D19" s="225">
        <f>IF(ESF!D19&lt;ESF!E19,ESF!E19-ESF!D19,0)</f>
        <v>0</v>
      </c>
      <c r="E19" s="225">
        <f>IF(D19&gt;0,0,ESF!D19-ESF!E19)</f>
        <v>492433.93000000005</v>
      </c>
      <c r="F19" s="156"/>
      <c r="G19" s="1597"/>
      <c r="H19" s="1597"/>
      <c r="I19" s="225"/>
      <c r="J19" s="225"/>
      <c r="K19" s="167"/>
    </row>
    <row r="20" spans="1:11">
      <c r="A20" s="221"/>
      <c r="B20" s="1597"/>
      <c r="C20" s="1597"/>
      <c r="D20" s="225"/>
      <c r="E20" s="225"/>
      <c r="F20" s="156"/>
      <c r="G20" s="1597"/>
      <c r="H20" s="1597"/>
      <c r="I20" s="225"/>
      <c r="J20" s="225"/>
      <c r="K20" s="167"/>
    </row>
    <row r="21" spans="1:11">
      <c r="A21" s="221"/>
      <c r="B21" s="1597"/>
      <c r="C21" s="1597"/>
      <c r="D21" s="225"/>
      <c r="E21" s="225"/>
      <c r="F21" s="156"/>
      <c r="G21" s="1597" t="s">
        <v>685</v>
      </c>
      <c r="H21" s="1597"/>
      <c r="I21" s="225">
        <f>IF(ESF!I19&gt;ESF!J19,ESF!I19-ESF!J19,0)</f>
        <v>1761.1800000000003</v>
      </c>
      <c r="J21" s="225">
        <f>IF(I21&gt;0,0,ESF!J19-ESF!I19)</f>
        <v>0</v>
      </c>
      <c r="K21" s="167"/>
    </row>
    <row r="22" spans="1:11" ht="25.5" customHeight="1">
      <c r="A22" s="221"/>
      <c r="B22" s="1597"/>
      <c r="C22" s="1597"/>
      <c r="D22" s="225"/>
      <c r="E22" s="225"/>
      <c r="F22" s="156"/>
      <c r="G22" s="1600"/>
      <c r="H22" s="1600"/>
      <c r="I22" s="225"/>
      <c r="J22" s="225"/>
      <c r="K22" s="167"/>
    </row>
    <row r="23" spans="1:11">
      <c r="A23" s="221"/>
      <c r="B23" s="1597" t="s">
        <v>687</v>
      </c>
      <c r="C23" s="1597"/>
      <c r="D23" s="225">
        <f>IF(ESF!D20&lt;ESF!E20,ESF!E20-ESF!D20,0)</f>
        <v>0</v>
      </c>
      <c r="E23" s="225">
        <f>IF(D23&gt;0,0,ESF!D20-ESF!E20)</f>
        <v>0</v>
      </c>
      <c r="F23" s="156"/>
      <c r="G23" s="1597"/>
      <c r="H23" s="1597"/>
      <c r="I23" s="225"/>
      <c r="J23" s="225"/>
      <c r="K23" s="167"/>
    </row>
    <row r="24" spans="1:11">
      <c r="A24" s="223"/>
      <c r="B24" s="172"/>
      <c r="C24" s="171"/>
      <c r="D24" s="224"/>
      <c r="E24" s="224"/>
      <c r="F24" s="156"/>
      <c r="G24" s="1597" t="s">
        <v>689</v>
      </c>
      <c r="H24" s="1597"/>
      <c r="I24" s="225">
        <f>IF(ESF!I24&gt;ESF!J24,ESF!I24-ESF!J24,0)</f>
        <v>0</v>
      </c>
      <c r="J24" s="225">
        <f>IF(I24&gt;0,0,ESF!J24-ESF!I24)</f>
        <v>0</v>
      </c>
      <c r="K24" s="167"/>
    </row>
    <row r="25" spans="1:11">
      <c r="A25" s="223"/>
      <c r="B25" s="1599" t="s">
        <v>692</v>
      </c>
      <c r="C25" s="1599"/>
      <c r="D25" s="222">
        <f>SUM(D27:D35)</f>
        <v>1372466.9200000018</v>
      </c>
      <c r="E25" s="222">
        <f>SUM(E27:E35)</f>
        <v>32657411.110000089</v>
      </c>
      <c r="F25" s="156"/>
      <c r="G25" s="172"/>
      <c r="H25" s="172"/>
      <c r="I25" s="224"/>
      <c r="J25" s="224"/>
      <c r="K25" s="167"/>
    </row>
    <row r="26" spans="1:11">
      <c r="A26" s="223"/>
      <c r="B26" s="172"/>
      <c r="C26" s="171"/>
      <c r="D26" s="224"/>
      <c r="E26" s="224"/>
      <c r="F26" s="156"/>
      <c r="G26" s="1601" t="s">
        <v>693</v>
      </c>
      <c r="H26" s="1601"/>
      <c r="I26" s="222">
        <f>SUM(I28:I33)</f>
        <v>0</v>
      </c>
      <c r="J26" s="222">
        <f>SUM(J28:J33)</f>
        <v>0</v>
      </c>
      <c r="K26" s="167"/>
    </row>
    <row r="27" spans="1:11">
      <c r="A27" s="221"/>
      <c r="B27" s="1597" t="s">
        <v>694</v>
      </c>
      <c r="C27" s="1597"/>
      <c r="D27" s="225">
        <f>IF(ESF!D30&lt;ESF!E30,ESF!E30-ESF!D30,0)</f>
        <v>0</v>
      </c>
      <c r="E27" s="225">
        <f>IF(D27&gt;0,0,ESF!D30-ESF!E30)</f>
        <v>0</v>
      </c>
      <c r="F27" s="156"/>
      <c r="G27" s="172"/>
      <c r="H27" s="172"/>
      <c r="I27" s="224"/>
      <c r="J27" s="224"/>
      <c r="K27" s="167"/>
    </row>
    <row r="28" spans="1:11">
      <c r="A28" s="221"/>
      <c r="B28" s="1597" t="s">
        <v>696</v>
      </c>
      <c r="C28" s="1597"/>
      <c r="D28" s="225">
        <f>IF(ESF!D31&lt;ESF!E31,ESF!E31-ESF!D31,0)</f>
        <v>0</v>
      </c>
      <c r="E28" s="225">
        <f>IF(D28&gt;0,0,ESF!D31-ESF!E31)</f>
        <v>0</v>
      </c>
      <c r="F28" s="156"/>
      <c r="G28" s="1597"/>
      <c r="H28" s="1597"/>
      <c r="I28" s="225"/>
      <c r="J28" s="225"/>
      <c r="K28" s="167"/>
    </row>
    <row r="29" spans="1:11">
      <c r="A29" s="221"/>
      <c r="B29" s="1597" t="s">
        <v>698</v>
      </c>
      <c r="C29" s="1597"/>
      <c r="D29" s="225">
        <f>IF(ESF!D32&lt;ESF!E32,ESF!E32-ESF!D32,0)</f>
        <v>0</v>
      </c>
      <c r="E29" s="225">
        <f>IF(D29&gt;0,0,ESF!D32-ESF!E32)</f>
        <v>32618406.780000091</v>
      </c>
      <c r="F29" s="156"/>
      <c r="G29" s="1597" t="s">
        <v>697</v>
      </c>
      <c r="H29" s="1597"/>
      <c r="I29" s="225">
        <f>IF(ESF!I31&gt;ESF!J31,ESF!I31-ESF!J31,0)</f>
        <v>0</v>
      </c>
      <c r="J29" s="225">
        <f>IF(I29&gt;0,0,ESF!J31-ESF!I31)</f>
        <v>0</v>
      </c>
      <c r="K29" s="167"/>
    </row>
    <row r="30" spans="1:11">
      <c r="A30" s="221"/>
      <c r="B30" s="1597" t="s">
        <v>700</v>
      </c>
      <c r="C30" s="1597"/>
      <c r="D30" s="225">
        <f>IF(ESF!D33&lt;ESF!E33,ESF!E33-ESF!D33,0)</f>
        <v>0</v>
      </c>
      <c r="E30" s="225">
        <f>IF(D30&gt;0,0,ESF!D33-ESF!E33)</f>
        <v>39004.330000000075</v>
      </c>
      <c r="F30" s="156"/>
      <c r="G30" s="1597"/>
      <c r="H30" s="1597"/>
      <c r="I30" s="225"/>
      <c r="J30" s="225"/>
      <c r="K30" s="167"/>
    </row>
    <row r="31" spans="1:11">
      <c r="A31" s="221"/>
      <c r="B31" s="1597" t="s">
        <v>702</v>
      </c>
      <c r="C31" s="1597"/>
      <c r="D31" s="225">
        <f>IF(ESF!D34&lt;ESF!E34,ESF!E34-ESF!D34,0)</f>
        <v>0</v>
      </c>
      <c r="E31" s="225">
        <f>IF(D31&gt;0,0,ESF!D34-ESF!E34)</f>
        <v>0</v>
      </c>
      <c r="F31" s="156"/>
      <c r="G31" s="1597"/>
      <c r="H31" s="1597"/>
      <c r="I31" s="225"/>
      <c r="J31" s="225"/>
      <c r="K31" s="167"/>
    </row>
    <row r="32" spans="1:11" ht="26.1" customHeight="1">
      <c r="A32" s="221"/>
      <c r="B32" s="1600" t="s">
        <v>703</v>
      </c>
      <c r="C32" s="1600"/>
      <c r="D32" s="225">
        <f>IF(ESF!D35&lt;ESF!E35,ESF!E35-ESF!D35,0)</f>
        <v>1372466.9200000018</v>
      </c>
      <c r="E32" s="225">
        <f>IF(D32&gt;0,0,ESF!D35-ESF!E35)</f>
        <v>0</v>
      </c>
      <c r="F32" s="156"/>
      <c r="G32" s="1600"/>
      <c r="H32" s="1600"/>
      <c r="I32" s="225"/>
      <c r="J32" s="225"/>
      <c r="K32" s="167"/>
    </row>
    <row r="33" spans="1:11">
      <c r="A33" s="221"/>
      <c r="B33" s="1597" t="s">
        <v>705</v>
      </c>
      <c r="C33" s="1597"/>
      <c r="D33" s="225">
        <f>IF(ESF!D36&lt;ESF!E36,ESF!E36-ESF!D36,0)</f>
        <v>0</v>
      </c>
      <c r="E33" s="225">
        <f>IF(D33&gt;0,0,ESF!D36-ESF!E36)</f>
        <v>0</v>
      </c>
      <c r="F33" s="156"/>
      <c r="G33" s="1597"/>
      <c r="H33" s="1597"/>
      <c r="I33" s="225"/>
      <c r="J33" s="225"/>
      <c r="K33" s="167"/>
    </row>
    <row r="34" spans="1:11" ht="25.5" customHeight="1">
      <c r="A34" s="221"/>
      <c r="B34" s="1600" t="s">
        <v>706</v>
      </c>
      <c r="C34" s="1600"/>
      <c r="D34" s="225">
        <f>IF(ESF!D37&lt;ESF!E37,ESF!E37-ESF!D37,0)</f>
        <v>0</v>
      </c>
      <c r="E34" s="225">
        <f>IF(D34&gt;0,0,ESF!D37-ESF!E37)</f>
        <v>0</v>
      </c>
      <c r="F34" s="156"/>
      <c r="G34" s="172"/>
      <c r="H34" s="172"/>
      <c r="I34" s="220"/>
      <c r="J34" s="220"/>
      <c r="K34" s="167"/>
    </row>
    <row r="35" spans="1:11">
      <c r="A35" s="221"/>
      <c r="B35" s="1597" t="s">
        <v>708</v>
      </c>
      <c r="C35" s="1597"/>
      <c r="D35" s="225">
        <f>IF(ESF!D38&lt;ESF!E38,ESF!E38-ESF!D38,0)</f>
        <v>0</v>
      </c>
      <c r="E35" s="225">
        <f>IF(D35&gt;0,0,ESF!D38-ESF!E38)</f>
        <v>0</v>
      </c>
      <c r="F35" s="156"/>
      <c r="G35" s="1599" t="s">
        <v>711</v>
      </c>
      <c r="H35" s="1599"/>
      <c r="I35" s="222">
        <f>I37+I43+I51</f>
        <v>82707402.839999914</v>
      </c>
      <c r="J35" s="222">
        <f>J37+J43+J51</f>
        <v>68727558.629999995</v>
      </c>
      <c r="K35" s="167"/>
    </row>
    <row r="36" spans="1:11">
      <c r="A36" s="223"/>
      <c r="B36" s="172"/>
      <c r="C36" s="171"/>
      <c r="D36" s="220"/>
      <c r="E36" s="220"/>
      <c r="F36" s="156"/>
      <c r="G36" s="172"/>
      <c r="H36" s="172"/>
      <c r="I36" s="224"/>
      <c r="J36" s="224"/>
      <c r="K36" s="167"/>
    </row>
    <row r="37" spans="1:11">
      <c r="A37" s="221"/>
      <c r="F37" s="156"/>
      <c r="G37" s="1599" t="s">
        <v>713</v>
      </c>
      <c r="H37" s="1599"/>
      <c r="I37" s="222">
        <f>SUM(I39:I41)</f>
        <v>0</v>
      </c>
      <c r="J37" s="222">
        <f>SUM(J39:J41)</f>
        <v>0</v>
      </c>
      <c r="K37" s="167"/>
    </row>
    <row r="38" spans="1:11">
      <c r="A38" s="223"/>
      <c r="F38" s="156"/>
      <c r="G38" s="172"/>
      <c r="H38" s="172"/>
      <c r="I38" s="224"/>
      <c r="J38" s="224"/>
      <c r="K38" s="167"/>
    </row>
    <row r="39" spans="1:11">
      <c r="A39" s="221"/>
      <c r="F39" s="156"/>
      <c r="G39" s="1597" t="s">
        <v>647</v>
      </c>
      <c r="H39" s="1597"/>
      <c r="I39" s="225">
        <f>IF(ESF!I29&gt;ESF!J29,ESF!I29-ESF!J29,0)</f>
        <v>0</v>
      </c>
      <c r="J39" s="225">
        <f>IF(I39&gt;0,0,ESF!J29-ESF!I29)</f>
        <v>0</v>
      </c>
      <c r="K39" s="167"/>
    </row>
    <row r="40" spans="1:11">
      <c r="A40" s="223"/>
      <c r="F40" s="156"/>
      <c r="G40" s="1597"/>
      <c r="H40" s="1597"/>
      <c r="I40" s="225"/>
      <c r="J40" s="225"/>
      <c r="K40" s="167"/>
    </row>
    <row r="41" spans="1:11">
      <c r="A41" s="221"/>
      <c r="F41" s="156"/>
      <c r="G41" s="1597" t="s">
        <v>715</v>
      </c>
      <c r="H41" s="1597"/>
      <c r="I41" s="225">
        <f>IF(ESF!I30&gt;ESF!J30,ESF!I30-ESF!J30,0)</f>
        <v>0</v>
      </c>
      <c r="J41" s="225">
        <f>IF(I41&gt;0,0,ESF!J30-ESF!I30)</f>
        <v>0</v>
      </c>
      <c r="K41" s="167"/>
    </row>
    <row r="42" spans="1:11">
      <c r="A42" s="221"/>
      <c r="F42" s="156"/>
      <c r="G42" s="172"/>
      <c r="H42" s="172"/>
      <c r="I42" s="224"/>
      <c r="J42" s="224"/>
      <c r="K42" s="167"/>
    </row>
    <row r="43" spans="1:11">
      <c r="A43" s="221"/>
      <c r="F43" s="156"/>
      <c r="G43" s="1599" t="s">
        <v>716</v>
      </c>
      <c r="H43" s="1599"/>
      <c r="I43" s="222">
        <f>SUM(I45:I49)</f>
        <v>82707402.839999914</v>
      </c>
      <c r="J43" s="222">
        <f>SUM(J45:J49)</f>
        <v>68727558.629999995</v>
      </c>
      <c r="K43" s="167"/>
    </row>
    <row r="44" spans="1:11">
      <c r="A44" s="221"/>
      <c r="F44" s="156"/>
      <c r="G44" s="172"/>
      <c r="H44" s="172"/>
      <c r="I44" s="224"/>
      <c r="J44" s="224"/>
      <c r="K44" s="167"/>
    </row>
    <row r="45" spans="1:11">
      <c r="A45" s="221"/>
      <c r="F45" s="156"/>
      <c r="G45" s="1597" t="s">
        <v>717</v>
      </c>
      <c r="H45" s="1597"/>
      <c r="I45" s="225">
        <f>IF(ESF!I34&gt;ESF!J34,ESF!I34-ESF!J34,0)</f>
        <v>0</v>
      </c>
      <c r="J45" s="225">
        <f>IF(I45&gt;0,0,ESF!J34-ESF!I34)</f>
        <v>68727558.629999995</v>
      </c>
      <c r="K45" s="167"/>
    </row>
    <row r="46" spans="1:11">
      <c r="A46" s="221"/>
      <c r="F46" s="156"/>
      <c r="G46" s="1597" t="s">
        <v>718</v>
      </c>
      <c r="H46" s="1597"/>
      <c r="I46" s="225">
        <f>IF(ESF!I35&gt;ESF!J35,ESF!I35-ESF!J35,0)</f>
        <v>82707402.839999914</v>
      </c>
      <c r="J46" s="225">
        <f>IF(I46&gt;0,0,ESF!J35-ESF!I35)</f>
        <v>0</v>
      </c>
      <c r="K46" s="167"/>
    </row>
    <row r="47" spans="1:11">
      <c r="A47" s="221"/>
      <c r="F47" s="156"/>
      <c r="G47" s="1597"/>
      <c r="H47" s="1597"/>
      <c r="I47" s="225"/>
      <c r="J47" s="225"/>
      <c r="K47" s="167"/>
    </row>
    <row r="48" spans="1:11">
      <c r="A48" s="221"/>
      <c r="F48" s="156"/>
      <c r="G48" s="1597"/>
      <c r="H48" s="1597"/>
      <c r="I48" s="225"/>
      <c r="J48" s="225"/>
      <c r="K48" s="167"/>
    </row>
    <row r="49" spans="1:11">
      <c r="A49" s="223"/>
      <c r="F49" s="156"/>
      <c r="G49" s="1597"/>
      <c r="H49" s="1597"/>
      <c r="I49" s="225"/>
      <c r="J49" s="225"/>
      <c r="K49" s="167"/>
    </row>
    <row r="50" spans="1:11">
      <c r="A50" s="221"/>
      <c r="F50" s="156"/>
      <c r="G50" s="172"/>
      <c r="H50" s="172"/>
      <c r="I50" s="224"/>
      <c r="J50" s="224"/>
      <c r="K50" s="167"/>
    </row>
    <row r="51" spans="1:11" ht="26.1" customHeight="1">
      <c r="A51" s="223"/>
      <c r="F51" s="156"/>
      <c r="G51" s="1599" t="s">
        <v>727</v>
      </c>
      <c r="H51" s="1599"/>
      <c r="I51" s="222">
        <f>SUM(I53:I54)</f>
        <v>0</v>
      </c>
      <c r="J51" s="222">
        <f>SUM(J53:J54)</f>
        <v>0</v>
      </c>
      <c r="K51" s="167"/>
    </row>
    <row r="52" spans="1:11">
      <c r="A52" s="221"/>
      <c r="F52" s="156"/>
      <c r="G52" s="172"/>
      <c r="H52" s="172"/>
      <c r="I52" s="224"/>
      <c r="J52" s="224"/>
      <c r="K52" s="167"/>
    </row>
    <row r="53" spans="1:11">
      <c r="A53" s="221"/>
      <c r="F53" s="156"/>
      <c r="G53" s="1597" t="s">
        <v>722</v>
      </c>
      <c r="H53" s="1597"/>
      <c r="I53" s="225">
        <f>IF(ESF!I39&gt;ESF!J39,ESF!I39-ESF!J39,0)</f>
        <v>0</v>
      </c>
      <c r="J53" s="225">
        <f>IF(I53&gt;0,0,ESF!J39-ESF!I39)</f>
        <v>0</v>
      </c>
      <c r="K53" s="167"/>
    </row>
    <row r="54" spans="1:11" ht="19.5" customHeight="1">
      <c r="A54" s="226"/>
      <c r="B54" s="196"/>
      <c r="C54" s="196"/>
      <c r="D54" s="196"/>
      <c r="E54" s="196"/>
      <c r="F54" s="190"/>
      <c r="G54" s="1658" t="s">
        <v>723</v>
      </c>
      <c r="H54" s="1658"/>
      <c r="I54" s="227">
        <f>IF(ESF!I40&gt;ESF!J40,ESF!I40-ESF!J40,0)</f>
        <v>0</v>
      </c>
      <c r="J54" s="227">
        <f>IF(I54&gt;0,0,ESF!J40-ESF!I40)</f>
        <v>0</v>
      </c>
      <c r="K54" s="192"/>
    </row>
    <row r="55" spans="1:11" ht="6" customHeight="1">
      <c r="A55" s="228"/>
      <c r="B55" s="196"/>
      <c r="C55" s="197"/>
      <c r="D55" s="198"/>
      <c r="E55" s="199"/>
      <c r="F55" s="199"/>
      <c r="G55" s="196"/>
      <c r="H55" s="229"/>
      <c r="I55" s="198"/>
      <c r="J55" s="199"/>
      <c r="K55" s="199"/>
    </row>
    <row r="56" spans="1:11" ht="6" customHeight="1">
      <c r="C56" s="170"/>
      <c r="D56" s="193"/>
      <c r="E56" s="194"/>
      <c r="F56" s="194"/>
      <c r="H56" s="230"/>
      <c r="I56" s="193"/>
      <c r="J56" s="194"/>
      <c r="K56" s="194"/>
    </row>
    <row r="57" spans="1:11" ht="6" customHeight="1">
      <c r="B57" s="170"/>
      <c r="C57" s="193"/>
      <c r="D57" s="194"/>
      <c r="E57" s="194"/>
      <c r="G57" s="195"/>
      <c r="H57" s="231"/>
      <c r="I57" s="194"/>
      <c r="J57" s="194"/>
    </row>
    <row r="58" spans="1:11" ht="15" customHeight="1">
      <c r="B58" s="1604" t="s">
        <v>668</v>
      </c>
      <c r="C58" s="1604"/>
      <c r="D58" s="1604"/>
      <c r="E58" s="1604"/>
      <c r="F58" s="1604"/>
      <c r="G58" s="1604"/>
      <c r="H58" s="1604"/>
      <c r="I58" s="1604"/>
      <c r="J58" s="1604"/>
    </row>
    <row r="59" spans="1:11" ht="9.75" customHeight="1">
      <c r="B59" s="170"/>
      <c r="C59" s="193"/>
      <c r="D59" s="194"/>
      <c r="E59" s="194"/>
      <c r="G59" s="195"/>
      <c r="H59" s="231"/>
      <c r="I59" s="194"/>
      <c r="J59" s="194"/>
    </row>
    <row r="60" spans="1:11" ht="50.1" customHeight="1">
      <c r="B60" s="170"/>
      <c r="C60" s="232"/>
      <c r="D60" s="233"/>
      <c r="E60" s="194"/>
      <c r="G60" s="234"/>
      <c r="H60" s="235"/>
      <c r="I60" s="194"/>
      <c r="J60" s="194"/>
    </row>
    <row r="61" spans="1:11" ht="14.1" customHeight="1">
      <c r="B61" s="201"/>
      <c r="C61" s="1607" t="s">
        <v>2872</v>
      </c>
      <c r="D61" s="1607"/>
      <c r="E61" s="194"/>
      <c r="F61" s="194"/>
      <c r="G61" s="1607" t="s">
        <v>669</v>
      </c>
      <c r="H61" s="1607"/>
      <c r="I61" s="171"/>
      <c r="J61" s="194"/>
    </row>
    <row r="62" spans="1:11" ht="14.1" customHeight="1">
      <c r="B62" s="203"/>
      <c r="C62" s="1602" t="s">
        <v>1769</v>
      </c>
      <c r="D62" s="1602"/>
      <c r="E62" s="204"/>
      <c r="F62" s="204"/>
      <c r="G62" s="1602" t="s">
        <v>670</v>
      </c>
      <c r="H62" s="1602"/>
      <c r="I62" s="171"/>
      <c r="J62" s="194"/>
    </row>
    <row r="63" spans="1:11">
      <c r="A63" s="188"/>
      <c r="F63" s="156"/>
    </row>
  </sheetData>
  <sheetProtection formatCells="0" selectLockedCells="1"/>
  <mergeCells count="61">
    <mergeCell ref="G54:H54"/>
    <mergeCell ref="B58:J58"/>
    <mergeCell ref="C61:D61"/>
    <mergeCell ref="G61:H61"/>
    <mergeCell ref="C62:D62"/>
    <mergeCell ref="G62:H62"/>
    <mergeCell ref="G53:H53"/>
    <mergeCell ref="G37:H37"/>
    <mergeCell ref="G39:H39"/>
    <mergeCell ref="G40:H40"/>
    <mergeCell ref="G41:H41"/>
    <mergeCell ref="G43:H43"/>
    <mergeCell ref="G45:H45"/>
    <mergeCell ref="G46:H46"/>
    <mergeCell ref="G47:H47"/>
    <mergeCell ref="G48:H48"/>
    <mergeCell ref="G49:H49"/>
    <mergeCell ref="G51:H51"/>
    <mergeCell ref="B35:C35"/>
    <mergeCell ref="G35:H35"/>
    <mergeCell ref="B29:C29"/>
    <mergeCell ref="G29:H29"/>
    <mergeCell ref="B30:C30"/>
    <mergeCell ref="G30:H30"/>
    <mergeCell ref="B31:C31"/>
    <mergeCell ref="G31:H31"/>
    <mergeCell ref="B32:C32"/>
    <mergeCell ref="G32:H32"/>
    <mergeCell ref="B33:C33"/>
    <mergeCell ref="G33:H33"/>
    <mergeCell ref="B34:C34"/>
    <mergeCell ref="G24:H24"/>
    <mergeCell ref="B25:C25"/>
    <mergeCell ref="G26:H26"/>
    <mergeCell ref="B27:C27"/>
    <mergeCell ref="B28:C28"/>
    <mergeCell ref="G28:H28"/>
    <mergeCell ref="B21:C21"/>
    <mergeCell ref="G21:H21"/>
    <mergeCell ref="B22:C22"/>
    <mergeCell ref="G22:H22"/>
    <mergeCell ref="B23:C23"/>
    <mergeCell ref="G23:H23"/>
    <mergeCell ref="B18:C18"/>
    <mergeCell ref="G18:H18"/>
    <mergeCell ref="B19:C19"/>
    <mergeCell ref="G19:H19"/>
    <mergeCell ref="B20:C20"/>
    <mergeCell ref="G20:H20"/>
    <mergeCell ref="B13:C13"/>
    <mergeCell ref="G13:H13"/>
    <mergeCell ref="B15:C15"/>
    <mergeCell ref="G15:H15"/>
    <mergeCell ref="B17:C17"/>
    <mergeCell ref="G17:H17"/>
    <mergeCell ref="B10:C10"/>
    <mergeCell ref="G10:H10"/>
    <mergeCell ref="C3:I3"/>
    <mergeCell ref="C4:I4"/>
    <mergeCell ref="C5:I5"/>
    <mergeCell ref="C6:I6"/>
  </mergeCells>
  <printOptions horizontalCentered="1" verticalCentered="1"/>
  <pageMargins left="0" right="0" top="0.94488188976377963" bottom="0.59055118110236227" header="0" footer="0"/>
  <pageSetup scale="64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099D9-3069-441B-B61A-14E09C884336}">
  <sheetPr>
    <pageSetUpPr fitToPage="1"/>
  </sheetPr>
  <dimension ref="B1:I178"/>
  <sheetViews>
    <sheetView topLeftCell="A7" workbookViewId="0">
      <selection activeCell="C53" sqref="C53:D57"/>
    </sheetView>
  </sheetViews>
  <sheetFormatPr baseColWidth="10" defaultColWidth="11.42578125" defaultRowHeight="12"/>
  <cols>
    <col min="1" max="1" width="4.5703125" style="929" customWidth="1"/>
    <col min="2" max="2" width="71.28515625" style="927" customWidth="1"/>
    <col min="3" max="4" width="15.7109375" style="928" customWidth="1"/>
    <col min="5" max="5" width="4.7109375" style="929" customWidth="1"/>
    <col min="6" max="6" width="11.42578125" style="929"/>
    <col min="7" max="7" width="11.85546875" style="929" customWidth="1"/>
    <col min="8" max="8" width="12.140625" style="929" customWidth="1"/>
    <col min="9" max="9" width="15.5703125" style="929" bestFit="1" customWidth="1"/>
    <col min="10" max="16384" width="11.42578125" style="929"/>
  </cols>
  <sheetData>
    <row r="1" spans="2:9" ht="12.75" customHeight="1" thickBot="1">
      <c r="I1" s="930"/>
    </row>
    <row r="2" spans="2:9" ht="12.75" customHeight="1">
      <c r="B2" s="1659" t="str">
        <f>+'2 esf sif'!$B$2:$H$2</f>
        <v>PROMOTORA PARA EL DESARROLLO ECONÓMICO DE CHIHUAHUA</v>
      </c>
      <c r="C2" s="1660"/>
      <c r="D2" s="1661"/>
      <c r="E2" s="931"/>
      <c r="F2" s="931"/>
      <c r="G2" s="931"/>
      <c r="H2" s="931"/>
      <c r="I2" s="931"/>
    </row>
    <row r="3" spans="2:9" ht="12.75" customHeight="1">
      <c r="B3" s="1662" t="s">
        <v>726</v>
      </c>
      <c r="C3" s="1663"/>
      <c r="D3" s="1664"/>
      <c r="E3" s="932"/>
      <c r="F3" s="932"/>
      <c r="G3" s="932"/>
      <c r="H3" s="932"/>
      <c r="I3" s="931"/>
    </row>
    <row r="4" spans="2:9" ht="12.75" customHeight="1" thickBot="1">
      <c r="B4" s="1665"/>
      <c r="C4" s="1666"/>
      <c r="D4" s="1667"/>
      <c r="E4" s="931"/>
      <c r="F4" s="931"/>
      <c r="G4" s="931"/>
      <c r="H4" s="931"/>
      <c r="I4" s="931"/>
    </row>
    <row r="5" spans="2:9" s="937" customFormat="1" ht="14.25" customHeight="1">
      <c r="B5" s="933"/>
      <c r="C5" s="934" t="s">
        <v>226</v>
      </c>
      <c r="D5" s="935" t="s">
        <v>227</v>
      </c>
      <c r="E5" s="936"/>
      <c r="F5" s="936"/>
      <c r="G5" s="936"/>
      <c r="H5" s="936"/>
      <c r="I5" s="936"/>
    </row>
    <row r="6" spans="2:9" s="937" customFormat="1" ht="14.25" customHeight="1">
      <c r="B6" s="933" t="s">
        <v>1022</v>
      </c>
      <c r="C6" s="938">
        <f>SUM(C7,C16)</f>
        <v>20794713.78000002</v>
      </c>
      <c r="D6" s="939">
        <f>SUM(D7,D16)</f>
        <v>33149845.040000089</v>
      </c>
      <c r="E6" s="936"/>
      <c r="F6" s="936"/>
      <c r="G6" s="936"/>
      <c r="H6" s="936"/>
      <c r="I6" s="936"/>
    </row>
    <row r="7" spans="2:9" s="937" customFormat="1">
      <c r="B7" s="940" t="s">
        <v>674</v>
      </c>
      <c r="C7" s="938">
        <f>SUM(C8:C14)</f>
        <v>19422246.860000018</v>
      </c>
      <c r="D7" s="939">
        <f>SUM(D8:D14)</f>
        <v>492433.93000000005</v>
      </c>
      <c r="E7" s="941"/>
      <c r="F7" s="941"/>
      <c r="G7" s="941"/>
      <c r="H7" s="941"/>
      <c r="I7" s="936"/>
    </row>
    <row r="8" spans="2:9" s="946" customFormat="1">
      <c r="B8" s="942" t="s">
        <v>676</v>
      </c>
      <c r="C8" s="943">
        <f>+ECSF!D17</f>
        <v>7765070.9200000167</v>
      </c>
      <c r="D8" s="944">
        <f>+ECSF!E17</f>
        <v>0</v>
      </c>
      <c r="E8" s="945"/>
      <c r="F8" s="945"/>
      <c r="G8" s="945"/>
      <c r="H8" s="945"/>
      <c r="I8" s="936"/>
    </row>
    <row r="9" spans="2:9" s="946" customFormat="1">
      <c r="B9" s="942" t="s">
        <v>678</v>
      </c>
      <c r="C9" s="943">
        <f>+ECSF!D18</f>
        <v>11657175.940000001</v>
      </c>
      <c r="D9" s="944">
        <f>+ECSF!E18</f>
        <v>0</v>
      </c>
      <c r="E9" s="945"/>
      <c r="F9" s="945"/>
      <c r="G9" s="945"/>
      <c r="H9" s="945"/>
      <c r="I9" s="936"/>
    </row>
    <row r="10" spans="2:9" s="947" customFormat="1">
      <c r="B10" s="942" t="s">
        <v>680</v>
      </c>
      <c r="C10" s="943">
        <f>+ECSF!D19</f>
        <v>0</v>
      </c>
      <c r="D10" s="944">
        <f>+ECSF!E19</f>
        <v>492433.93000000005</v>
      </c>
    </row>
    <row r="11" spans="2:9" s="947" customFormat="1">
      <c r="B11" s="942" t="s">
        <v>4891</v>
      </c>
      <c r="C11" s="943">
        <v>0</v>
      </c>
      <c r="D11" s="944">
        <v>0</v>
      </c>
    </row>
    <row r="12" spans="2:9" s="947" customFormat="1">
      <c r="B12" s="948" t="s">
        <v>684</v>
      </c>
      <c r="C12" s="943">
        <v>0</v>
      </c>
      <c r="D12" s="944">
        <v>0</v>
      </c>
    </row>
    <row r="13" spans="2:9" s="947" customFormat="1">
      <c r="B13" s="948" t="s">
        <v>686</v>
      </c>
      <c r="C13" s="943">
        <v>0</v>
      </c>
      <c r="D13" s="944">
        <v>0</v>
      </c>
    </row>
    <row r="14" spans="2:9" s="947" customFormat="1">
      <c r="B14" s="948" t="s">
        <v>4893</v>
      </c>
      <c r="C14" s="943">
        <f>+ECSF!D23</f>
        <v>0</v>
      </c>
      <c r="D14" s="944">
        <f>+ECSF!E23</f>
        <v>0</v>
      </c>
    </row>
    <row r="15" spans="2:9" s="947" customFormat="1">
      <c r="B15" s="949"/>
      <c r="C15" s="928"/>
      <c r="D15" s="950"/>
    </row>
    <row r="16" spans="2:9" s="931" customFormat="1">
      <c r="B16" s="951" t="s">
        <v>692</v>
      </c>
      <c r="C16" s="952">
        <f>SUM(C17:C25)</f>
        <v>1372466.9200000018</v>
      </c>
      <c r="D16" s="953">
        <f>SUM(D17:D25)</f>
        <v>32657411.110000089</v>
      </c>
    </row>
    <row r="17" spans="2:4" s="947" customFormat="1">
      <c r="B17" s="948" t="s">
        <v>694</v>
      </c>
      <c r="C17" s="954">
        <f>+ECSF!D27</f>
        <v>0</v>
      </c>
      <c r="D17" s="955">
        <f>+ECSF!E27</f>
        <v>0</v>
      </c>
    </row>
    <row r="18" spans="2:4" s="947" customFormat="1">
      <c r="B18" s="948" t="s">
        <v>696</v>
      </c>
      <c r="C18" s="954">
        <f>+ECSF!D28</f>
        <v>0</v>
      </c>
      <c r="D18" s="955">
        <f>+ECSF!E28</f>
        <v>0</v>
      </c>
    </row>
    <row r="19" spans="2:4" s="947" customFormat="1">
      <c r="B19" s="948" t="s">
        <v>698</v>
      </c>
      <c r="C19" s="954">
        <f>+ECSF!D29</f>
        <v>0</v>
      </c>
      <c r="D19" s="955">
        <f>+ECSF!E29</f>
        <v>32618406.780000091</v>
      </c>
    </row>
    <row r="20" spans="2:4" s="947" customFormat="1">
      <c r="B20" s="948" t="s">
        <v>700</v>
      </c>
      <c r="C20" s="954">
        <f>+ECSF!D30</f>
        <v>0</v>
      </c>
      <c r="D20" s="955">
        <f>+ECSF!E30</f>
        <v>39004.330000000075</v>
      </c>
    </row>
    <row r="21" spans="2:4" s="947" customFormat="1">
      <c r="B21" s="948" t="s">
        <v>702</v>
      </c>
      <c r="C21" s="954">
        <f>+ECSF!D31</f>
        <v>0</v>
      </c>
      <c r="D21" s="955">
        <f>+ECSF!E31</f>
        <v>0</v>
      </c>
    </row>
    <row r="22" spans="2:4" s="947" customFormat="1">
      <c r="B22" s="948" t="s">
        <v>703</v>
      </c>
      <c r="C22" s="954">
        <f>+ECSF!D32</f>
        <v>1372466.9200000018</v>
      </c>
      <c r="D22" s="955">
        <f>+ECSF!E32</f>
        <v>0</v>
      </c>
    </row>
    <row r="23" spans="2:4" s="947" customFormat="1">
      <c r="B23" s="948" t="s">
        <v>705</v>
      </c>
      <c r="C23" s="954">
        <f>+ECSF!D33</f>
        <v>0</v>
      </c>
      <c r="D23" s="955">
        <f>+ECSF!E33</f>
        <v>0</v>
      </c>
    </row>
    <row r="24" spans="2:4" s="947" customFormat="1">
      <c r="B24" s="948" t="s">
        <v>4909</v>
      </c>
      <c r="C24" s="954">
        <f>+ECSF!D34</f>
        <v>0</v>
      </c>
      <c r="D24" s="955">
        <f>+ECSF!E34</f>
        <v>0</v>
      </c>
    </row>
    <row r="25" spans="2:4" s="947" customFormat="1">
      <c r="B25" s="948" t="s">
        <v>708</v>
      </c>
      <c r="C25" s="954">
        <f>+ECSF!D35</f>
        <v>0</v>
      </c>
      <c r="D25" s="955">
        <f>+ECSF!E35</f>
        <v>0</v>
      </c>
    </row>
    <row r="26" spans="2:4" s="947" customFormat="1">
      <c r="B26" s="956"/>
      <c r="C26" s="928"/>
      <c r="D26" s="950"/>
    </row>
    <row r="27" spans="2:4" s="931" customFormat="1">
      <c r="B27" s="933" t="s">
        <v>673</v>
      </c>
      <c r="C27" s="952">
        <f>SUM(C28,C38)</f>
        <v>1761.1800000000003</v>
      </c>
      <c r="D27" s="953">
        <f>SUM(D28,D38)</f>
        <v>1626474.13</v>
      </c>
    </row>
    <row r="28" spans="2:4" s="931" customFormat="1">
      <c r="B28" s="940" t="s">
        <v>675</v>
      </c>
      <c r="C28" s="952">
        <f>SUM(C29:C36)</f>
        <v>1761.1800000000003</v>
      </c>
      <c r="D28" s="953">
        <f>SUM(D29:D36)</f>
        <v>1626474.13</v>
      </c>
    </row>
    <row r="29" spans="2:4" s="947" customFormat="1">
      <c r="B29" s="948" t="s">
        <v>677</v>
      </c>
      <c r="C29" s="954">
        <f>+ECSF!I17</f>
        <v>0</v>
      </c>
      <c r="D29" s="955">
        <f>+ECSF!J17</f>
        <v>1626474.13</v>
      </c>
    </row>
    <row r="30" spans="2:4" s="947" customFormat="1">
      <c r="B30" s="948" t="s">
        <v>4910</v>
      </c>
      <c r="C30" s="954">
        <f>+ECSF!I18</f>
        <v>0</v>
      </c>
      <c r="D30" s="955">
        <f>+ECSF!J18</f>
        <v>0</v>
      </c>
    </row>
    <row r="31" spans="2:4" s="947" customFormat="1">
      <c r="B31" s="948" t="s">
        <v>681</v>
      </c>
      <c r="C31" s="954">
        <v>0</v>
      </c>
      <c r="D31" s="955">
        <v>0</v>
      </c>
    </row>
    <row r="32" spans="2:4" s="947" customFormat="1">
      <c r="B32" s="948" t="s">
        <v>683</v>
      </c>
      <c r="C32" s="954">
        <v>0</v>
      </c>
      <c r="D32" s="955">
        <v>0</v>
      </c>
    </row>
    <row r="33" spans="2:4" s="947" customFormat="1">
      <c r="B33" s="948" t="s">
        <v>685</v>
      </c>
      <c r="C33" s="954">
        <f>+ECSF!I21</f>
        <v>1761.1800000000003</v>
      </c>
      <c r="D33" s="955">
        <f>+ECSF!J21</f>
        <v>0</v>
      </c>
    </row>
    <row r="34" spans="2:4" s="947" customFormat="1">
      <c r="B34" s="948" t="s">
        <v>4892</v>
      </c>
      <c r="C34" s="954">
        <v>0</v>
      </c>
      <c r="D34" s="955">
        <v>0</v>
      </c>
    </row>
    <row r="35" spans="2:4" s="947" customFormat="1">
      <c r="B35" s="948" t="s">
        <v>688</v>
      </c>
      <c r="C35" s="954">
        <v>0</v>
      </c>
      <c r="D35" s="955">
        <v>0</v>
      </c>
    </row>
    <row r="36" spans="2:4" s="947" customFormat="1">
      <c r="B36" s="948" t="s">
        <v>689</v>
      </c>
      <c r="C36" s="954">
        <v>0</v>
      </c>
      <c r="D36" s="955">
        <v>0</v>
      </c>
    </row>
    <row r="37" spans="2:4" s="947" customFormat="1">
      <c r="B37" s="957"/>
      <c r="C37" s="928"/>
      <c r="D37" s="950"/>
    </row>
    <row r="38" spans="2:4" s="931" customFormat="1">
      <c r="B38" s="940" t="s">
        <v>693</v>
      </c>
      <c r="C38" s="952">
        <f>SUM(C39:C44)</f>
        <v>0</v>
      </c>
      <c r="D38" s="953">
        <f>SUM(D39:D44)</f>
        <v>0</v>
      </c>
    </row>
    <row r="39" spans="2:4" s="947" customFormat="1">
      <c r="B39" s="948" t="s">
        <v>695</v>
      </c>
      <c r="C39" s="954">
        <v>0</v>
      </c>
      <c r="D39" s="955">
        <v>0</v>
      </c>
    </row>
    <row r="40" spans="2:4" s="947" customFormat="1">
      <c r="B40" s="948" t="s">
        <v>697</v>
      </c>
      <c r="C40" s="954">
        <f>+ECSF!I29</f>
        <v>0</v>
      </c>
      <c r="D40" s="955">
        <f>+ECSF!J29</f>
        <v>0</v>
      </c>
    </row>
    <row r="41" spans="2:4" s="947" customFormat="1">
      <c r="B41" s="948" t="s">
        <v>699</v>
      </c>
      <c r="C41" s="954">
        <v>0</v>
      </c>
      <c r="D41" s="955">
        <v>0</v>
      </c>
    </row>
    <row r="42" spans="2:4" s="947" customFormat="1">
      <c r="B42" s="948" t="s">
        <v>701</v>
      </c>
      <c r="C42" s="954">
        <v>0</v>
      </c>
      <c r="D42" s="955">
        <v>0</v>
      </c>
    </row>
    <row r="43" spans="2:4" s="947" customFormat="1">
      <c r="B43" s="948" t="s">
        <v>4911</v>
      </c>
      <c r="C43" s="954">
        <v>0</v>
      </c>
      <c r="D43" s="955">
        <v>0</v>
      </c>
    </row>
    <row r="44" spans="2:4" s="947" customFormat="1">
      <c r="B44" s="948" t="s">
        <v>704</v>
      </c>
      <c r="C44" s="954">
        <v>0</v>
      </c>
      <c r="D44" s="955">
        <v>0</v>
      </c>
    </row>
    <row r="45" spans="2:4" s="947" customFormat="1">
      <c r="B45" s="957"/>
      <c r="C45" s="928"/>
      <c r="D45" s="950"/>
    </row>
    <row r="46" spans="2:4" s="931" customFormat="1">
      <c r="B46" s="933" t="s">
        <v>103</v>
      </c>
      <c r="C46" s="952">
        <f>SUM(C47,C52,C59)</f>
        <v>82707402.839999914</v>
      </c>
      <c r="D46" s="953">
        <f>SUM(D47,D52,D59)</f>
        <v>68727558.629999995</v>
      </c>
    </row>
    <row r="47" spans="2:4" s="931" customFormat="1">
      <c r="B47" s="940" t="s">
        <v>4904</v>
      </c>
      <c r="C47" s="952">
        <f>SUM(C48:C50)</f>
        <v>0</v>
      </c>
      <c r="D47" s="953">
        <f>SUM(D48:D50)</f>
        <v>0</v>
      </c>
    </row>
    <row r="48" spans="2:4" s="947" customFormat="1">
      <c r="B48" s="948" t="s">
        <v>647</v>
      </c>
      <c r="C48" s="954">
        <f>+ECSF!I39</f>
        <v>0</v>
      </c>
      <c r="D48" s="955">
        <f>+ECSF!J39</f>
        <v>0</v>
      </c>
    </row>
    <row r="49" spans="2:4" s="947" customFormat="1">
      <c r="B49" s="948" t="s">
        <v>714</v>
      </c>
      <c r="C49" s="954">
        <v>0</v>
      </c>
      <c r="D49" s="955">
        <v>0</v>
      </c>
    </row>
    <row r="50" spans="2:4" s="947" customFormat="1">
      <c r="B50" s="948" t="s">
        <v>715</v>
      </c>
      <c r="C50" s="954">
        <f>+ECSF!I41</f>
        <v>0</v>
      </c>
      <c r="D50" s="955">
        <f>+ECSF!J41</f>
        <v>0</v>
      </c>
    </row>
    <row r="51" spans="2:4" s="947" customFormat="1">
      <c r="B51" s="957"/>
      <c r="C51" s="928"/>
      <c r="D51" s="950"/>
    </row>
    <row r="52" spans="2:4" s="931" customFormat="1">
      <c r="B52" s="940" t="s">
        <v>4912</v>
      </c>
      <c r="C52" s="952">
        <f>SUM(C53:C57)</f>
        <v>82707402.839999914</v>
      </c>
      <c r="D52" s="953">
        <f>SUM(D53:D57)</f>
        <v>68727558.629999995</v>
      </c>
    </row>
    <row r="53" spans="2:4" s="947" customFormat="1">
      <c r="B53" s="948" t="s">
        <v>4913</v>
      </c>
      <c r="C53" s="954">
        <f>+ECSF!I45</f>
        <v>0</v>
      </c>
      <c r="D53" s="955">
        <f>+ECSF!J45</f>
        <v>68727558.629999995</v>
      </c>
    </row>
    <row r="54" spans="2:4" s="947" customFormat="1">
      <c r="B54" s="948" t="s">
        <v>4914</v>
      </c>
      <c r="C54" s="954">
        <f>+ECSF!I46</f>
        <v>82707402.839999914</v>
      </c>
      <c r="D54" s="955">
        <f>+ECSF!J46</f>
        <v>0</v>
      </c>
    </row>
    <row r="55" spans="2:4" s="947" customFormat="1">
      <c r="B55" s="948" t="s">
        <v>719</v>
      </c>
      <c r="C55" s="954">
        <v>0</v>
      </c>
      <c r="D55" s="955">
        <v>0</v>
      </c>
    </row>
    <row r="56" spans="2:4" s="947" customFormat="1">
      <c r="B56" s="948" t="s">
        <v>720</v>
      </c>
      <c r="C56" s="954">
        <v>0</v>
      </c>
      <c r="D56" s="955">
        <v>0</v>
      </c>
    </row>
    <row r="57" spans="2:4" s="947" customFormat="1">
      <c r="B57" s="948" t="s">
        <v>231</v>
      </c>
      <c r="C57" s="954">
        <v>0</v>
      </c>
      <c r="D57" s="955">
        <v>0</v>
      </c>
    </row>
    <row r="58" spans="2:4" s="947" customFormat="1">
      <c r="B58" s="957"/>
      <c r="C58" s="928"/>
      <c r="D58" s="950"/>
    </row>
    <row r="59" spans="2:4" s="931" customFormat="1">
      <c r="B59" s="940" t="s">
        <v>4907</v>
      </c>
      <c r="C59" s="952">
        <f>SUM(C60:C61)</f>
        <v>0</v>
      </c>
      <c r="D59" s="953">
        <f>SUM(D60:D61)</f>
        <v>0</v>
      </c>
    </row>
    <row r="60" spans="2:4" s="947" customFormat="1">
      <c r="B60" s="948" t="s">
        <v>722</v>
      </c>
      <c r="C60" s="954">
        <f>+ECSF!I53</f>
        <v>0</v>
      </c>
      <c r="D60" s="955">
        <f>+ECSF!J53</f>
        <v>0</v>
      </c>
    </row>
    <row r="61" spans="2:4" s="947" customFormat="1" ht="12.75" thickBot="1">
      <c r="B61" s="958" t="s">
        <v>723</v>
      </c>
      <c r="C61" s="959">
        <f>+ECSF!I54</f>
        <v>0</v>
      </c>
      <c r="D61" s="960">
        <f>+ECSF!J54</f>
        <v>0</v>
      </c>
    </row>
    <row r="62" spans="2:4" ht="12.75" customHeight="1">
      <c r="B62" s="961"/>
    </row>
    <row r="63" spans="2:4" ht="12.75" customHeight="1">
      <c r="B63" s="962"/>
    </row>
    <row r="64" spans="2:4" ht="12.75" customHeight="1">
      <c r="B64" s="962"/>
    </row>
    <row r="65" spans="2:2" ht="12.75" customHeight="1">
      <c r="B65" s="962"/>
    </row>
    <row r="66" spans="2:2" ht="12.75" customHeight="1">
      <c r="B66" s="962"/>
    </row>
    <row r="67" spans="2:2" ht="12.75" customHeight="1">
      <c r="B67" s="962"/>
    </row>
    <row r="68" spans="2:2" ht="12.75" customHeight="1">
      <c r="B68" s="962"/>
    </row>
    <row r="69" spans="2:2" ht="12.75" customHeight="1">
      <c r="B69" s="962"/>
    </row>
    <row r="70" spans="2:2" ht="12.75" customHeight="1">
      <c r="B70" s="962"/>
    </row>
    <row r="71" spans="2:2" ht="12.75" customHeight="1">
      <c r="B71" s="962"/>
    </row>
    <row r="72" spans="2:2" ht="12.75" customHeight="1">
      <c r="B72" s="962"/>
    </row>
    <row r="73" spans="2:2" ht="12.75" customHeight="1">
      <c r="B73" s="962"/>
    </row>
    <row r="74" spans="2:2" ht="12.75" customHeight="1">
      <c r="B74" s="962"/>
    </row>
    <row r="75" spans="2:2" ht="12.75" customHeight="1">
      <c r="B75" s="962"/>
    </row>
    <row r="76" spans="2:2" ht="12.75" customHeight="1">
      <c r="B76" s="962"/>
    </row>
    <row r="77" spans="2:2" ht="12.75" customHeight="1">
      <c r="B77" s="962"/>
    </row>
    <row r="78" spans="2:2" ht="12.75" customHeight="1">
      <c r="B78" s="962"/>
    </row>
    <row r="79" spans="2:2" ht="12.75" customHeight="1">
      <c r="B79" s="962"/>
    </row>
    <row r="80" spans="2:2" ht="12.75" customHeight="1">
      <c r="B80" s="962"/>
    </row>
    <row r="81" spans="2:2" ht="12.75" customHeight="1">
      <c r="B81" s="962"/>
    </row>
    <row r="82" spans="2:2" ht="12.75" customHeight="1">
      <c r="B82" s="962"/>
    </row>
    <row r="83" spans="2:2" ht="12.75" customHeight="1">
      <c r="B83" s="962"/>
    </row>
    <row r="84" spans="2:2" ht="12.75" customHeight="1">
      <c r="B84" s="962"/>
    </row>
    <row r="85" spans="2:2" ht="12.75" customHeight="1">
      <c r="B85" s="962"/>
    </row>
    <row r="86" spans="2:2" ht="12.75" customHeight="1">
      <c r="B86" s="962"/>
    </row>
    <row r="87" spans="2:2" ht="12.75" customHeight="1">
      <c r="B87" s="962"/>
    </row>
    <row r="88" spans="2:2" ht="12.75" customHeight="1">
      <c r="B88" s="963"/>
    </row>
    <row r="89" spans="2:2" ht="12.75" customHeight="1">
      <c r="B89" s="962"/>
    </row>
    <row r="90" spans="2:2" ht="12.75" customHeight="1">
      <c r="B90" s="962"/>
    </row>
    <row r="91" spans="2:2" ht="12.75" customHeight="1">
      <c r="B91" s="962"/>
    </row>
    <row r="92" spans="2:2" ht="26.25" customHeight="1">
      <c r="B92" s="962"/>
    </row>
    <row r="93" spans="2:2" ht="24" customHeight="1">
      <c r="B93" s="962"/>
    </row>
    <row r="94" spans="2:2" ht="12.75" customHeight="1">
      <c r="B94" s="962"/>
    </row>
    <row r="95" spans="2:2" ht="12.75" customHeight="1">
      <c r="B95" s="962"/>
    </row>
    <row r="96" spans="2:2" ht="12.75" customHeight="1">
      <c r="B96" s="962"/>
    </row>
    <row r="97" spans="2:2" ht="12.75" customHeight="1">
      <c r="B97" s="962"/>
    </row>
    <row r="98" spans="2:2" ht="12.75" customHeight="1">
      <c r="B98" s="962"/>
    </row>
    <row r="99" spans="2:2" ht="12.75" customHeight="1">
      <c r="B99" s="962"/>
    </row>
    <row r="100" spans="2:2" ht="12.75" customHeight="1">
      <c r="B100" s="962"/>
    </row>
    <row r="101" spans="2:2" ht="12.75" customHeight="1">
      <c r="B101" s="962"/>
    </row>
    <row r="102" spans="2:2" ht="12.75" customHeight="1">
      <c r="B102" s="962"/>
    </row>
    <row r="103" spans="2:2" ht="12.75" customHeight="1">
      <c r="B103" s="962"/>
    </row>
    <row r="104" spans="2:2" ht="12.75" customHeight="1">
      <c r="B104" s="962"/>
    </row>
    <row r="105" spans="2:2" ht="12.75" customHeight="1">
      <c r="B105" s="962"/>
    </row>
    <row r="106" spans="2:2" ht="12.75" customHeight="1">
      <c r="B106" s="962"/>
    </row>
    <row r="107" spans="2:2" ht="12.75" customHeight="1">
      <c r="B107" s="962"/>
    </row>
    <row r="108" spans="2:2" ht="12.75" customHeight="1">
      <c r="B108" s="962"/>
    </row>
    <row r="109" spans="2:2" ht="12.75" customHeight="1">
      <c r="B109" s="962"/>
    </row>
    <row r="110" spans="2:2" ht="12.75" customHeight="1">
      <c r="B110" s="962"/>
    </row>
    <row r="111" spans="2:2" ht="12.75" customHeight="1">
      <c r="B111" s="962"/>
    </row>
    <row r="112" spans="2:2" ht="12.75" customHeight="1">
      <c r="B112" s="962"/>
    </row>
    <row r="113" spans="2:2" ht="12.75" customHeight="1">
      <c r="B113" s="962"/>
    </row>
    <row r="114" spans="2:2" ht="12.75" customHeight="1">
      <c r="B114" s="962"/>
    </row>
    <row r="115" spans="2:2" ht="12.75" customHeight="1">
      <c r="B115" s="962"/>
    </row>
    <row r="116" spans="2:2" ht="12.75" customHeight="1">
      <c r="B116" s="962"/>
    </row>
    <row r="117" spans="2:2" ht="12.75" customHeight="1">
      <c r="B117" s="962"/>
    </row>
    <row r="118" spans="2:2" ht="12.75" customHeight="1">
      <c r="B118" s="962"/>
    </row>
    <row r="119" spans="2:2" ht="12.75" customHeight="1">
      <c r="B119" s="962"/>
    </row>
    <row r="120" spans="2:2" ht="12.75" customHeight="1">
      <c r="B120" s="962"/>
    </row>
    <row r="121" spans="2:2" ht="12.75" customHeight="1">
      <c r="B121" s="962"/>
    </row>
    <row r="122" spans="2:2" ht="12.75" customHeight="1">
      <c r="B122" s="962"/>
    </row>
    <row r="123" spans="2:2" ht="12.75" customHeight="1">
      <c r="B123" s="962"/>
    </row>
    <row r="124" spans="2:2" ht="12.75" customHeight="1">
      <c r="B124" s="962"/>
    </row>
    <row r="125" spans="2:2" ht="12.75" customHeight="1">
      <c r="B125" s="962"/>
    </row>
    <row r="126" spans="2:2" ht="12.75" customHeight="1">
      <c r="B126" s="962"/>
    </row>
    <row r="127" spans="2:2" ht="12.75" customHeight="1">
      <c r="B127" s="962"/>
    </row>
    <row r="128" spans="2:2" ht="12.75" customHeight="1">
      <c r="B128" s="962"/>
    </row>
    <row r="129" spans="2:2" ht="12.75" customHeight="1">
      <c r="B129" s="962"/>
    </row>
    <row r="130" spans="2:2" ht="12.75" customHeight="1">
      <c r="B130" s="962"/>
    </row>
    <row r="131" spans="2:2" ht="12.75" customHeight="1">
      <c r="B131" s="962"/>
    </row>
    <row r="132" spans="2:2" ht="12.75" customHeight="1">
      <c r="B132" s="962"/>
    </row>
    <row r="133" spans="2:2" ht="12.75" customHeight="1">
      <c r="B133" s="962"/>
    </row>
    <row r="134" spans="2:2" ht="12.75" customHeight="1">
      <c r="B134" s="962"/>
    </row>
    <row r="135" spans="2:2" ht="12.75" customHeight="1">
      <c r="B135" s="962"/>
    </row>
    <row r="136" spans="2:2" ht="12.75" customHeight="1">
      <c r="B136" s="962"/>
    </row>
    <row r="137" spans="2:2" ht="12.75" customHeight="1">
      <c r="B137" s="962"/>
    </row>
    <row r="138" spans="2:2" ht="12.75" customHeight="1">
      <c r="B138" s="962"/>
    </row>
    <row r="139" spans="2:2" ht="12.75" customHeight="1">
      <c r="B139" s="962"/>
    </row>
    <row r="140" spans="2:2" ht="12.75" customHeight="1">
      <c r="B140" s="962"/>
    </row>
    <row r="141" spans="2:2" ht="12.75" customHeight="1">
      <c r="B141" s="962"/>
    </row>
    <row r="142" spans="2:2" ht="12.75" customHeight="1">
      <c r="B142" s="962"/>
    </row>
    <row r="143" spans="2:2" ht="12.75" customHeight="1">
      <c r="B143" s="962"/>
    </row>
    <row r="144" spans="2:2" ht="12.75" customHeight="1">
      <c r="B144" s="962"/>
    </row>
    <row r="145" spans="2:2" ht="12.75" customHeight="1">
      <c r="B145" s="962"/>
    </row>
    <row r="146" spans="2:2" ht="12.75" customHeight="1">
      <c r="B146" s="962"/>
    </row>
    <row r="147" spans="2:2" ht="12.75" customHeight="1">
      <c r="B147" s="962"/>
    </row>
    <row r="148" spans="2:2" ht="12.75" customHeight="1">
      <c r="B148" s="962"/>
    </row>
    <row r="149" spans="2:2" ht="12.75" customHeight="1">
      <c r="B149" s="962"/>
    </row>
    <row r="150" spans="2:2" ht="12.75" customHeight="1">
      <c r="B150" s="962"/>
    </row>
    <row r="151" spans="2:2" ht="12.75" customHeight="1">
      <c r="B151" s="962"/>
    </row>
    <row r="152" spans="2:2" ht="12.75" customHeight="1">
      <c r="B152" s="962"/>
    </row>
    <row r="153" spans="2:2" ht="12.75" customHeight="1">
      <c r="B153" s="962"/>
    </row>
    <row r="154" spans="2:2" ht="12.75" customHeight="1">
      <c r="B154" s="962"/>
    </row>
    <row r="155" spans="2:2" ht="12.75" customHeight="1">
      <c r="B155" s="962"/>
    </row>
    <row r="156" spans="2:2" ht="12.75" customHeight="1">
      <c r="B156" s="962"/>
    </row>
    <row r="157" spans="2:2" ht="12.75" customHeight="1">
      <c r="B157" s="962"/>
    </row>
    <row r="158" spans="2:2" ht="12.75" customHeight="1">
      <c r="B158" s="962"/>
    </row>
    <row r="159" spans="2:2" ht="12.75" customHeight="1">
      <c r="B159" s="962"/>
    </row>
    <row r="160" spans="2:2" ht="12.75" customHeight="1">
      <c r="B160" s="962"/>
    </row>
    <row r="161" spans="2:2" ht="12.75" customHeight="1">
      <c r="B161" s="962"/>
    </row>
    <row r="162" spans="2:2" ht="12.75" customHeight="1">
      <c r="B162" s="962"/>
    </row>
    <row r="163" spans="2:2" ht="12.75" customHeight="1">
      <c r="B163" s="962"/>
    </row>
    <row r="164" spans="2:2" ht="12.75" customHeight="1">
      <c r="B164" s="962"/>
    </row>
    <row r="165" spans="2:2" ht="12.75" customHeight="1">
      <c r="B165" s="962"/>
    </row>
    <row r="166" spans="2:2" ht="12.75" customHeight="1">
      <c r="B166" s="962"/>
    </row>
    <row r="167" spans="2:2" ht="12.75" customHeight="1">
      <c r="B167" s="962"/>
    </row>
    <row r="168" spans="2:2" ht="12.75" customHeight="1">
      <c r="B168" s="962"/>
    </row>
    <row r="169" spans="2:2" ht="12.75" customHeight="1">
      <c r="B169" s="962"/>
    </row>
    <row r="170" spans="2:2" ht="12.75" customHeight="1">
      <c r="B170" s="962"/>
    </row>
    <row r="171" spans="2:2" ht="12.75" customHeight="1">
      <c r="B171" s="962"/>
    </row>
    <row r="172" spans="2:2" ht="12.75" customHeight="1">
      <c r="B172" s="962"/>
    </row>
    <row r="173" spans="2:2" ht="12.75" customHeight="1">
      <c r="B173" s="962"/>
    </row>
    <row r="174" spans="2:2" ht="12.75" customHeight="1">
      <c r="B174" s="962"/>
    </row>
    <row r="175" spans="2:2" ht="12.75" customHeight="1">
      <c r="B175" s="962"/>
    </row>
    <row r="176" spans="2:2" ht="12.75" customHeight="1">
      <c r="B176" s="962"/>
    </row>
    <row r="177" spans="2:2" ht="12.75" customHeight="1">
      <c r="B177" s="962"/>
    </row>
    <row r="178" spans="2:2" ht="12.75" customHeight="1">
      <c r="B178" s="962"/>
    </row>
  </sheetData>
  <mergeCells count="3">
    <mergeCell ref="B2:D2"/>
    <mergeCell ref="B3:D3"/>
    <mergeCell ref="B4:D4"/>
  </mergeCells>
  <pageMargins left="0.70866141732283472" right="0.70866141732283472" top="0.74803149606299213" bottom="0.74803149606299213" header="0.31496062992125984" footer="0.31496062992125984"/>
  <pageSetup scale="82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pageSetUpPr fitToPage="1"/>
  </sheetPr>
  <dimension ref="A1:M31"/>
  <sheetViews>
    <sheetView topLeftCell="A13" workbookViewId="0">
      <selection activeCell="B30" sqref="B30"/>
    </sheetView>
  </sheetViews>
  <sheetFormatPr baseColWidth="10" defaultRowHeight="12.75"/>
  <cols>
    <col min="1" max="1" width="41.7109375" customWidth="1"/>
    <col min="2" max="2" width="16.7109375" style="6" customWidth="1"/>
    <col min="3" max="3" width="16" style="13" customWidth="1"/>
    <col min="4" max="4" width="14.85546875" style="6" customWidth="1"/>
    <col min="5" max="5" width="11.85546875" bestFit="1" customWidth="1"/>
  </cols>
  <sheetData>
    <row r="1" spans="1:13" s="2" customFormat="1">
      <c r="B1" s="9"/>
      <c r="C1" s="10"/>
      <c r="D1" s="9"/>
    </row>
    <row r="2" spans="1:13" s="2" customFormat="1" ht="15.75">
      <c r="A2" s="1553" t="s">
        <v>2992</v>
      </c>
      <c r="B2" s="1553"/>
      <c r="C2" s="1553"/>
      <c r="D2" s="1553"/>
    </row>
    <row r="3" spans="1:13" s="2" customFormat="1" ht="15">
      <c r="A3" s="1552" t="s">
        <v>204</v>
      </c>
      <c r="B3" s="1552"/>
      <c r="C3" s="1552"/>
      <c r="D3" s="1552"/>
    </row>
    <row r="4" spans="1:13" s="2" customFormat="1">
      <c r="A4" s="1556" t="s">
        <v>6754</v>
      </c>
      <c r="B4" s="1554"/>
      <c r="C4" s="1554"/>
      <c r="D4" s="1554"/>
    </row>
    <row r="5" spans="1:13" s="2" customFormat="1">
      <c r="A5" s="8"/>
      <c r="B5" s="1555"/>
      <c r="C5" s="1555"/>
      <c r="D5" s="1555"/>
      <c r="K5" s="9"/>
      <c r="L5" s="10"/>
      <c r="M5" s="9"/>
    </row>
    <row r="6" spans="1:13" s="2" customFormat="1" ht="15">
      <c r="B6" s="9"/>
      <c r="C6" s="10"/>
      <c r="D6" s="9"/>
      <c r="J6" s="1552"/>
      <c r="K6" s="1552"/>
      <c r="L6" s="1552"/>
      <c r="M6" s="1552"/>
    </row>
    <row r="7" spans="1:13">
      <c r="A7" s="595" t="s">
        <v>101</v>
      </c>
      <c r="B7" s="596" t="s">
        <v>3</v>
      </c>
      <c r="C7" s="596" t="s">
        <v>4</v>
      </c>
      <c r="D7" s="597" t="s">
        <v>5</v>
      </c>
      <c r="J7" s="1554"/>
      <c r="K7" s="1554"/>
      <c r="L7" s="1554"/>
      <c r="M7" s="1554"/>
    </row>
    <row r="8" spans="1:13">
      <c r="B8" s="11"/>
      <c r="C8" s="12"/>
      <c r="D8" s="11"/>
    </row>
    <row r="9" spans="1:13">
      <c r="A9" s="2" t="s">
        <v>92</v>
      </c>
      <c r="B9" s="11"/>
      <c r="C9" s="11"/>
      <c r="D9" s="11"/>
    </row>
    <row r="10" spans="1:13">
      <c r="A10" s="7"/>
      <c r="B10" s="14"/>
      <c r="C10" s="14"/>
      <c r="D10" s="14"/>
    </row>
    <row r="11" spans="1:13">
      <c r="A11" s="73" t="s">
        <v>182</v>
      </c>
      <c r="B11" s="14">
        <f>SUM('PRESUP ORIGINAL'!D207:G207)</f>
        <v>32281620.827205233</v>
      </c>
      <c r="C11" s="14">
        <f>INGRESOS!C35</f>
        <v>27398257</v>
      </c>
      <c r="D11" s="14">
        <f>+B11-C11</f>
        <v>4883363.8272052333</v>
      </c>
    </row>
    <row r="12" spans="1:13">
      <c r="A12" s="7" t="s">
        <v>10</v>
      </c>
      <c r="B12" s="14">
        <f>SUM('PRESUP ORIGINAL'!D224:G224)</f>
        <v>0</v>
      </c>
      <c r="C12" s="14">
        <f>+INGRESOS!C42</f>
        <v>0</v>
      </c>
      <c r="D12" s="14">
        <f>+B12-C12</f>
        <v>0</v>
      </c>
    </row>
    <row r="13" spans="1:13">
      <c r="A13" s="73" t="s">
        <v>1863</v>
      </c>
      <c r="B13" s="14">
        <f>SUM('PRESUP ORIGINAL'!D216:G216)</f>
        <v>176000</v>
      </c>
      <c r="C13" s="14">
        <f>+INGRESOS!C48</f>
        <v>372362.81</v>
      </c>
      <c r="D13" s="14"/>
    </row>
    <row r="14" spans="1:13">
      <c r="A14" s="73" t="s">
        <v>186</v>
      </c>
      <c r="B14" s="14">
        <f>SUM('PRESUP ORIGINAL'!D229:G229)</f>
        <v>1642714.9065269302</v>
      </c>
      <c r="C14" s="14">
        <f>+INGRESOS!C58</f>
        <v>2677183.0699999994</v>
      </c>
      <c r="D14" s="14">
        <f>+B14-C14</f>
        <v>-1034468.1634730692</v>
      </c>
    </row>
    <row r="15" spans="1:13">
      <c r="A15" s="73" t="s">
        <v>1043</v>
      </c>
      <c r="B15" s="14">
        <v>0</v>
      </c>
      <c r="C15" s="14">
        <f>+INGRESOS!C64</f>
        <v>0</v>
      </c>
      <c r="D15" s="14">
        <f>+B15-C15</f>
        <v>0</v>
      </c>
    </row>
    <row r="16" spans="1:13">
      <c r="A16" s="7"/>
      <c r="B16" s="14"/>
      <c r="C16" s="14"/>
      <c r="D16" s="14"/>
    </row>
    <row r="17" spans="1:5" s="2" customFormat="1">
      <c r="A17" s="24" t="s">
        <v>93</v>
      </c>
      <c r="B17" s="34">
        <f>SUM(B11:B16)</f>
        <v>34100335.733732164</v>
      </c>
      <c r="C17" s="34">
        <f>SUM(C11:C16)</f>
        <v>30447802.879999999</v>
      </c>
      <c r="D17" s="100">
        <f>SUM(D11:D16)</f>
        <v>3848895.6637321641</v>
      </c>
    </row>
    <row r="18" spans="1:5">
      <c r="A18" s="7"/>
      <c r="B18" s="14"/>
      <c r="C18" s="14"/>
      <c r="D18" s="14"/>
    </row>
    <row r="19" spans="1:5">
      <c r="A19" s="135" t="s">
        <v>965</v>
      </c>
      <c r="B19" s="14"/>
      <c r="C19" s="14"/>
      <c r="D19" s="14"/>
    </row>
    <row r="20" spans="1:5">
      <c r="A20" s="2"/>
      <c r="B20" s="14"/>
      <c r="C20" s="14"/>
      <c r="D20" s="14"/>
    </row>
    <row r="21" spans="1:5">
      <c r="A21" s="73" t="s">
        <v>234</v>
      </c>
      <c r="B21" s="14">
        <f>+'VARIACIONES EGRESOS'!Q59</f>
        <v>18747311.831899002</v>
      </c>
      <c r="C21" s="14">
        <f>+'VARIACIONES EGRESOS'!R59</f>
        <v>8030595.3899999997</v>
      </c>
      <c r="D21" s="14">
        <f>+B21-C21</f>
        <v>10716716.441899002</v>
      </c>
    </row>
    <row r="22" spans="1:5">
      <c r="A22" s="73" t="s">
        <v>183</v>
      </c>
      <c r="B22" s="14">
        <f>+'VARIACIONES EGRESOS'!Q131</f>
        <v>47196560.35626667</v>
      </c>
      <c r="C22" s="14">
        <f>+'VARIACIONES EGRESOS'!R131</f>
        <v>6989906.9199999999</v>
      </c>
      <c r="D22" s="14">
        <f>+B22-C22</f>
        <v>40206653.436266668</v>
      </c>
    </row>
    <row r="23" spans="1:5">
      <c r="A23" s="73" t="s">
        <v>50</v>
      </c>
      <c r="B23" s="14">
        <f>SUM('PRESUP ORIGINAL'!D140:G140)</f>
        <v>13333333.333333334</v>
      </c>
      <c r="C23" s="14">
        <f>+EGRESOS!C46+EGRESOS!C53</f>
        <v>0</v>
      </c>
      <c r="D23" s="14">
        <f>+B23-C23</f>
        <v>13333333.333333334</v>
      </c>
    </row>
    <row r="24" spans="1:5">
      <c r="A24" s="73" t="s">
        <v>185</v>
      </c>
      <c r="B24" s="14">
        <f>SUM('PRESUP ORIGINAL'!D137:G139)</f>
        <v>216666.66666666672</v>
      </c>
      <c r="C24" s="14">
        <f>+EGRESOS!C60-EGRESOS!C57</f>
        <v>74989.439999999944</v>
      </c>
      <c r="D24" s="14">
        <f>+B24-C24</f>
        <v>141677.22666666677</v>
      </c>
    </row>
    <row r="25" spans="1:5">
      <c r="A25" s="78" t="s">
        <v>47</v>
      </c>
      <c r="B25" s="14">
        <f>SUM('VARIACIONES EGRESOS'!D137:G137)</f>
        <v>1500000</v>
      </c>
      <c r="C25" s="14">
        <f>+EGRESOS!C57</f>
        <v>1372466.92</v>
      </c>
      <c r="D25" s="14">
        <f>+B25-C25</f>
        <v>127533.08000000007</v>
      </c>
    </row>
    <row r="26" spans="1:5">
      <c r="A26" s="7"/>
      <c r="B26" s="14"/>
      <c r="C26" s="14"/>
      <c r="D26" s="14"/>
    </row>
    <row r="27" spans="1:5" s="2" customFormat="1">
      <c r="A27" s="99" t="s">
        <v>94</v>
      </c>
      <c r="B27" s="34">
        <f>SUM(B21:B26)</f>
        <v>80993872.18816568</v>
      </c>
      <c r="C27" s="34">
        <f>SUM(C21:C26)</f>
        <v>16467958.669999998</v>
      </c>
      <c r="D27" s="34">
        <f>SUM(D21:D26)</f>
        <v>64525913.51816567</v>
      </c>
    </row>
    <row r="28" spans="1:5">
      <c r="A28" s="7"/>
      <c r="B28" s="14"/>
      <c r="C28" s="14"/>
      <c r="D28" s="14"/>
    </row>
    <row r="29" spans="1:5" s="2" customFormat="1" ht="13.5" thickBot="1">
      <c r="A29" s="552" t="s">
        <v>1706</v>
      </c>
      <c r="B29" s="98">
        <f>+B17-B27</f>
        <v>-46893536.454433516</v>
      </c>
      <c r="C29" s="98">
        <f>+C17-C27</f>
        <v>13979844.210000001</v>
      </c>
      <c r="D29" s="98">
        <f>+D17-D27</f>
        <v>-60677017.854433507</v>
      </c>
    </row>
    <row r="30" spans="1:5" ht="13.5" thickTop="1"/>
    <row r="31" spans="1:5">
      <c r="E31" s="68"/>
    </row>
  </sheetData>
  <mergeCells count="6">
    <mergeCell ref="J7:M7"/>
    <mergeCell ref="A2:D2"/>
    <mergeCell ref="B5:D5"/>
    <mergeCell ref="A3:D3"/>
    <mergeCell ref="A4:D4"/>
    <mergeCell ref="J6:M6"/>
  </mergeCells>
  <phoneticPr fontId="14" type="noConversion"/>
  <pageMargins left="0.75" right="0.75" top="0.59" bottom="0.37" header="0" footer="0"/>
  <pageSetup orientation="portrait" horizontalDpi="300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>
    <pageSetUpPr fitToPage="1"/>
  </sheetPr>
  <dimension ref="A1:N41"/>
  <sheetViews>
    <sheetView topLeftCell="B1" zoomScale="110" zoomScaleNormal="110" workbookViewId="0">
      <selection activeCell="G17" sqref="G17"/>
    </sheetView>
  </sheetViews>
  <sheetFormatPr baseColWidth="10" defaultRowHeight="12"/>
  <cols>
    <col min="1" max="1" width="1.140625" style="157" hidden="1" customWidth="1"/>
    <col min="2" max="2" width="18.7109375" style="157" customWidth="1"/>
    <col min="3" max="3" width="44.28515625" style="157" customWidth="1"/>
    <col min="4" max="4" width="19.140625" style="215" customWidth="1"/>
    <col min="5" max="5" width="19.28515625" style="157" customWidth="1"/>
    <col min="6" max="6" width="19" style="157" customWidth="1"/>
    <col min="7" max="7" width="21.28515625" style="157" customWidth="1"/>
    <col min="8" max="8" width="18.7109375" style="157" customWidth="1"/>
    <col min="9" max="9" width="1.140625" style="157" customWidth="1"/>
    <col min="10" max="16384" width="11.42578125" style="157"/>
  </cols>
  <sheetData>
    <row r="1" spans="1:11" ht="6" customHeight="1">
      <c r="B1" s="156"/>
      <c r="C1" s="1668"/>
      <c r="D1" s="1668"/>
      <c r="E1" s="1668"/>
      <c r="F1" s="1669"/>
      <c r="G1" s="1669"/>
      <c r="H1" s="1669"/>
      <c r="I1" s="236"/>
    </row>
    <row r="2" spans="1:11" ht="6" customHeight="1">
      <c r="B2" s="156"/>
      <c r="D2" s="157"/>
    </row>
    <row r="3" spans="1:11" ht="14.1" customHeight="1">
      <c r="B3" s="159"/>
      <c r="C3" s="1631" t="s">
        <v>2992</v>
      </c>
      <c r="D3" s="1631"/>
      <c r="E3" s="1631"/>
      <c r="F3" s="1631"/>
      <c r="G3" s="1631"/>
      <c r="H3" s="159"/>
      <c r="I3" s="159"/>
    </row>
    <row r="4" spans="1:11" ht="14.1" customHeight="1">
      <c r="B4" s="159"/>
      <c r="C4" s="1631" t="s">
        <v>728</v>
      </c>
      <c r="D4" s="1631"/>
      <c r="E4" s="1631"/>
      <c r="F4" s="1631"/>
      <c r="G4" s="1631"/>
      <c r="H4" s="783"/>
      <c r="I4" s="159"/>
    </row>
    <row r="5" spans="1:11" ht="14.1" customHeight="1">
      <c r="B5" s="451"/>
      <c r="C5" s="1631" t="str">
        <f>+ECSF!C5</f>
        <v>Del 1 de enero al 30 de abril de 2021</v>
      </c>
      <c r="D5" s="1631"/>
      <c r="E5" s="1631"/>
      <c r="F5" s="1631"/>
      <c r="G5" s="1631"/>
      <c r="H5" s="159"/>
      <c r="I5" s="159"/>
    </row>
    <row r="6" spans="1:11" ht="14.1" customHeight="1">
      <c r="B6" s="159"/>
      <c r="C6" s="1631"/>
      <c r="D6" s="1631"/>
      <c r="E6" s="1631"/>
      <c r="F6" s="1631"/>
      <c r="G6" s="1631"/>
      <c r="H6" s="159"/>
      <c r="I6" s="159"/>
    </row>
    <row r="7" spans="1:11" ht="6.75" customHeight="1">
      <c r="A7" s="1632"/>
      <c r="B7" s="1632"/>
      <c r="C7" s="1632"/>
      <c r="D7" s="1632"/>
      <c r="E7" s="1632"/>
      <c r="F7" s="1632"/>
      <c r="G7" s="1632"/>
      <c r="H7" s="1632"/>
      <c r="I7" s="1632"/>
    </row>
    <row r="8" spans="1:11" ht="3" customHeight="1">
      <c r="A8" s="1632"/>
      <c r="B8" s="1632"/>
      <c r="C8" s="1632"/>
      <c r="D8" s="1632"/>
      <c r="E8" s="1632"/>
      <c r="F8" s="1632"/>
      <c r="G8" s="1632"/>
      <c r="H8" s="1632"/>
      <c r="I8" s="1632"/>
    </row>
    <row r="9" spans="1:11" s="237" customFormat="1">
      <c r="A9" s="518"/>
      <c r="B9" s="1671" t="s">
        <v>230</v>
      </c>
      <c r="C9" s="1671"/>
      <c r="D9" s="636" t="s">
        <v>729</v>
      </c>
      <c r="E9" s="636" t="s">
        <v>730</v>
      </c>
      <c r="F9" s="637" t="s">
        <v>731</v>
      </c>
      <c r="G9" s="637" t="s">
        <v>732</v>
      </c>
      <c r="H9" s="637" t="s">
        <v>733</v>
      </c>
      <c r="I9" s="638"/>
    </row>
    <row r="10" spans="1:11" s="237" customFormat="1">
      <c r="A10" s="519"/>
      <c r="B10" s="1672"/>
      <c r="C10" s="1672"/>
      <c r="D10" s="639">
        <v>1</v>
      </c>
      <c r="E10" s="639">
        <v>2</v>
      </c>
      <c r="F10" s="640">
        <v>3</v>
      </c>
      <c r="G10" s="640" t="s">
        <v>734</v>
      </c>
      <c r="H10" s="640" t="s">
        <v>735</v>
      </c>
      <c r="I10" s="641"/>
    </row>
    <row r="11" spans="1:11" ht="3" customHeight="1">
      <c r="A11" s="1673"/>
      <c r="B11" s="1632"/>
      <c r="C11" s="1632"/>
      <c r="D11" s="1632"/>
      <c r="E11" s="1632"/>
      <c r="F11" s="1632"/>
      <c r="G11" s="1632"/>
      <c r="H11" s="1632"/>
      <c r="I11" s="1674"/>
    </row>
    <row r="12" spans="1:11" ht="3" customHeight="1">
      <c r="A12" s="1675"/>
      <c r="B12" s="1676"/>
      <c r="C12" s="1676"/>
      <c r="D12" s="1676"/>
      <c r="E12" s="1676"/>
      <c r="F12" s="1676"/>
      <c r="G12" s="1676"/>
      <c r="H12" s="1676"/>
      <c r="I12" s="1677"/>
    </row>
    <row r="13" spans="1:11">
      <c r="A13" s="181"/>
      <c r="B13" s="1678" t="s">
        <v>672</v>
      </c>
      <c r="C13" s="1678"/>
      <c r="D13" s="238">
        <f>+D15+D24</f>
        <v>1157748367.0799999</v>
      </c>
      <c r="E13" s="238">
        <f>+E15+E24</f>
        <v>3443296129.0700002</v>
      </c>
      <c r="F13" s="238">
        <f>+F15+F24</f>
        <v>3430940997.8099999</v>
      </c>
      <c r="G13" s="238">
        <f>+G15+G24</f>
        <v>1170103498.3400002</v>
      </c>
      <c r="H13" s="238">
        <f>+H15+H24</f>
        <v>12355131.26000005</v>
      </c>
      <c r="I13" s="239"/>
    </row>
    <row r="14" spans="1:11" ht="5.0999999999999996" customHeight="1">
      <c r="A14" s="181"/>
      <c r="B14" s="240"/>
      <c r="C14" s="240"/>
      <c r="D14" s="238"/>
      <c r="E14" s="238"/>
      <c r="F14" s="238"/>
      <c r="G14" s="238"/>
      <c r="H14" s="238"/>
      <c r="I14" s="239"/>
    </row>
    <row r="15" spans="1:11" ht="20.25">
      <c r="A15" s="241"/>
      <c r="B15" s="1599" t="s">
        <v>674</v>
      </c>
      <c r="C15" s="1599"/>
      <c r="D15" s="242">
        <f>SUM(D17:D22)</f>
        <v>222893482.79000002</v>
      </c>
      <c r="E15" s="242">
        <f>SUM(E17:E22)</f>
        <v>3407671215.52</v>
      </c>
      <c r="F15" s="242">
        <f>SUM(F17:F22)</f>
        <v>3426601028.4499998</v>
      </c>
      <c r="G15" s="242">
        <f>D15+E15-F15</f>
        <v>203963669.86000013</v>
      </c>
      <c r="H15" s="242">
        <f>G15-D15</f>
        <v>-18929812.929999888</v>
      </c>
      <c r="I15" s="243"/>
      <c r="K15" s="244"/>
    </row>
    <row r="16" spans="1:11" ht="5.0999999999999996" customHeight="1">
      <c r="A16" s="168"/>
      <c r="B16" s="156"/>
      <c r="C16" s="156"/>
      <c r="D16" s="245"/>
      <c r="E16" s="245"/>
      <c r="F16" s="245"/>
      <c r="G16" s="245"/>
      <c r="H16" s="245"/>
      <c r="I16" s="246"/>
      <c r="K16" s="244"/>
    </row>
    <row r="17" spans="1:14" ht="19.5" customHeight="1">
      <c r="A17" s="168"/>
      <c r="B17" s="1670" t="s">
        <v>676</v>
      </c>
      <c r="C17" s="1670"/>
      <c r="D17" s="247">
        <f>+ESF!E17</f>
        <v>192432921.41000003</v>
      </c>
      <c r="E17" s="247">
        <f>+RptEAA!G9</f>
        <v>3326499906.2800002</v>
      </c>
      <c r="F17" s="247">
        <f>+RptEAA!H9</f>
        <v>3334264977.1999998</v>
      </c>
      <c r="G17" s="180">
        <f>D17+E17-F17</f>
        <v>184667850.49000025</v>
      </c>
      <c r="H17" s="180">
        <f>G17-D17</f>
        <v>-7765070.9199997783</v>
      </c>
      <c r="I17" s="246"/>
      <c r="K17" s="244" t="str">
        <f>IF(G17=ESF!D17," ","Error")</f>
        <v xml:space="preserve"> </v>
      </c>
    </row>
    <row r="18" spans="1:14" ht="19.5" customHeight="1">
      <c r="A18" s="168"/>
      <c r="B18" s="1670" t="s">
        <v>678</v>
      </c>
      <c r="C18" s="1670"/>
      <c r="D18" s="247">
        <f>+ESF!E18</f>
        <v>30004506.859999999</v>
      </c>
      <c r="E18" s="247">
        <f>+RptEAA!G10</f>
        <v>79383102.450000003</v>
      </c>
      <c r="F18" s="247">
        <f>+RptEAA!H10</f>
        <v>91040278.390000001</v>
      </c>
      <c r="G18" s="180">
        <f>D18+E18-F18</f>
        <v>18347330.920000002</v>
      </c>
      <c r="H18" s="180">
        <f t="shared" ref="H18:H22" si="0">G18-D18</f>
        <v>-11657175.939999998</v>
      </c>
      <c r="I18" s="246"/>
      <c r="K18" s="244" t="str">
        <f>IF(G18=ESF!D18," ","Error")</f>
        <v xml:space="preserve"> </v>
      </c>
    </row>
    <row r="19" spans="1:14" ht="19.5" customHeight="1">
      <c r="A19" s="168"/>
      <c r="B19" s="1670" t="s">
        <v>680</v>
      </c>
      <c r="C19" s="1670"/>
      <c r="D19" s="247">
        <f>+ESF!E19</f>
        <v>292951.38</v>
      </c>
      <c r="E19" s="247">
        <f>+RptEAA!G11</f>
        <v>1788206.79</v>
      </c>
      <c r="F19" s="247">
        <f>+RptEAA!H11</f>
        <v>1295772.8600000001</v>
      </c>
      <c r="G19" s="180">
        <f t="shared" ref="G19:G22" si="1">D19+E19-F19</f>
        <v>785385.30999999982</v>
      </c>
      <c r="H19" s="180">
        <f t="shared" si="0"/>
        <v>492433.92999999982</v>
      </c>
      <c r="I19" s="246"/>
      <c r="K19" s="244" t="str">
        <f>IF(G19=ESF!D19," ","Error")</f>
        <v xml:space="preserve"> </v>
      </c>
    </row>
    <row r="20" spans="1:14" ht="19.5" customHeight="1">
      <c r="A20" s="168"/>
      <c r="B20" s="1670" t="s">
        <v>682</v>
      </c>
      <c r="C20" s="1670"/>
      <c r="D20" s="247">
        <v>0</v>
      </c>
      <c r="E20" s="247">
        <v>0</v>
      </c>
      <c r="F20" s="247">
        <v>0</v>
      </c>
      <c r="G20" s="180">
        <f t="shared" si="1"/>
        <v>0</v>
      </c>
      <c r="H20" s="180">
        <f t="shared" si="0"/>
        <v>0</v>
      </c>
      <c r="I20" s="246"/>
      <c r="K20" s="244" t="e">
        <f>IF(G20=ESF!#REF!," ","Error")</f>
        <v>#REF!</v>
      </c>
      <c r="N20" s="157" t="s">
        <v>736</v>
      </c>
    </row>
    <row r="21" spans="1:14" ht="19.5" customHeight="1">
      <c r="A21" s="168"/>
      <c r="B21" s="1670" t="s">
        <v>684</v>
      </c>
      <c r="C21" s="1670"/>
      <c r="D21" s="247">
        <f>+ESF!E21</f>
        <v>0</v>
      </c>
      <c r="E21" s="247">
        <v>0</v>
      </c>
      <c r="F21" s="247">
        <v>0</v>
      </c>
      <c r="G21" s="180">
        <f t="shared" si="1"/>
        <v>0</v>
      </c>
      <c r="H21" s="180">
        <f t="shared" si="0"/>
        <v>0</v>
      </c>
      <c r="I21" s="246"/>
      <c r="K21" s="244" t="str">
        <f>IF(G21=ESF!D21," ","Error")</f>
        <v xml:space="preserve"> </v>
      </c>
    </row>
    <row r="22" spans="1:14" ht="19.5" customHeight="1">
      <c r="A22" s="168"/>
      <c r="B22" s="1670" t="s">
        <v>687</v>
      </c>
      <c r="C22" s="1670"/>
      <c r="D22" s="247">
        <f>+ESF!E20</f>
        <v>163103.14000000001</v>
      </c>
      <c r="E22" s="247">
        <f>+RptEAA!G12</f>
        <v>0</v>
      </c>
      <c r="F22" s="247">
        <f>+RptEAA!H12</f>
        <v>0</v>
      </c>
      <c r="G22" s="180">
        <f t="shared" si="1"/>
        <v>163103.14000000001</v>
      </c>
      <c r="H22" s="180">
        <f t="shared" si="0"/>
        <v>0</v>
      </c>
      <c r="I22" s="246"/>
      <c r="K22" s="244" t="str">
        <f>IF(G22=ESF!D20," ","Error")</f>
        <v xml:space="preserve"> </v>
      </c>
    </row>
    <row r="23" spans="1:14" ht="20.25">
      <c r="A23" s="168"/>
      <c r="B23" s="248"/>
      <c r="C23" s="248"/>
      <c r="D23" s="249"/>
      <c r="E23" s="249"/>
      <c r="F23" s="249"/>
      <c r="G23" s="249"/>
      <c r="H23" s="249"/>
      <c r="I23" s="246"/>
      <c r="K23" s="244"/>
    </row>
    <row r="24" spans="1:14" ht="20.25">
      <c r="A24" s="241"/>
      <c r="B24" s="1599" t="s">
        <v>692</v>
      </c>
      <c r="C24" s="1599"/>
      <c r="D24" s="242">
        <f>SUM(D26:D33)</f>
        <v>934854884.28999996</v>
      </c>
      <c r="E24" s="242">
        <f>SUM(E26:E33)</f>
        <v>35624913.549999997</v>
      </c>
      <c r="F24" s="242">
        <f>SUM(F26:F33)</f>
        <v>4339969.3599999994</v>
      </c>
      <c r="G24" s="242">
        <f>D24+E24-F24</f>
        <v>966139828.4799999</v>
      </c>
      <c r="H24" s="242">
        <f>G24-D24</f>
        <v>31284944.189999938</v>
      </c>
      <c r="I24" s="243"/>
      <c r="K24" s="244"/>
    </row>
    <row r="25" spans="1:14" ht="5.0999999999999996" customHeight="1">
      <c r="A25" s="168"/>
      <c r="B25" s="156"/>
      <c r="C25" s="248"/>
      <c r="D25" s="245"/>
      <c r="E25" s="245"/>
      <c r="F25" s="245"/>
      <c r="G25" s="245"/>
      <c r="H25" s="245"/>
      <c r="I25" s="246"/>
      <c r="K25" s="244"/>
    </row>
    <row r="26" spans="1:14" ht="19.5" customHeight="1">
      <c r="A26" s="168"/>
      <c r="B26" s="1670" t="s">
        <v>694</v>
      </c>
      <c r="C26" s="1670"/>
      <c r="D26" s="247">
        <f>+ESF!E30</f>
        <v>1758830</v>
      </c>
      <c r="E26" s="247">
        <f>+RptEAA!G14</f>
        <v>0</v>
      </c>
      <c r="F26" s="247">
        <f>+RptEAA!H14</f>
        <v>0</v>
      </c>
      <c r="G26" s="180">
        <f>D26+E26-F26</f>
        <v>1758830</v>
      </c>
      <c r="H26" s="180">
        <f>G26-D26</f>
        <v>0</v>
      </c>
      <c r="I26" s="246"/>
      <c r="K26" s="244" t="str">
        <f>IF(G26=ESF!D30," ","error")</f>
        <v xml:space="preserve"> </v>
      </c>
    </row>
    <row r="27" spans="1:14" ht="19.5" customHeight="1">
      <c r="A27" s="168"/>
      <c r="B27" s="1670" t="s">
        <v>698</v>
      </c>
      <c r="C27" s="1670"/>
      <c r="D27" s="247">
        <f>+ESF!E32</f>
        <v>947679244.29999995</v>
      </c>
      <c r="E27" s="247">
        <f>+RptEAA!G15</f>
        <v>34334909.219999999</v>
      </c>
      <c r="F27" s="247">
        <f>+RptEAA!H15</f>
        <v>1716502.44</v>
      </c>
      <c r="G27" s="180">
        <f t="shared" ref="G27:G33" si="2">D27+E27-F27</f>
        <v>980297651.07999992</v>
      </c>
      <c r="H27" s="180">
        <f t="shared" ref="H27:H33" si="3">G27-D27</f>
        <v>32618406.779999971</v>
      </c>
      <c r="I27" s="246"/>
      <c r="K27" s="244" t="str">
        <f>IF(G27=ESF!D32," ","error")</f>
        <v xml:space="preserve"> </v>
      </c>
    </row>
    <row r="28" spans="1:14" ht="19.5" customHeight="1">
      <c r="A28" s="168"/>
      <c r="B28" s="1670" t="s">
        <v>737</v>
      </c>
      <c r="C28" s="1670"/>
      <c r="D28" s="247">
        <f>+ESF!E33</f>
        <v>12279237.109999999</v>
      </c>
      <c r="E28" s="247">
        <f>+RptEAA!G16</f>
        <v>1290004.33</v>
      </c>
      <c r="F28" s="247">
        <f>+RptEAA!H16</f>
        <v>1251000</v>
      </c>
      <c r="G28" s="180">
        <f t="shared" si="2"/>
        <v>12318241.439999999</v>
      </c>
      <c r="H28" s="180">
        <f t="shared" si="3"/>
        <v>39004.330000000075</v>
      </c>
      <c r="I28" s="246"/>
      <c r="K28" s="244" t="str">
        <f>IF(G28=ESF!D33," ","error")</f>
        <v xml:space="preserve"> </v>
      </c>
    </row>
    <row r="29" spans="1:14" ht="19.5" customHeight="1">
      <c r="A29" s="168"/>
      <c r="B29" s="1670" t="s">
        <v>702</v>
      </c>
      <c r="C29" s="1670"/>
      <c r="D29" s="247">
        <f>+ESF!E34</f>
        <v>8744971.7599999998</v>
      </c>
      <c r="E29" s="247">
        <f>+RptEAA!G17</f>
        <v>0</v>
      </c>
      <c r="F29" s="247">
        <f>+RptEAA!H17</f>
        <v>0</v>
      </c>
      <c r="G29" s="180">
        <f t="shared" si="2"/>
        <v>8744971.7599999998</v>
      </c>
      <c r="H29" s="180">
        <f t="shared" si="3"/>
        <v>0</v>
      </c>
      <c r="I29" s="246"/>
      <c r="K29" s="244" t="str">
        <f>IF(G29=ESF!D34," ","error")</f>
        <v xml:space="preserve"> </v>
      </c>
    </row>
    <row r="30" spans="1:14" ht="19.5" customHeight="1">
      <c r="A30" s="168"/>
      <c r="B30" s="1670" t="s">
        <v>703</v>
      </c>
      <c r="C30" s="1670"/>
      <c r="D30" s="247">
        <f>+ESF!E35</f>
        <v>-35607398.879999995</v>
      </c>
      <c r="E30" s="247">
        <f>+RptEAA!G18</f>
        <v>0</v>
      </c>
      <c r="F30" s="247">
        <f>+RptEAA!H18</f>
        <v>1372466.92</v>
      </c>
      <c r="G30" s="180">
        <f t="shared" si="2"/>
        <v>-36979865.799999997</v>
      </c>
      <c r="H30" s="180">
        <f t="shared" si="3"/>
        <v>-1372466.9200000018</v>
      </c>
      <c r="I30" s="246"/>
      <c r="K30" s="244" t="str">
        <f>IF(G30=ESF!D35," ","error")</f>
        <v xml:space="preserve"> </v>
      </c>
    </row>
    <row r="31" spans="1:14" ht="19.5" customHeight="1">
      <c r="A31" s="168"/>
      <c r="B31" s="1670" t="s">
        <v>705</v>
      </c>
      <c r="C31" s="1670"/>
      <c r="D31" s="247">
        <f>+ESF!E36</f>
        <v>0</v>
      </c>
      <c r="E31" s="247">
        <v>0</v>
      </c>
      <c r="F31" s="247">
        <v>0</v>
      </c>
      <c r="G31" s="180">
        <f t="shared" si="2"/>
        <v>0</v>
      </c>
      <c r="H31" s="180">
        <f t="shared" si="3"/>
        <v>0</v>
      </c>
      <c r="I31" s="246"/>
      <c r="K31" s="244" t="str">
        <f>IF(G31=ESF!D36," ","error")</f>
        <v xml:space="preserve"> </v>
      </c>
    </row>
    <row r="32" spans="1:14" ht="19.5" customHeight="1">
      <c r="A32" s="168"/>
      <c r="B32" s="1670" t="s">
        <v>706</v>
      </c>
      <c r="C32" s="1670"/>
      <c r="D32" s="247">
        <f>+ESF!E37</f>
        <v>0</v>
      </c>
      <c r="E32" s="247">
        <v>0</v>
      </c>
      <c r="F32" s="247">
        <v>0</v>
      </c>
      <c r="G32" s="180">
        <f t="shared" si="2"/>
        <v>0</v>
      </c>
      <c r="H32" s="180">
        <f t="shared" si="3"/>
        <v>0</v>
      </c>
      <c r="I32" s="246"/>
      <c r="K32" s="244" t="str">
        <f>IF(G32=ESF!D37," ","error")</f>
        <v xml:space="preserve"> </v>
      </c>
    </row>
    <row r="33" spans="1:11" ht="19.5" customHeight="1">
      <c r="A33" s="168"/>
      <c r="B33" s="1670" t="s">
        <v>708</v>
      </c>
      <c r="C33" s="1670"/>
      <c r="D33" s="247">
        <f>+ESF!E38</f>
        <v>0</v>
      </c>
      <c r="E33" s="247">
        <v>0</v>
      </c>
      <c r="F33" s="247">
        <v>0</v>
      </c>
      <c r="G33" s="180">
        <f t="shared" si="2"/>
        <v>0</v>
      </c>
      <c r="H33" s="180">
        <f t="shared" si="3"/>
        <v>0</v>
      </c>
      <c r="I33" s="246"/>
      <c r="K33" s="244" t="str">
        <f>IF(G33=ESF!D38," ","error")</f>
        <v xml:space="preserve"> </v>
      </c>
    </row>
    <row r="34" spans="1:11" ht="20.25">
      <c r="A34" s="168"/>
      <c r="B34" s="248"/>
      <c r="C34" s="248"/>
      <c r="D34" s="249"/>
      <c r="E34" s="245"/>
      <c r="F34" s="245"/>
      <c r="G34" s="245"/>
      <c r="H34" s="245"/>
      <c r="I34" s="246"/>
      <c r="K34" s="244"/>
    </row>
    <row r="35" spans="1:11" ht="6" customHeight="1">
      <c r="A35" s="1679"/>
      <c r="B35" s="1680"/>
      <c r="C35" s="1680"/>
      <c r="D35" s="1680"/>
      <c r="E35" s="1680"/>
      <c r="F35" s="1680"/>
      <c r="G35" s="1680"/>
      <c r="H35" s="1680"/>
      <c r="I35" s="1681"/>
    </row>
    <row r="36" spans="1:11" ht="6" customHeight="1">
      <c r="B36" s="250"/>
      <c r="C36" s="251"/>
    </row>
    <row r="37" spans="1:11" ht="15" customHeight="1">
      <c r="B37" s="1597" t="s">
        <v>668</v>
      </c>
      <c r="C37" s="1597"/>
      <c r="D37" s="1597"/>
      <c r="E37" s="1597"/>
      <c r="F37" s="1597"/>
      <c r="G37" s="1597"/>
      <c r="H37" s="1597"/>
      <c r="I37" s="170"/>
      <c r="J37" s="170"/>
    </row>
    <row r="38" spans="1:11" ht="9.75" customHeight="1">
      <c r="B38" s="170"/>
      <c r="C38" s="193"/>
      <c r="D38" s="194"/>
      <c r="E38" s="194"/>
      <c r="G38" s="195"/>
      <c r="H38" s="193"/>
      <c r="I38" s="194"/>
      <c r="J38" s="194"/>
    </row>
    <row r="39" spans="1:11" ht="50.1" customHeight="1">
      <c r="B39" s="447"/>
      <c r="C39" s="446"/>
      <c r="D39" s="194"/>
      <c r="E39" s="153"/>
      <c r="F39" s="316"/>
      <c r="G39" s="316"/>
      <c r="H39" s="153"/>
      <c r="I39" s="194"/>
      <c r="J39" s="194"/>
    </row>
    <row r="40" spans="1:11" ht="14.1" customHeight="1">
      <c r="C40" s="1607" t="s">
        <v>2872</v>
      </c>
      <c r="D40" s="1607"/>
      <c r="E40" s="1682" t="s">
        <v>669</v>
      </c>
      <c r="F40" s="1607"/>
      <c r="G40" s="1607"/>
      <c r="H40" s="1682"/>
      <c r="I40" s="171"/>
    </row>
    <row r="41" spans="1:11" ht="14.1" customHeight="1">
      <c r="C41" s="1602" t="s">
        <v>1769</v>
      </c>
      <c r="D41" s="1602"/>
      <c r="E41" s="1602" t="s">
        <v>670</v>
      </c>
      <c r="F41" s="1602"/>
      <c r="G41" s="1602"/>
      <c r="H41" s="1602"/>
      <c r="I41" s="171"/>
    </row>
  </sheetData>
  <sheetProtection formatCells="0" selectLockedCells="1"/>
  <mergeCells count="34">
    <mergeCell ref="E41:H41"/>
    <mergeCell ref="B33:C33"/>
    <mergeCell ref="A35:I35"/>
    <mergeCell ref="B37:H37"/>
    <mergeCell ref="E40:H40"/>
    <mergeCell ref="C40:D40"/>
    <mergeCell ref="C41:D41"/>
    <mergeCell ref="B32:C32"/>
    <mergeCell ref="B21:C21"/>
    <mergeCell ref="B22:C22"/>
    <mergeCell ref="B24:C24"/>
    <mergeCell ref="B26:C26"/>
    <mergeCell ref="B27:C27"/>
    <mergeCell ref="B28:C28"/>
    <mergeCell ref="B29:C29"/>
    <mergeCell ref="B30:C30"/>
    <mergeCell ref="B31:C31"/>
    <mergeCell ref="B20:C20"/>
    <mergeCell ref="A7:I7"/>
    <mergeCell ref="A8:I8"/>
    <mergeCell ref="B9:C10"/>
    <mergeCell ref="A11:I11"/>
    <mergeCell ref="A12:I12"/>
    <mergeCell ref="B13:C13"/>
    <mergeCell ref="B15:C15"/>
    <mergeCell ref="B17:C17"/>
    <mergeCell ref="B18:C18"/>
    <mergeCell ref="B19:C19"/>
    <mergeCell ref="C6:G6"/>
    <mergeCell ref="C1:E1"/>
    <mergeCell ref="F1:H1"/>
    <mergeCell ref="C3:G3"/>
    <mergeCell ref="C4:G4"/>
    <mergeCell ref="C5:G5"/>
  </mergeCells>
  <printOptions verticalCentered="1"/>
  <pageMargins left="0.73" right="0" top="0.98425196850393704" bottom="0.59055118110236227" header="0" footer="0"/>
  <pageSetup scale="78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F91EAB-9C4E-455E-9B01-95DCE9AB525C}">
  <sheetPr>
    <pageSetUpPr fitToPage="1"/>
  </sheetPr>
  <dimension ref="A1:G29"/>
  <sheetViews>
    <sheetView workbookViewId="0">
      <selection activeCell="C21" sqref="C21"/>
    </sheetView>
  </sheetViews>
  <sheetFormatPr baseColWidth="10" defaultColWidth="11.5703125" defaultRowHeight="12"/>
  <cols>
    <col min="1" max="1" width="2.7109375" style="1" customWidth="1"/>
    <col min="2" max="2" width="41.28515625" style="1" customWidth="1"/>
    <col min="3" max="3" width="15.5703125" style="1" customWidth="1"/>
    <col min="4" max="5" width="18.28515625" style="1" customWidth="1"/>
    <col min="6" max="7" width="15.5703125" style="1" customWidth="1"/>
    <col min="8" max="16384" width="11.5703125" style="1"/>
  </cols>
  <sheetData>
    <row r="1" spans="2:7" ht="12.75" thickBot="1"/>
    <row r="2" spans="2:7">
      <c r="B2" s="1659" t="str">
        <f>+'1 ea sif'!$B$2:$F$2</f>
        <v>PROMOTORA PARA EL DESARROLLO ECONÓMICO DE CHIHUAHUA</v>
      </c>
      <c r="C2" s="1660"/>
      <c r="D2" s="1660"/>
      <c r="E2" s="1660"/>
      <c r="F2" s="1660"/>
      <c r="G2" s="1661"/>
    </row>
    <row r="3" spans="2:7">
      <c r="B3" s="1662" t="s">
        <v>728</v>
      </c>
      <c r="C3" s="1663"/>
      <c r="D3" s="1663"/>
      <c r="E3" s="1663"/>
      <c r="F3" s="1663"/>
      <c r="G3" s="1664"/>
    </row>
    <row r="4" spans="2:7" ht="12.75" thickBot="1">
      <c r="B4" s="1665"/>
      <c r="C4" s="1666"/>
      <c r="D4" s="1666"/>
      <c r="E4" s="1666"/>
      <c r="F4" s="1666"/>
      <c r="G4" s="1667"/>
    </row>
    <row r="5" spans="2:7" ht="24">
      <c r="B5" s="1683" t="s">
        <v>230</v>
      </c>
      <c r="C5" s="995" t="s">
        <v>729</v>
      </c>
      <c r="D5" s="996" t="s">
        <v>730</v>
      </c>
      <c r="E5" s="996" t="s">
        <v>731</v>
      </c>
      <c r="F5" s="996" t="s">
        <v>732</v>
      </c>
      <c r="G5" s="996" t="s">
        <v>733</v>
      </c>
    </row>
    <row r="6" spans="2:7" ht="12.75" thickBot="1">
      <c r="B6" s="1684"/>
      <c r="C6" s="997">
        <v>1</v>
      </c>
      <c r="D6" s="997">
        <v>2</v>
      </c>
      <c r="E6" s="997">
        <v>3</v>
      </c>
      <c r="F6" s="997" t="s">
        <v>4925</v>
      </c>
      <c r="G6" s="997" t="s">
        <v>4926</v>
      </c>
    </row>
    <row r="7" spans="2:7">
      <c r="B7" s="998"/>
      <c r="C7" s="999"/>
      <c r="D7" s="999"/>
      <c r="E7" s="999"/>
      <c r="F7" s="999"/>
      <c r="G7" s="999"/>
    </row>
    <row r="8" spans="2:7">
      <c r="B8" s="1000" t="s">
        <v>1022</v>
      </c>
      <c r="C8" s="1001">
        <f>SUM(C10,C19)</f>
        <v>1157748367.0799999</v>
      </c>
      <c r="D8" s="1001">
        <f>SUM(D10,D19)</f>
        <v>3443296129.0700002</v>
      </c>
      <c r="E8" s="1001">
        <f>SUM(E10,E19)</f>
        <v>3430940997.8099999</v>
      </c>
      <c r="F8" s="1001">
        <f>C8+D8-E8</f>
        <v>1170103498.3399997</v>
      </c>
      <c r="G8" s="1001">
        <f>F8-C8</f>
        <v>12355131.259999752</v>
      </c>
    </row>
    <row r="9" spans="2:7">
      <c r="B9" s="998"/>
      <c r="C9" s="1002"/>
      <c r="D9" s="1002"/>
      <c r="E9" s="1002"/>
      <c r="F9" s="1002"/>
      <c r="G9" s="1002"/>
    </row>
    <row r="10" spans="2:7">
      <c r="B10" s="1003" t="s">
        <v>674</v>
      </c>
      <c r="C10" s="1001">
        <f>SUM(C11:C17)</f>
        <v>222893482.79000002</v>
      </c>
      <c r="D10" s="1001">
        <f>SUM(D11:D17)</f>
        <v>3407671215.52</v>
      </c>
      <c r="E10" s="1001">
        <f>SUM(E11:E17)</f>
        <v>3426601028.4499998</v>
      </c>
      <c r="F10" s="1001">
        <f t="shared" ref="F10:F17" si="0">C10+D10-E10</f>
        <v>203963669.86000013</v>
      </c>
      <c r="G10" s="1001">
        <f t="shared" ref="G10:G17" si="1">F10-C10</f>
        <v>-18929812.929999888</v>
      </c>
    </row>
    <row r="11" spans="2:7">
      <c r="B11" s="1004" t="s">
        <v>676</v>
      </c>
      <c r="C11" s="1005">
        <f>+EAA!D17</f>
        <v>192432921.41000003</v>
      </c>
      <c r="D11" s="1005">
        <f>+EAA!E17</f>
        <v>3326499906.2800002</v>
      </c>
      <c r="E11" s="1005">
        <f>+EAA!F17</f>
        <v>3334264977.1999998</v>
      </c>
      <c r="F11" s="1006">
        <f t="shared" si="0"/>
        <v>184667850.49000025</v>
      </c>
      <c r="G11" s="1006">
        <f t="shared" si="1"/>
        <v>-7765070.9199997783</v>
      </c>
    </row>
    <row r="12" spans="2:7">
      <c r="B12" s="1004" t="s">
        <v>678</v>
      </c>
      <c r="C12" s="1005">
        <f>+EAA!D18</f>
        <v>30004506.859999999</v>
      </c>
      <c r="D12" s="1005">
        <f>+EAA!E18</f>
        <v>79383102.450000003</v>
      </c>
      <c r="E12" s="1005">
        <f>+EAA!F18</f>
        <v>91040278.390000001</v>
      </c>
      <c r="F12" s="1006">
        <f t="shared" si="0"/>
        <v>18347330.920000002</v>
      </c>
      <c r="G12" s="1006">
        <f t="shared" si="1"/>
        <v>-11657175.939999998</v>
      </c>
    </row>
    <row r="13" spans="2:7">
      <c r="B13" s="1004" t="s">
        <v>680</v>
      </c>
      <c r="C13" s="1005">
        <f>+EAA!D19</f>
        <v>292951.38</v>
      </c>
      <c r="D13" s="1005">
        <f>+EAA!E19</f>
        <v>1788206.79</v>
      </c>
      <c r="E13" s="1005">
        <f>+EAA!F19</f>
        <v>1295772.8600000001</v>
      </c>
      <c r="F13" s="1006">
        <f t="shared" si="0"/>
        <v>785385.30999999982</v>
      </c>
      <c r="G13" s="1006">
        <f t="shared" si="1"/>
        <v>492433.92999999982</v>
      </c>
    </row>
    <row r="14" spans="2:7">
      <c r="B14" s="1004" t="s">
        <v>4891</v>
      </c>
      <c r="C14" s="1005">
        <v>0</v>
      </c>
      <c r="D14" s="1005">
        <v>0</v>
      </c>
      <c r="E14" s="1005">
        <v>0</v>
      </c>
      <c r="F14" s="1006">
        <f t="shared" si="0"/>
        <v>0</v>
      </c>
      <c r="G14" s="1006">
        <f t="shared" si="1"/>
        <v>0</v>
      </c>
    </row>
    <row r="15" spans="2:7">
      <c r="B15" s="1004" t="s">
        <v>684</v>
      </c>
      <c r="C15" s="1005">
        <v>0</v>
      </c>
      <c r="D15" s="1005">
        <v>0</v>
      </c>
      <c r="E15" s="1005">
        <v>0</v>
      </c>
      <c r="F15" s="1006">
        <f t="shared" si="0"/>
        <v>0</v>
      </c>
      <c r="G15" s="1006">
        <f t="shared" si="1"/>
        <v>0</v>
      </c>
    </row>
    <row r="16" spans="2:7" ht="24">
      <c r="B16" s="1004" t="s">
        <v>686</v>
      </c>
      <c r="C16" s="1005">
        <v>0</v>
      </c>
      <c r="D16" s="1005">
        <v>0</v>
      </c>
      <c r="E16" s="1005">
        <v>0</v>
      </c>
      <c r="F16" s="1006">
        <f t="shared" si="0"/>
        <v>0</v>
      </c>
      <c r="G16" s="1006">
        <f t="shared" si="1"/>
        <v>0</v>
      </c>
    </row>
    <row r="17" spans="1:7">
      <c r="B17" s="1004" t="s">
        <v>4893</v>
      </c>
      <c r="C17" s="1005">
        <f>+EAA!D22</f>
        <v>163103.14000000001</v>
      </c>
      <c r="D17" s="1005">
        <f>+EAA!E22</f>
        <v>0</v>
      </c>
      <c r="E17" s="1005">
        <f>+EAA!F22</f>
        <v>0</v>
      </c>
      <c r="F17" s="1006">
        <f t="shared" si="0"/>
        <v>163103.14000000001</v>
      </c>
      <c r="G17" s="1006">
        <f t="shared" si="1"/>
        <v>0</v>
      </c>
    </row>
    <row r="18" spans="1:7">
      <c r="B18" s="1003"/>
      <c r="C18" s="1007"/>
      <c r="D18" s="1007"/>
      <c r="E18" s="1007"/>
      <c r="F18" s="1007"/>
      <c r="G18" s="1007"/>
    </row>
    <row r="19" spans="1:7">
      <c r="B19" s="1003" t="s">
        <v>692</v>
      </c>
      <c r="C19" s="1001">
        <f>SUM(C20:C28)</f>
        <v>934854884.28999996</v>
      </c>
      <c r="D19" s="1001">
        <f>SUM(D20:D28)</f>
        <v>35624913.549999997</v>
      </c>
      <c r="E19" s="1001">
        <f>SUM(E20:E28)</f>
        <v>4339969.3599999994</v>
      </c>
      <c r="F19" s="1001">
        <f t="shared" ref="F19:F28" si="2">C19+D19-E19</f>
        <v>966139828.4799999</v>
      </c>
      <c r="G19" s="1001">
        <f t="shared" ref="G19:G28" si="3">F19-C19</f>
        <v>31284944.189999938</v>
      </c>
    </row>
    <row r="20" spans="1:7">
      <c r="B20" s="1004" t="s">
        <v>694</v>
      </c>
      <c r="C20" s="1005">
        <f>+EAA!D26</f>
        <v>1758830</v>
      </c>
      <c r="D20" s="1005">
        <f>+EAA!E26</f>
        <v>0</v>
      </c>
      <c r="E20" s="1005">
        <f>+EAA!F26</f>
        <v>0</v>
      </c>
      <c r="F20" s="1006">
        <f t="shared" si="2"/>
        <v>1758830</v>
      </c>
      <c r="G20" s="1006">
        <f t="shared" si="3"/>
        <v>0</v>
      </c>
    </row>
    <row r="21" spans="1:7" ht="24">
      <c r="B21" s="1004" t="s">
        <v>696</v>
      </c>
      <c r="C21" s="1005"/>
      <c r="D21" s="1005"/>
      <c r="E21" s="1005"/>
      <c r="F21" s="1006">
        <f t="shared" si="2"/>
        <v>0</v>
      </c>
      <c r="G21" s="1006">
        <f t="shared" si="3"/>
        <v>0</v>
      </c>
    </row>
    <row r="22" spans="1:7" ht="24">
      <c r="A22" s="1008" t="s">
        <v>4927</v>
      </c>
      <c r="B22" s="1004" t="s">
        <v>698</v>
      </c>
      <c r="C22" s="1005">
        <f>+EAA!D27</f>
        <v>947679244.29999995</v>
      </c>
      <c r="D22" s="1005">
        <f>+EAA!E27</f>
        <v>34334909.219999999</v>
      </c>
      <c r="E22" s="1005">
        <f>+EAA!F27</f>
        <v>1716502.44</v>
      </c>
      <c r="F22" s="1006">
        <f t="shared" si="2"/>
        <v>980297651.07999992</v>
      </c>
      <c r="G22" s="1006">
        <f t="shared" si="3"/>
        <v>32618406.779999971</v>
      </c>
    </row>
    <row r="23" spans="1:7">
      <c r="B23" s="1004" t="s">
        <v>700</v>
      </c>
      <c r="C23" s="1005">
        <f>+EAA!D28</f>
        <v>12279237.109999999</v>
      </c>
      <c r="D23" s="1005">
        <f>+EAA!E28</f>
        <v>1290004.33</v>
      </c>
      <c r="E23" s="1005">
        <f>+EAA!F28</f>
        <v>1251000</v>
      </c>
      <c r="F23" s="1006">
        <f t="shared" si="2"/>
        <v>12318241.439999999</v>
      </c>
      <c r="G23" s="1006">
        <f t="shared" si="3"/>
        <v>39004.330000000075</v>
      </c>
    </row>
    <row r="24" spans="1:7">
      <c r="B24" s="1004" t="s">
        <v>702</v>
      </c>
      <c r="C24" s="1005">
        <f>+EAA!D29</f>
        <v>8744971.7599999998</v>
      </c>
      <c r="D24" s="1005">
        <f>+EAA!E29</f>
        <v>0</v>
      </c>
      <c r="E24" s="1005">
        <f>+EAA!F29</f>
        <v>0</v>
      </c>
      <c r="F24" s="1006">
        <f t="shared" si="2"/>
        <v>8744971.7599999998</v>
      </c>
      <c r="G24" s="1006">
        <f t="shared" si="3"/>
        <v>0</v>
      </c>
    </row>
    <row r="25" spans="1:7" ht="24">
      <c r="B25" s="1004" t="s">
        <v>703</v>
      </c>
      <c r="C25" s="1005">
        <f>+EAA!D30</f>
        <v>-35607398.879999995</v>
      </c>
      <c r="D25" s="1005">
        <f>+EAA!E30</f>
        <v>0</v>
      </c>
      <c r="E25" s="1005">
        <f>+EAA!F30</f>
        <v>1372466.92</v>
      </c>
      <c r="F25" s="1006">
        <f t="shared" si="2"/>
        <v>-36979865.799999997</v>
      </c>
      <c r="G25" s="1006">
        <f t="shared" si="3"/>
        <v>-1372466.9200000018</v>
      </c>
    </row>
    <row r="26" spans="1:7">
      <c r="B26" s="1004" t="s">
        <v>705</v>
      </c>
      <c r="C26" s="1005">
        <v>0</v>
      </c>
      <c r="D26" s="1005">
        <v>0</v>
      </c>
      <c r="E26" s="1005">
        <v>0</v>
      </c>
      <c r="F26" s="1006">
        <f t="shared" si="2"/>
        <v>0</v>
      </c>
      <c r="G26" s="1006">
        <f t="shared" si="3"/>
        <v>0</v>
      </c>
    </row>
    <row r="27" spans="1:7" ht="24">
      <c r="B27" s="1004" t="s">
        <v>706</v>
      </c>
      <c r="C27" s="1005">
        <v>0</v>
      </c>
      <c r="D27" s="1005">
        <v>0</v>
      </c>
      <c r="E27" s="1005">
        <v>0</v>
      </c>
      <c r="F27" s="1006">
        <f t="shared" si="2"/>
        <v>0</v>
      </c>
      <c r="G27" s="1006">
        <f t="shared" si="3"/>
        <v>0</v>
      </c>
    </row>
    <row r="28" spans="1:7">
      <c r="B28" s="1004" t="s">
        <v>708</v>
      </c>
      <c r="C28" s="1005">
        <v>0</v>
      </c>
      <c r="D28" s="1005">
        <v>0</v>
      </c>
      <c r="E28" s="1005">
        <v>0</v>
      </c>
      <c r="F28" s="1006">
        <f t="shared" si="2"/>
        <v>0</v>
      </c>
      <c r="G28" s="1006">
        <f t="shared" si="3"/>
        <v>0</v>
      </c>
    </row>
    <row r="29" spans="1:7" ht="12.75" thickBot="1">
      <c r="B29" s="1009"/>
      <c r="C29" s="1010"/>
      <c r="D29" s="1010"/>
      <c r="E29" s="1010"/>
      <c r="F29" s="1010"/>
      <c r="G29" s="1010"/>
    </row>
  </sheetData>
  <mergeCells count="4">
    <mergeCell ref="B2:G2"/>
    <mergeCell ref="B3:G3"/>
    <mergeCell ref="B4:G4"/>
    <mergeCell ref="B5:B6"/>
  </mergeCells>
  <pageMargins left="0.70866141732283472" right="0.70866141732283472" top="0.74803149606299213" bottom="0.74803149606299213" header="0.31496062992125984" footer="0.31496062992125984"/>
  <pageSetup scale="6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7">
    <pageSetUpPr fitToPage="1"/>
  </sheetPr>
  <dimension ref="A1:J52"/>
  <sheetViews>
    <sheetView topLeftCell="A37" zoomScaleNormal="100" workbookViewId="0">
      <selection activeCell="K43" sqref="K43"/>
    </sheetView>
  </sheetViews>
  <sheetFormatPr baseColWidth="10" defaultRowHeight="12"/>
  <cols>
    <col min="1" max="1" width="4.85546875" style="157" customWidth="1"/>
    <col min="2" max="2" width="17.28515625" style="157" customWidth="1"/>
    <col min="3" max="3" width="15.7109375" style="157" customWidth="1"/>
    <col min="4" max="4" width="23" style="157" customWidth="1"/>
    <col min="5" max="5" width="3.42578125" style="157" customWidth="1"/>
    <col min="6" max="6" width="22.28515625" style="157" customWidth="1"/>
    <col min="7" max="7" width="29.7109375" style="157" customWidth="1"/>
    <col min="8" max="8" width="20.7109375" style="157" customWidth="1"/>
    <col min="9" max="9" width="20.85546875" style="157" customWidth="1"/>
    <col min="10" max="10" width="3.7109375" style="157" customWidth="1"/>
    <col min="11" max="16384" width="11.42578125" style="157"/>
  </cols>
  <sheetData>
    <row r="1" spans="1:10" ht="6" customHeight="1">
      <c r="A1" s="153"/>
      <c r="B1" s="154"/>
      <c r="C1" s="153"/>
      <c r="D1" s="153"/>
      <c r="E1" s="153"/>
      <c r="F1" s="153"/>
      <c r="G1" s="153"/>
      <c r="H1" s="153"/>
      <c r="I1" s="153"/>
      <c r="J1" s="153"/>
    </row>
    <row r="2" spans="1:10" ht="6" customHeight="1">
      <c r="B2" s="156"/>
    </row>
    <row r="3" spans="1:10" ht="6" customHeight="1"/>
    <row r="4" spans="1:10" ht="14.1" customHeight="1">
      <c r="B4" s="208"/>
      <c r="C4" s="1596" t="s">
        <v>2992</v>
      </c>
      <c r="D4" s="1596"/>
      <c r="E4" s="1596"/>
      <c r="F4" s="1596"/>
      <c r="G4" s="1596"/>
      <c r="H4" s="1596"/>
      <c r="I4" s="208"/>
      <c r="J4" s="208"/>
    </row>
    <row r="5" spans="1:10" ht="14.1" customHeight="1">
      <c r="B5" s="208"/>
      <c r="C5" s="1596" t="s">
        <v>738</v>
      </c>
      <c r="D5" s="1596"/>
      <c r="E5" s="1596"/>
      <c r="F5" s="1596"/>
      <c r="G5" s="1596"/>
      <c r="H5" s="1596"/>
      <c r="I5" s="208"/>
      <c r="J5" s="208"/>
    </row>
    <row r="6" spans="1:10" ht="14.1" customHeight="1">
      <c r="B6" s="453"/>
      <c r="C6" s="1596" t="str">
        <f>+EA!C3</f>
        <v>Del 1 de enero al 30 de abril de 2021</v>
      </c>
      <c r="D6" s="1596"/>
      <c r="E6" s="1596"/>
      <c r="F6" s="1596"/>
      <c r="G6" s="1596"/>
      <c r="H6" s="1596"/>
      <c r="I6" s="208"/>
      <c r="J6" s="208"/>
    </row>
    <row r="7" spans="1:10" ht="14.1" customHeight="1">
      <c r="B7" s="208"/>
      <c r="C7" s="1596"/>
      <c r="D7" s="1596"/>
      <c r="E7" s="1596"/>
      <c r="F7" s="1596"/>
      <c r="G7" s="1596"/>
      <c r="H7" s="1596"/>
      <c r="I7" s="208"/>
      <c r="J7" s="208"/>
    </row>
    <row r="8" spans="1:10" ht="6" customHeight="1">
      <c r="A8" s="161"/>
      <c r="B8" s="1685"/>
      <c r="C8" s="1685"/>
      <c r="D8" s="1686"/>
      <c r="E8" s="1686"/>
      <c r="F8" s="1686"/>
      <c r="G8" s="1686"/>
      <c r="H8" s="1686"/>
      <c r="I8" s="1686"/>
      <c r="J8" s="252"/>
    </row>
    <row r="9" spans="1:10" ht="5.0999999999999996" customHeight="1">
      <c r="A9" s="253"/>
      <c r="B9" s="1632"/>
      <c r="C9" s="1632"/>
      <c r="D9" s="1632"/>
      <c r="E9" s="1632"/>
      <c r="F9" s="1632"/>
      <c r="G9" s="1632"/>
      <c r="H9" s="1632"/>
      <c r="I9" s="1632"/>
      <c r="J9" s="1632"/>
    </row>
    <row r="10" spans="1:10" ht="3" customHeight="1">
      <c r="A10" s="253"/>
      <c r="B10" s="1632"/>
      <c r="C10" s="1632"/>
      <c r="D10" s="1632"/>
      <c r="E10" s="1632"/>
      <c r="F10" s="1632"/>
      <c r="G10" s="1632"/>
      <c r="H10" s="1632"/>
      <c r="I10" s="1632"/>
      <c r="J10" s="1632"/>
    </row>
    <row r="11" spans="1:10" ht="30" customHeight="1">
      <c r="A11" s="642"/>
      <c r="B11" s="1595" t="s">
        <v>739</v>
      </c>
      <c r="C11" s="1595"/>
      <c r="D11" s="1595"/>
      <c r="E11" s="643"/>
      <c r="F11" s="644" t="s">
        <v>740</v>
      </c>
      <c r="G11" s="644" t="s">
        <v>741</v>
      </c>
      <c r="H11" s="643" t="s">
        <v>742</v>
      </c>
      <c r="I11" s="643" t="s">
        <v>743</v>
      </c>
      <c r="J11" s="645"/>
    </row>
    <row r="12" spans="1:10" ht="3" customHeight="1">
      <c r="A12" s="254"/>
      <c r="B12" s="1632"/>
      <c r="C12" s="1632"/>
      <c r="D12" s="1632"/>
      <c r="E12" s="1632"/>
      <c r="F12" s="1632"/>
      <c r="G12" s="1632"/>
      <c r="H12" s="1632"/>
      <c r="I12" s="1632"/>
      <c r="J12" s="1674"/>
    </row>
    <row r="13" spans="1:10" ht="9.9499999999999993" customHeight="1">
      <c r="A13" s="166"/>
      <c r="B13" s="1676"/>
      <c r="C13" s="1676"/>
      <c r="D13" s="1676"/>
      <c r="E13" s="1676"/>
      <c r="F13" s="1676"/>
      <c r="G13" s="1676"/>
      <c r="H13" s="1676"/>
      <c r="I13" s="1676"/>
      <c r="J13" s="1677"/>
    </row>
    <row r="14" spans="1:10">
      <c r="A14" s="166"/>
      <c r="B14" s="1688" t="s">
        <v>744</v>
      </c>
      <c r="C14" s="1688"/>
      <c r="D14" s="1688"/>
      <c r="E14" s="255"/>
      <c r="F14" s="255"/>
      <c r="G14" s="255"/>
      <c r="H14" s="255"/>
      <c r="I14" s="255"/>
      <c r="J14" s="256"/>
    </row>
    <row r="15" spans="1:10">
      <c r="A15" s="257"/>
      <c r="B15" s="1689" t="s">
        <v>745</v>
      </c>
      <c r="C15" s="1689"/>
      <c r="D15" s="1689"/>
      <c r="E15" s="171"/>
      <c r="F15" s="171"/>
      <c r="G15" s="171"/>
      <c r="H15" s="171"/>
      <c r="I15" s="171"/>
      <c r="J15" s="258"/>
    </row>
    <row r="16" spans="1:10">
      <c r="A16" s="257"/>
      <c r="B16" s="1688" t="s">
        <v>746</v>
      </c>
      <c r="C16" s="1688"/>
      <c r="D16" s="1688"/>
      <c r="E16" s="171"/>
      <c r="F16" s="259"/>
      <c r="G16" s="259"/>
      <c r="H16" s="222">
        <f>SUM(H17:H19)</f>
        <v>0</v>
      </c>
      <c r="I16" s="222">
        <f>SUM(I17:I19)</f>
        <v>0</v>
      </c>
      <c r="J16" s="239"/>
    </row>
    <row r="17" spans="1:10">
      <c r="A17" s="216"/>
      <c r="B17" s="260"/>
      <c r="C17" s="1604" t="s">
        <v>747</v>
      </c>
      <c r="D17" s="1604"/>
      <c r="E17" s="171"/>
      <c r="F17" s="261"/>
      <c r="G17" s="261"/>
      <c r="H17" s="262">
        <v>0</v>
      </c>
      <c r="I17" s="262">
        <v>0</v>
      </c>
      <c r="J17" s="246"/>
    </row>
    <row r="18" spans="1:10">
      <c r="A18" s="216"/>
      <c r="B18" s="260"/>
      <c r="C18" s="1604" t="s">
        <v>748</v>
      </c>
      <c r="D18" s="1604"/>
      <c r="E18" s="171"/>
      <c r="F18" s="261"/>
      <c r="G18" s="261"/>
      <c r="H18" s="262">
        <v>0</v>
      </c>
      <c r="I18" s="262">
        <v>0</v>
      </c>
      <c r="J18" s="246"/>
    </row>
    <row r="19" spans="1:10">
      <c r="A19" s="216"/>
      <c r="B19" s="260"/>
      <c r="C19" s="1604" t="s">
        <v>749</v>
      </c>
      <c r="D19" s="1604"/>
      <c r="E19" s="171"/>
      <c r="F19" s="261"/>
      <c r="G19" s="261"/>
      <c r="H19" s="262">
        <v>0</v>
      </c>
      <c r="I19" s="262">
        <v>0</v>
      </c>
      <c r="J19" s="246"/>
    </row>
    <row r="20" spans="1:10" ht="9.9499999999999993" customHeight="1">
      <c r="A20" s="216"/>
      <c r="B20" s="260"/>
      <c r="C20" s="260"/>
      <c r="D20" s="170"/>
      <c r="E20" s="171"/>
      <c r="F20" s="263"/>
      <c r="G20" s="263"/>
      <c r="H20" s="264"/>
      <c r="I20" s="264"/>
      <c r="J20" s="246"/>
    </row>
    <row r="21" spans="1:10">
      <c r="A21" s="257"/>
      <c r="B21" s="1688" t="s">
        <v>750</v>
      </c>
      <c r="C21" s="1688"/>
      <c r="D21" s="1688"/>
      <c r="E21" s="171"/>
      <c r="F21" s="259"/>
      <c r="G21" s="259"/>
      <c r="H21" s="222">
        <f>SUM(H22:H25)</f>
        <v>0</v>
      </c>
      <c r="I21" s="222">
        <f>SUM(I22:I25)</f>
        <v>0</v>
      </c>
      <c r="J21" s="239"/>
    </row>
    <row r="22" spans="1:10">
      <c r="A22" s="216"/>
      <c r="B22" s="260"/>
      <c r="C22" s="1604" t="s">
        <v>751</v>
      </c>
      <c r="D22" s="1604"/>
      <c r="E22" s="171"/>
      <c r="F22" s="261"/>
      <c r="G22" s="261"/>
      <c r="H22" s="262">
        <v>0</v>
      </c>
      <c r="I22" s="262">
        <v>0</v>
      </c>
      <c r="J22" s="246"/>
    </row>
    <row r="23" spans="1:10">
      <c r="A23" s="216"/>
      <c r="B23" s="260"/>
      <c r="C23" s="1604" t="s">
        <v>752</v>
      </c>
      <c r="D23" s="1604"/>
      <c r="E23" s="171"/>
      <c r="F23" s="261"/>
      <c r="G23" s="261"/>
      <c r="H23" s="262">
        <v>0</v>
      </c>
      <c r="I23" s="262">
        <v>0</v>
      </c>
      <c r="J23" s="246"/>
    </row>
    <row r="24" spans="1:10">
      <c r="A24" s="216"/>
      <c r="B24" s="260"/>
      <c r="C24" s="1604" t="s">
        <v>748</v>
      </c>
      <c r="D24" s="1604"/>
      <c r="E24" s="171"/>
      <c r="F24" s="261"/>
      <c r="G24" s="261"/>
      <c r="H24" s="262">
        <v>0</v>
      </c>
      <c r="I24" s="262">
        <v>0</v>
      </c>
      <c r="J24" s="246"/>
    </row>
    <row r="25" spans="1:10">
      <c r="A25" s="216"/>
      <c r="B25" s="156"/>
      <c r="C25" s="1604" t="s">
        <v>749</v>
      </c>
      <c r="D25" s="1604"/>
      <c r="E25" s="171"/>
      <c r="F25" s="261"/>
      <c r="G25" s="261"/>
      <c r="H25" s="265">
        <v>0</v>
      </c>
      <c r="I25" s="265">
        <v>0</v>
      </c>
      <c r="J25" s="246"/>
    </row>
    <row r="26" spans="1:10" ht="9.9499999999999993" customHeight="1">
      <c r="A26" s="216"/>
      <c r="B26" s="260"/>
      <c r="C26" s="260"/>
      <c r="D26" s="170"/>
      <c r="E26" s="171"/>
      <c r="F26" s="266"/>
      <c r="G26" s="266"/>
      <c r="H26" s="201"/>
      <c r="I26" s="201"/>
      <c r="J26" s="246"/>
    </row>
    <row r="27" spans="1:10">
      <c r="A27" s="267"/>
      <c r="B27" s="1687" t="s">
        <v>753</v>
      </c>
      <c r="C27" s="1687"/>
      <c r="D27" s="1687"/>
      <c r="E27" s="176"/>
      <c r="F27" s="268"/>
      <c r="G27" s="268"/>
      <c r="H27" s="269">
        <f>H16+H21</f>
        <v>0</v>
      </c>
      <c r="I27" s="269">
        <f>I16+I21</f>
        <v>0</v>
      </c>
      <c r="J27" s="243"/>
    </row>
    <row r="28" spans="1:10">
      <c r="A28" s="257"/>
      <c r="B28" s="260"/>
      <c r="C28" s="260"/>
      <c r="D28" s="186"/>
      <c r="E28" s="171"/>
      <c r="F28" s="266"/>
      <c r="G28" s="266"/>
      <c r="H28" s="201"/>
      <c r="I28" s="201"/>
      <c r="J28" s="239"/>
    </row>
    <row r="29" spans="1:10">
      <c r="A29" s="257"/>
      <c r="B29" s="1689" t="s">
        <v>754</v>
      </c>
      <c r="C29" s="1689"/>
      <c r="D29" s="1689"/>
      <c r="E29" s="171"/>
      <c r="F29" s="266"/>
      <c r="G29" s="266"/>
      <c r="H29" s="201"/>
      <c r="I29" s="201"/>
      <c r="J29" s="239"/>
    </row>
    <row r="30" spans="1:10">
      <c r="A30" s="257"/>
      <c r="B30" s="1688" t="s">
        <v>746</v>
      </c>
      <c r="C30" s="1688"/>
      <c r="D30" s="1688"/>
      <c r="E30" s="171"/>
      <c r="F30" s="259"/>
      <c r="G30" s="259"/>
      <c r="H30" s="222">
        <f>SUM(H31:H33)</f>
        <v>0</v>
      </c>
      <c r="I30" s="222">
        <f>SUM(I31:I33)</f>
        <v>0</v>
      </c>
      <c r="J30" s="239"/>
    </row>
    <row r="31" spans="1:10">
      <c r="A31" s="216"/>
      <c r="B31" s="260"/>
      <c r="C31" s="1604" t="s">
        <v>747</v>
      </c>
      <c r="D31" s="1604"/>
      <c r="E31" s="171"/>
      <c r="F31" s="261"/>
      <c r="G31" s="261"/>
      <c r="H31" s="262">
        <v>0</v>
      </c>
      <c r="I31" s="262">
        <v>0</v>
      </c>
      <c r="J31" s="246"/>
    </row>
    <row r="32" spans="1:10">
      <c r="A32" s="216"/>
      <c r="B32" s="156"/>
      <c r="C32" s="1604" t="s">
        <v>748</v>
      </c>
      <c r="D32" s="1604"/>
      <c r="E32" s="156"/>
      <c r="F32" s="270"/>
      <c r="G32" s="270"/>
      <c r="H32" s="262">
        <v>0</v>
      </c>
      <c r="I32" s="262">
        <v>0</v>
      </c>
      <c r="J32" s="246"/>
    </row>
    <row r="33" spans="1:10">
      <c r="A33" s="216"/>
      <c r="B33" s="156"/>
      <c r="C33" s="1604" t="s">
        <v>749</v>
      </c>
      <c r="D33" s="1604"/>
      <c r="E33" s="156"/>
      <c r="F33" s="270"/>
      <c r="G33" s="270"/>
      <c r="H33" s="262">
        <v>0</v>
      </c>
      <c r="I33" s="262">
        <v>0</v>
      </c>
      <c r="J33" s="246"/>
    </row>
    <row r="34" spans="1:10" ht="9.9499999999999993" customHeight="1">
      <c r="A34" s="216"/>
      <c r="B34" s="260"/>
      <c r="C34" s="260"/>
      <c r="D34" s="170"/>
      <c r="E34" s="171"/>
      <c r="F34" s="266"/>
      <c r="G34" s="266"/>
      <c r="H34" s="201"/>
      <c r="I34" s="201"/>
      <c r="J34" s="246"/>
    </row>
    <row r="35" spans="1:10">
      <c r="A35" s="257"/>
      <c r="B35" s="1688" t="s">
        <v>750</v>
      </c>
      <c r="C35" s="1688"/>
      <c r="D35" s="1688"/>
      <c r="E35" s="171"/>
      <c r="F35" s="259"/>
      <c r="G35" s="259"/>
      <c r="H35" s="222">
        <f>SUM(H36:H39)</f>
        <v>0</v>
      </c>
      <c r="I35" s="222">
        <f>SUM(I36:I39)</f>
        <v>0</v>
      </c>
      <c r="J35" s="239"/>
    </row>
    <row r="36" spans="1:10">
      <c r="A36" s="216"/>
      <c r="B36" s="260"/>
      <c r="C36" s="1604" t="s">
        <v>751</v>
      </c>
      <c r="D36" s="1604"/>
      <c r="E36" s="171"/>
      <c r="F36" s="261"/>
      <c r="G36" s="261"/>
      <c r="H36" s="262">
        <v>0</v>
      </c>
      <c r="I36" s="262">
        <v>0</v>
      </c>
      <c r="J36" s="246"/>
    </row>
    <row r="37" spans="1:10">
      <c r="A37" s="216"/>
      <c r="B37" s="260"/>
      <c r="C37" s="1604" t="s">
        <v>752</v>
      </c>
      <c r="D37" s="1604"/>
      <c r="E37" s="171"/>
      <c r="F37" s="261"/>
      <c r="G37" s="261"/>
      <c r="H37" s="262">
        <v>0</v>
      </c>
      <c r="I37" s="262">
        <v>0</v>
      </c>
      <c r="J37" s="246"/>
    </row>
    <row r="38" spans="1:10">
      <c r="A38" s="216"/>
      <c r="B38" s="260"/>
      <c r="C38" s="1604" t="s">
        <v>748</v>
      </c>
      <c r="D38" s="1604"/>
      <c r="E38" s="171"/>
      <c r="F38" s="261"/>
      <c r="G38" s="261"/>
      <c r="H38" s="262">
        <v>0</v>
      </c>
      <c r="I38" s="262">
        <v>0</v>
      </c>
      <c r="J38" s="246"/>
    </row>
    <row r="39" spans="1:10">
      <c r="A39" s="216"/>
      <c r="B39" s="171"/>
      <c r="C39" s="1604" t="s">
        <v>749</v>
      </c>
      <c r="D39" s="1604"/>
      <c r="E39" s="171"/>
      <c r="F39" s="261"/>
      <c r="G39" s="261"/>
      <c r="H39" s="262">
        <v>0</v>
      </c>
      <c r="I39" s="262">
        <v>0</v>
      </c>
      <c r="J39" s="246"/>
    </row>
    <row r="40" spans="1:10" ht="9.9499999999999993" customHeight="1">
      <c r="A40" s="216"/>
      <c r="B40" s="171"/>
      <c r="C40" s="171"/>
      <c r="D40" s="170"/>
      <c r="E40" s="171"/>
      <c r="F40" s="266"/>
      <c r="G40" s="266"/>
      <c r="H40" s="201"/>
      <c r="I40" s="201"/>
      <c r="J40" s="246"/>
    </row>
    <row r="41" spans="1:10">
      <c r="A41" s="267"/>
      <c r="B41" s="1687" t="s">
        <v>755</v>
      </c>
      <c r="C41" s="1687"/>
      <c r="D41" s="1687"/>
      <c r="E41" s="176"/>
      <c r="F41" s="271"/>
      <c r="G41" s="271"/>
      <c r="H41" s="269">
        <f>+H30+H35</f>
        <v>0</v>
      </c>
      <c r="I41" s="269">
        <f>+I30+I35</f>
        <v>0</v>
      </c>
      <c r="J41" s="243"/>
    </row>
    <row r="42" spans="1:10">
      <c r="A42" s="216"/>
      <c r="B42" s="260"/>
      <c r="C42" s="260"/>
      <c r="D42" s="170"/>
      <c r="E42" s="171"/>
      <c r="F42" s="266"/>
      <c r="G42" s="266"/>
      <c r="H42" s="201"/>
      <c r="I42" s="201"/>
      <c r="J42" s="246"/>
    </row>
    <row r="43" spans="1:10">
      <c r="A43" s="216"/>
      <c r="B43" s="1688" t="s">
        <v>756</v>
      </c>
      <c r="C43" s="1688"/>
      <c r="D43" s="1688"/>
      <c r="E43" s="171"/>
      <c r="F43" s="261"/>
      <c r="G43" s="261"/>
      <c r="H43" s="272">
        <f>+ESF!J22</f>
        <v>3300252.38</v>
      </c>
      <c r="I43" s="272">
        <f>+ESF!I22</f>
        <v>1675539.43</v>
      </c>
      <c r="J43" s="246"/>
    </row>
    <row r="44" spans="1:10">
      <c r="A44" s="216"/>
      <c r="B44" s="260"/>
      <c r="C44" s="260"/>
      <c r="D44" s="170"/>
      <c r="E44" s="171"/>
      <c r="F44" s="266"/>
      <c r="G44" s="266"/>
      <c r="H44" s="201"/>
      <c r="I44" s="201"/>
      <c r="J44" s="246"/>
    </row>
    <row r="45" spans="1:10">
      <c r="A45" s="273"/>
      <c r="B45" s="1690" t="s">
        <v>757</v>
      </c>
      <c r="C45" s="1690"/>
      <c r="D45" s="1690"/>
      <c r="E45" s="274"/>
      <c r="F45" s="275"/>
      <c r="G45" s="275"/>
      <c r="H45" s="276">
        <f>H27+H41+H43</f>
        <v>3300252.38</v>
      </c>
      <c r="I45" s="276">
        <f>I27+I41+I43</f>
        <v>1675539.43</v>
      </c>
      <c r="J45" s="277"/>
    </row>
    <row r="46" spans="1:10" ht="6" customHeight="1">
      <c r="B46" s="1689"/>
      <c r="C46" s="1689"/>
      <c r="D46" s="1689"/>
      <c r="E46" s="1689"/>
      <c r="F46" s="1689"/>
      <c r="G46" s="1689"/>
      <c r="H46" s="1689"/>
      <c r="I46" s="1689"/>
      <c r="J46" s="1689"/>
    </row>
    <row r="47" spans="1:10" ht="6" customHeight="1">
      <c r="B47" s="278"/>
      <c r="C47" s="278"/>
      <c r="D47" s="279"/>
      <c r="E47" s="193"/>
      <c r="F47" s="279"/>
      <c r="G47" s="193"/>
      <c r="H47" s="193"/>
      <c r="I47" s="193"/>
    </row>
    <row r="48" spans="1:10" ht="15" customHeight="1">
      <c r="B48" s="1604" t="s">
        <v>668</v>
      </c>
      <c r="C48" s="1604"/>
      <c r="D48" s="1604"/>
      <c r="E48" s="1604"/>
      <c r="F48" s="1604"/>
      <c r="G48" s="1604"/>
      <c r="H48" s="1604"/>
      <c r="I48" s="1604"/>
      <c r="J48" s="1604"/>
    </row>
    <row r="49" spans="2:10" ht="28.5" customHeight="1">
      <c r="B49" s="170"/>
      <c r="C49" s="193"/>
      <c r="D49" s="194"/>
      <c r="E49" s="194"/>
      <c r="G49" s="195"/>
      <c r="H49" s="280"/>
      <c r="I49" s="280"/>
      <c r="J49" s="194"/>
    </row>
    <row r="50" spans="2:10" ht="25.5" customHeight="1">
      <c r="B50" s="170"/>
      <c r="C50" s="1605"/>
      <c r="D50" s="1605"/>
      <c r="E50" s="194"/>
      <c r="G50" s="1606"/>
      <c r="H50" s="1606"/>
      <c r="I50" s="194"/>
      <c r="J50" s="194"/>
    </row>
    <row r="51" spans="2:10" ht="14.1" customHeight="1">
      <c r="B51" s="201"/>
      <c r="C51" s="1607" t="s">
        <v>2872</v>
      </c>
      <c r="D51" s="1607"/>
      <c r="E51" s="194"/>
      <c r="F51" s="194"/>
      <c r="G51" s="1607" t="s">
        <v>758</v>
      </c>
      <c r="H51" s="1607"/>
      <c r="I51" s="171"/>
      <c r="J51" s="194"/>
    </row>
    <row r="52" spans="2:10" ht="14.1" customHeight="1">
      <c r="B52" s="203"/>
      <c r="C52" s="1602" t="s">
        <v>1769</v>
      </c>
      <c r="D52" s="1602"/>
      <c r="E52" s="204"/>
      <c r="F52" s="204"/>
      <c r="G52" s="1602" t="s">
        <v>670</v>
      </c>
      <c r="H52" s="1602"/>
      <c r="I52" s="171"/>
      <c r="J52" s="194"/>
    </row>
  </sheetData>
  <sheetProtection selectLockedCells="1"/>
  <mergeCells count="44">
    <mergeCell ref="C52:D52"/>
    <mergeCell ref="G52:H52"/>
    <mergeCell ref="B45:D45"/>
    <mergeCell ref="B46:J46"/>
    <mergeCell ref="B48:J48"/>
    <mergeCell ref="C50:D50"/>
    <mergeCell ref="G50:H50"/>
    <mergeCell ref="C51:D51"/>
    <mergeCell ref="G51:H51"/>
    <mergeCell ref="B43:D43"/>
    <mergeCell ref="B29:D29"/>
    <mergeCell ref="B30:D30"/>
    <mergeCell ref="C31:D31"/>
    <mergeCell ref="C32:D32"/>
    <mergeCell ref="C33:D33"/>
    <mergeCell ref="B35:D35"/>
    <mergeCell ref="C36:D36"/>
    <mergeCell ref="C37:D37"/>
    <mergeCell ref="C38:D38"/>
    <mergeCell ref="C39:D39"/>
    <mergeCell ref="B41:D41"/>
    <mergeCell ref="B27:D27"/>
    <mergeCell ref="B14:D14"/>
    <mergeCell ref="B15:D15"/>
    <mergeCell ref="B16:D16"/>
    <mergeCell ref="C17:D17"/>
    <mergeCell ref="C18:D18"/>
    <mergeCell ref="C19:D19"/>
    <mergeCell ref="B21:D21"/>
    <mergeCell ref="C22:D22"/>
    <mergeCell ref="C23:D23"/>
    <mergeCell ref="C24:D24"/>
    <mergeCell ref="C25:D25"/>
    <mergeCell ref="B13:J13"/>
    <mergeCell ref="C4:H4"/>
    <mergeCell ref="C5:H5"/>
    <mergeCell ref="C6:H6"/>
    <mergeCell ref="C7:H7"/>
    <mergeCell ref="B8:C8"/>
    <mergeCell ref="D8:I8"/>
    <mergeCell ref="B9:J9"/>
    <mergeCell ref="B10:J10"/>
    <mergeCell ref="B11:D11"/>
    <mergeCell ref="B12:J12"/>
  </mergeCells>
  <printOptions verticalCentered="1"/>
  <pageMargins left="0.55000000000000004" right="0" top="0.68" bottom="0.59055118110236227" header="0" footer="0"/>
  <pageSetup scale="82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71AC73-C1CB-4621-8DCF-BBA25CDA6112}">
  <sheetPr>
    <pageSetUpPr fitToPage="1"/>
  </sheetPr>
  <dimension ref="A2:F37"/>
  <sheetViews>
    <sheetView topLeftCell="A25" workbookViewId="0">
      <selection activeCell="F39" sqref="F39"/>
    </sheetView>
  </sheetViews>
  <sheetFormatPr baseColWidth="10" defaultColWidth="11.42578125" defaultRowHeight="15"/>
  <cols>
    <col min="1" max="1" width="2.7109375" style="900" customWidth="1"/>
    <col min="2" max="2" width="39.7109375" style="900" customWidth="1"/>
    <col min="3" max="3" width="23.85546875" style="900" customWidth="1"/>
    <col min="4" max="6" width="18.7109375" style="900" customWidth="1"/>
    <col min="7" max="7" width="3.85546875" style="900" customWidth="1"/>
    <col min="8" max="16384" width="11.42578125" style="900"/>
  </cols>
  <sheetData>
    <row r="2" spans="1:6">
      <c r="B2" s="1691" t="str">
        <f>+'1 ea sif'!$B$2:$F$2</f>
        <v>PROMOTORA PARA EL DESARROLLO ECONÓMICO DE CHIHUAHUA</v>
      </c>
      <c r="C2" s="1692"/>
      <c r="D2" s="1692"/>
      <c r="E2" s="1692"/>
      <c r="F2" s="1693"/>
    </row>
    <row r="3" spans="1:6">
      <c r="B3" s="1694" t="s">
        <v>738</v>
      </c>
      <c r="C3" s="1695"/>
      <c r="D3" s="1695"/>
      <c r="E3" s="1695"/>
      <c r="F3" s="1696"/>
    </row>
    <row r="4" spans="1:6">
      <c r="B4" s="1697"/>
      <c r="C4" s="1698"/>
      <c r="D4" s="1698"/>
      <c r="E4" s="1698"/>
      <c r="F4" s="1699"/>
    </row>
    <row r="5" spans="1:6" ht="24">
      <c r="B5" s="1011" t="s">
        <v>739</v>
      </c>
      <c r="C5" s="1011" t="s">
        <v>4928</v>
      </c>
      <c r="D5" s="903" t="s">
        <v>4929</v>
      </c>
      <c r="E5" s="904" t="s">
        <v>742</v>
      </c>
      <c r="F5" s="904" t="s">
        <v>743</v>
      </c>
    </row>
    <row r="6" spans="1:6">
      <c r="B6" s="1012" t="s">
        <v>744</v>
      </c>
      <c r="C6" s="1013"/>
      <c r="D6" s="1014"/>
      <c r="E6" s="1015"/>
      <c r="F6" s="1015"/>
    </row>
    <row r="7" spans="1:6">
      <c r="B7" s="1016" t="s">
        <v>4930</v>
      </c>
      <c r="C7" s="1017"/>
      <c r="D7" s="1017"/>
      <c r="E7" s="1015"/>
      <c r="F7" s="1015"/>
    </row>
    <row r="8" spans="1:6">
      <c r="A8" s="1018" t="s">
        <v>4931</v>
      </c>
      <c r="B8" s="1019" t="s">
        <v>746</v>
      </c>
      <c r="C8" s="1020"/>
      <c r="D8" s="1020"/>
      <c r="E8" s="1021">
        <f>SUM(E9:E11)</f>
        <v>0</v>
      </c>
      <c r="F8" s="1021">
        <f>SUM(F9:F11)</f>
        <v>0</v>
      </c>
    </row>
    <row r="9" spans="1:6">
      <c r="A9" s="1022"/>
      <c r="B9" s="1023" t="s">
        <v>747</v>
      </c>
      <c r="C9" s="1024"/>
      <c r="D9" s="1024"/>
      <c r="E9" s="1025">
        <v>0</v>
      </c>
      <c r="F9" s="1025">
        <v>0</v>
      </c>
    </row>
    <row r="10" spans="1:6">
      <c r="B10" s="1023" t="s">
        <v>748</v>
      </c>
      <c r="C10" s="1024"/>
      <c r="D10" s="1024"/>
      <c r="E10" s="1025">
        <v>0</v>
      </c>
      <c r="F10" s="1025">
        <v>0</v>
      </c>
    </row>
    <row r="11" spans="1:6">
      <c r="B11" s="1023" t="s">
        <v>749</v>
      </c>
      <c r="C11" s="1024"/>
      <c r="D11" s="1024"/>
      <c r="E11" s="1025">
        <v>0</v>
      </c>
      <c r="F11" s="1025">
        <v>0</v>
      </c>
    </row>
    <row r="12" spans="1:6">
      <c r="B12" s="1023"/>
      <c r="C12" s="1024"/>
      <c r="D12" s="1024"/>
      <c r="E12" s="1025"/>
      <c r="F12" s="1025"/>
    </row>
    <row r="13" spans="1:6">
      <c r="B13" s="1019" t="s">
        <v>750</v>
      </c>
      <c r="C13" s="1020"/>
      <c r="D13" s="1020"/>
      <c r="E13" s="1021">
        <f>SUM(E14:E17)</f>
        <v>0</v>
      </c>
      <c r="F13" s="1021">
        <f>SUM(F14:F17)</f>
        <v>0</v>
      </c>
    </row>
    <row r="14" spans="1:6">
      <c r="B14" s="1023" t="s">
        <v>751</v>
      </c>
      <c r="C14" s="1020"/>
      <c r="D14" s="1020"/>
      <c r="E14" s="1026">
        <v>0</v>
      </c>
      <c r="F14" s="1026">
        <v>0</v>
      </c>
    </row>
    <row r="15" spans="1:6">
      <c r="B15" s="1023" t="s">
        <v>752</v>
      </c>
      <c r="C15" s="1024"/>
      <c r="D15" s="1024"/>
      <c r="E15" s="1025">
        <v>0</v>
      </c>
      <c r="F15" s="1025">
        <v>0</v>
      </c>
    </row>
    <row r="16" spans="1:6">
      <c r="B16" s="1023" t="s">
        <v>748</v>
      </c>
      <c r="C16" s="1024"/>
      <c r="D16" s="1024"/>
      <c r="E16" s="1025">
        <v>0</v>
      </c>
      <c r="F16" s="1025">
        <v>0</v>
      </c>
    </row>
    <row r="17" spans="2:6">
      <c r="B17" s="1023" t="s">
        <v>749</v>
      </c>
      <c r="C17" s="1024"/>
      <c r="D17" s="1024"/>
      <c r="E17" s="1025">
        <v>0</v>
      </c>
      <c r="F17" s="1025">
        <v>0</v>
      </c>
    </row>
    <row r="18" spans="2:6">
      <c r="B18" s="1023"/>
      <c r="C18" s="1024"/>
      <c r="D18" s="1024"/>
      <c r="E18" s="1025"/>
      <c r="F18" s="1025"/>
    </row>
    <row r="19" spans="2:6">
      <c r="B19" s="1027" t="s">
        <v>4932</v>
      </c>
      <c r="C19" s="1024"/>
      <c r="D19" s="1024"/>
      <c r="E19" s="1028">
        <f>SUM(E8,E13)</f>
        <v>0</v>
      </c>
      <c r="F19" s="1028">
        <f>SUM(F8,F13)</f>
        <v>0</v>
      </c>
    </row>
    <row r="20" spans="2:6">
      <c r="B20" s="1016" t="s">
        <v>4933</v>
      </c>
      <c r="C20" s="1029"/>
      <c r="D20" s="1029"/>
      <c r="E20" s="1021"/>
      <c r="F20" s="1021"/>
    </row>
    <row r="21" spans="2:6">
      <c r="B21" s="1019" t="s">
        <v>746</v>
      </c>
      <c r="C21" s="1024"/>
      <c r="D21" s="1024"/>
      <c r="E21" s="1021">
        <f>SUM(E22:E24)</f>
        <v>0</v>
      </c>
      <c r="F21" s="1021">
        <f>SUM(F22:F24)</f>
        <v>0</v>
      </c>
    </row>
    <row r="22" spans="2:6">
      <c r="B22" s="1023" t="s">
        <v>747</v>
      </c>
      <c r="C22" s="1024"/>
      <c r="D22" s="1024"/>
      <c r="E22" s="1025">
        <v>0</v>
      </c>
      <c r="F22" s="1025">
        <v>0</v>
      </c>
    </row>
    <row r="23" spans="2:6">
      <c r="B23" s="1023" t="s">
        <v>748</v>
      </c>
      <c r="C23" s="1024"/>
      <c r="D23" s="1024"/>
      <c r="E23" s="1025">
        <v>0</v>
      </c>
      <c r="F23" s="1025">
        <v>0</v>
      </c>
    </row>
    <row r="24" spans="2:6">
      <c r="B24" s="1023" t="s">
        <v>749</v>
      </c>
      <c r="C24" s="1024"/>
      <c r="D24" s="1024"/>
      <c r="E24" s="1025">
        <v>0</v>
      </c>
      <c r="F24" s="1025">
        <v>0</v>
      </c>
    </row>
    <row r="25" spans="2:6">
      <c r="B25" s="1023"/>
      <c r="C25" s="1024"/>
      <c r="D25" s="1024"/>
      <c r="E25" s="1025"/>
      <c r="F25" s="1025"/>
    </row>
    <row r="26" spans="2:6">
      <c r="B26" s="1019" t="s">
        <v>750</v>
      </c>
      <c r="C26" s="1020"/>
      <c r="D26" s="1020"/>
      <c r="E26" s="1021">
        <f>SUM(E27:E30)</f>
        <v>0</v>
      </c>
      <c r="F26" s="1021">
        <f>SUM(F27:F30)</f>
        <v>0</v>
      </c>
    </row>
    <row r="27" spans="2:6">
      <c r="B27" s="1023" t="s">
        <v>751</v>
      </c>
      <c r="C27" s="1020"/>
      <c r="D27" s="1020"/>
      <c r="E27" s="1026">
        <v>0</v>
      </c>
      <c r="F27" s="1026">
        <v>0</v>
      </c>
    </row>
    <row r="28" spans="2:6">
      <c r="B28" s="1023" t="s">
        <v>752</v>
      </c>
      <c r="C28" s="1024"/>
      <c r="D28" s="1024"/>
      <c r="E28" s="1025">
        <v>0</v>
      </c>
      <c r="F28" s="1025">
        <v>0</v>
      </c>
    </row>
    <row r="29" spans="2:6">
      <c r="B29" s="1023" t="s">
        <v>748</v>
      </c>
      <c r="C29" s="1024"/>
      <c r="D29" s="1024"/>
      <c r="E29" s="1025">
        <v>0</v>
      </c>
      <c r="F29" s="1025">
        <v>0</v>
      </c>
    </row>
    <row r="30" spans="2:6">
      <c r="B30" s="1023" t="s">
        <v>749</v>
      </c>
      <c r="C30" s="1024"/>
      <c r="D30" s="1024"/>
      <c r="E30" s="1025">
        <v>0</v>
      </c>
      <c r="F30" s="1025">
        <v>0</v>
      </c>
    </row>
    <row r="31" spans="2:6">
      <c r="B31" s="1023"/>
      <c r="C31" s="1024"/>
      <c r="D31" s="1024"/>
      <c r="E31" s="1025"/>
      <c r="F31" s="1025"/>
    </row>
    <row r="32" spans="2:6">
      <c r="B32" s="1027" t="s">
        <v>4934</v>
      </c>
      <c r="C32" s="1024"/>
      <c r="D32" s="1024"/>
      <c r="E32" s="1028">
        <f>SUM(E21,E26)</f>
        <v>0</v>
      </c>
      <c r="F32" s="1028">
        <f>SUM(F21,F26)</f>
        <v>0</v>
      </c>
    </row>
    <row r="33" spans="2:6">
      <c r="B33" s="1030"/>
      <c r="C33" s="1029"/>
      <c r="D33" s="1029"/>
      <c r="E33" s="1021"/>
      <c r="F33" s="1021"/>
    </row>
    <row r="34" spans="2:6">
      <c r="B34" s="1019" t="s">
        <v>756</v>
      </c>
      <c r="C34" s="1024"/>
      <c r="D34" s="1024"/>
      <c r="E34" s="1031">
        <f>+EADP!H43</f>
        <v>3300252.38</v>
      </c>
      <c r="F34" s="1031">
        <f>+EADP!I43</f>
        <v>1675539.43</v>
      </c>
    </row>
    <row r="35" spans="2:6">
      <c r="B35" s="1032"/>
      <c r="C35" s="1033"/>
      <c r="D35" s="1033"/>
      <c r="E35" s="1026"/>
      <c r="F35" s="1026"/>
    </row>
    <row r="36" spans="2:6">
      <c r="B36" s="1030" t="s">
        <v>4935</v>
      </c>
      <c r="C36" s="1034"/>
      <c r="D36" s="1034"/>
      <c r="E36" s="1035">
        <f>SUM(E19,E32,E34)</f>
        <v>3300252.38</v>
      </c>
      <c r="F36" s="1035">
        <f>SUM(F19,F32,F34)</f>
        <v>1675539.43</v>
      </c>
    </row>
    <row r="37" spans="2:6">
      <c r="B37" s="1036"/>
      <c r="C37" s="1037"/>
      <c r="D37" s="1037"/>
      <c r="E37" s="1038"/>
      <c r="F37" s="1038"/>
    </row>
  </sheetData>
  <mergeCells count="3">
    <mergeCell ref="B2:F2"/>
    <mergeCell ref="B3:F3"/>
    <mergeCell ref="B4:F4"/>
  </mergeCells>
  <pageMargins left="0.70866141732283472" right="0.70866141732283472" top="0.74803149606299213" bottom="0.74803149606299213" header="0.31496062992125984" footer="0.31496062992125984"/>
  <pageSetup scale="77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8">
    <pageSetUpPr fitToPage="1"/>
  </sheetPr>
  <dimension ref="A1:K57"/>
  <sheetViews>
    <sheetView topLeftCell="A26" zoomScaleNormal="100" workbookViewId="0">
      <selection activeCell="H37" activeCellId="1" sqref="H30 H37"/>
    </sheetView>
  </sheetViews>
  <sheetFormatPr baseColWidth="10" defaultRowHeight="12"/>
  <cols>
    <col min="1" max="1" width="3.7109375" style="193" customWidth="1"/>
    <col min="2" max="2" width="17.140625" style="231" customWidth="1"/>
    <col min="3" max="3" width="57.85546875" style="231" customWidth="1"/>
    <col min="4" max="6" width="18.7109375" style="296" customWidth="1"/>
    <col min="7" max="7" width="17.140625" style="296" customWidth="1"/>
    <col min="8" max="8" width="16.140625" style="296" customWidth="1"/>
    <col min="9" max="9" width="3.28515625" style="193" customWidth="1"/>
    <col min="10" max="16384" width="11.42578125" style="157"/>
  </cols>
  <sheetData>
    <row r="1" spans="1:9" ht="6" customHeight="1">
      <c r="A1" s="153"/>
      <c r="B1" s="154"/>
      <c r="C1" s="153"/>
      <c r="D1" s="1707"/>
      <c r="E1" s="1707"/>
      <c r="F1" s="1705"/>
      <c r="G1" s="1705"/>
      <c r="H1" s="1705"/>
      <c r="I1" s="1705"/>
    </row>
    <row r="2" spans="1:9" ht="6" customHeight="1">
      <c r="A2" s="157"/>
      <c r="B2" s="156"/>
      <c r="C2" s="157"/>
      <c r="D2" s="157"/>
      <c r="E2" s="157"/>
      <c r="F2" s="157"/>
      <c r="G2" s="157"/>
      <c r="H2" s="157"/>
      <c r="I2" s="157"/>
    </row>
    <row r="3" spans="1:9" ht="14.1" customHeight="1">
      <c r="A3" s="157"/>
      <c r="B3" s="159"/>
      <c r="C3" s="1631" t="s">
        <v>2992</v>
      </c>
      <c r="D3" s="1631"/>
      <c r="E3" s="1631"/>
      <c r="F3" s="1631"/>
      <c r="G3" s="1631"/>
      <c r="H3" s="159"/>
      <c r="I3" s="159"/>
    </row>
    <row r="4" spans="1:9" ht="14.1" customHeight="1">
      <c r="B4" s="451"/>
      <c r="C4" s="1631" t="s">
        <v>759</v>
      </c>
      <c r="D4" s="1631"/>
      <c r="E4" s="1631"/>
      <c r="F4" s="1631"/>
      <c r="G4" s="1631"/>
      <c r="H4" s="516"/>
      <c r="I4" s="159"/>
    </row>
    <row r="5" spans="1:9" ht="14.1" customHeight="1">
      <c r="B5" s="159"/>
      <c r="C5" s="1631" t="str">
        <f>+EA!C3</f>
        <v>Del 1 de enero al 30 de abril de 2021</v>
      </c>
      <c r="D5" s="1631"/>
      <c r="E5" s="1631"/>
      <c r="F5" s="1631"/>
      <c r="G5" s="1631"/>
      <c r="H5" s="159"/>
      <c r="I5" s="159"/>
    </row>
    <row r="6" spans="1:9" ht="14.1" customHeight="1">
      <c r="B6" s="159"/>
      <c r="C6" s="1631"/>
      <c r="D6" s="1631"/>
      <c r="E6" s="1631"/>
      <c r="F6" s="1631"/>
      <c r="G6" s="1631"/>
      <c r="H6" s="159"/>
      <c r="I6" s="159"/>
    </row>
    <row r="7" spans="1:9" ht="3" customHeight="1">
      <c r="A7" s="161"/>
      <c r="B7" s="162"/>
      <c r="C7" s="1706"/>
      <c r="D7" s="1706"/>
      <c r="E7" s="1706"/>
      <c r="F7" s="1706"/>
      <c r="G7" s="1706"/>
      <c r="H7" s="1706"/>
      <c r="I7" s="1706"/>
    </row>
    <row r="8" spans="1:9" ht="3" customHeight="1">
      <c r="A8" s="161"/>
      <c r="B8" s="161"/>
      <c r="C8" s="161" t="s">
        <v>736</v>
      </c>
      <c r="D8" s="161"/>
      <c r="E8" s="161"/>
      <c r="F8" s="161"/>
      <c r="G8" s="161"/>
      <c r="H8" s="161"/>
      <c r="I8" s="161"/>
    </row>
    <row r="9" spans="1:9" ht="3" customHeight="1">
      <c r="A9" s="161"/>
      <c r="B9" s="161"/>
      <c r="C9" s="161"/>
      <c r="D9" s="161"/>
      <c r="E9" s="161"/>
      <c r="F9" s="161"/>
      <c r="G9" s="161"/>
      <c r="H9" s="161"/>
      <c r="I9" s="161"/>
    </row>
    <row r="10" spans="1:9" ht="60">
      <c r="A10" s="646"/>
      <c r="B10" s="1595" t="s">
        <v>230</v>
      </c>
      <c r="C10" s="1595"/>
      <c r="D10" s="647" t="s">
        <v>713</v>
      </c>
      <c r="E10" s="647" t="s">
        <v>760</v>
      </c>
      <c r="F10" s="647" t="s">
        <v>761</v>
      </c>
      <c r="G10" s="647" t="s">
        <v>727</v>
      </c>
      <c r="H10" s="647" t="s">
        <v>98</v>
      </c>
      <c r="I10" s="648"/>
    </row>
    <row r="11" spans="1:9" ht="3" customHeight="1">
      <c r="A11" s="254"/>
      <c r="B11" s="161"/>
      <c r="C11" s="161"/>
      <c r="D11" s="161"/>
      <c r="E11" s="161"/>
      <c r="F11" s="161"/>
      <c r="G11" s="161"/>
      <c r="H11" s="161"/>
      <c r="I11" s="281"/>
    </row>
    <row r="12" spans="1:9" ht="3" customHeight="1">
      <c r="A12" s="168"/>
      <c r="B12" s="282"/>
      <c r="C12" s="172"/>
      <c r="D12" s="171"/>
      <c r="E12" s="169"/>
      <c r="F12" s="170"/>
      <c r="G12" s="156"/>
      <c r="H12" s="282"/>
      <c r="I12" s="283"/>
    </row>
    <row r="13" spans="1:9" ht="9.9499999999999993" customHeight="1">
      <c r="A13" s="181"/>
      <c r="B13" s="285"/>
      <c r="C13" s="171"/>
      <c r="D13" s="286"/>
      <c r="E13" s="286"/>
      <c r="F13" s="286"/>
      <c r="G13" s="286"/>
      <c r="H13" s="286"/>
      <c r="I13" s="283"/>
    </row>
    <row r="14" spans="1:9">
      <c r="A14" s="181"/>
      <c r="B14" s="1701" t="s">
        <v>5936</v>
      </c>
      <c r="C14" s="1701"/>
      <c r="D14" s="287">
        <f>SUM(D15:D17)</f>
        <v>278482908.89999998</v>
      </c>
      <c r="E14" s="287">
        <f>SUM(E15:E17)</f>
        <v>0</v>
      </c>
      <c r="F14" s="287">
        <f>SUM(F15:F17)</f>
        <v>0</v>
      </c>
      <c r="G14" s="287">
        <f>SUM(G15:G17)</f>
        <v>0</v>
      </c>
      <c r="H14" s="287">
        <f>SUM(D14:G14)</f>
        <v>278482908.89999998</v>
      </c>
      <c r="I14" s="283"/>
    </row>
    <row r="15" spans="1:9">
      <c r="A15" s="168"/>
      <c r="B15" s="1597" t="s">
        <v>762</v>
      </c>
      <c r="C15" s="1597"/>
      <c r="D15" s="288">
        <f>+ESF!J29</f>
        <v>10952891.960000001</v>
      </c>
      <c r="E15" s="288">
        <v>0</v>
      </c>
      <c r="F15" s="288">
        <v>0</v>
      </c>
      <c r="G15" s="288">
        <v>0</v>
      </c>
      <c r="H15" s="286">
        <f t="shared" ref="H15:H23" si="0">SUM(D15:G15)</f>
        <v>10952891.960000001</v>
      </c>
      <c r="I15" s="283"/>
    </row>
    <row r="16" spans="1:9">
      <c r="A16" s="168"/>
      <c r="B16" s="1597" t="s">
        <v>714</v>
      </c>
      <c r="C16" s="1597"/>
      <c r="D16" s="288">
        <v>0</v>
      </c>
      <c r="E16" s="288">
        <v>0</v>
      </c>
      <c r="F16" s="288">
        <v>0</v>
      </c>
      <c r="G16" s="288">
        <v>0</v>
      </c>
      <c r="H16" s="286">
        <f t="shared" si="0"/>
        <v>0</v>
      </c>
      <c r="I16" s="283"/>
    </row>
    <row r="17" spans="1:11">
      <c r="A17" s="168"/>
      <c r="B17" s="1597" t="s">
        <v>763</v>
      </c>
      <c r="C17" s="1597"/>
      <c r="D17" s="288">
        <f>+ESF!J30</f>
        <v>267530016.94</v>
      </c>
      <c r="E17" s="288">
        <v>0</v>
      </c>
      <c r="F17" s="288">
        <v>0</v>
      </c>
      <c r="G17" s="288">
        <v>0</v>
      </c>
      <c r="H17" s="286">
        <f t="shared" si="0"/>
        <v>267530016.94</v>
      </c>
      <c r="I17" s="283"/>
    </row>
    <row r="18" spans="1:11" ht="9.9499999999999993" customHeight="1">
      <c r="A18" s="181"/>
      <c r="B18" s="285"/>
      <c r="C18" s="171"/>
      <c r="D18" s="286"/>
      <c r="E18" s="286"/>
      <c r="F18" s="286"/>
      <c r="G18" s="286"/>
      <c r="H18" s="286"/>
      <c r="I18" s="283"/>
    </row>
    <row r="19" spans="1:11">
      <c r="A19" s="181"/>
      <c r="B19" s="1701" t="s">
        <v>5937</v>
      </c>
      <c r="C19" s="1701"/>
      <c r="D19" s="287">
        <f>SUM(D20:D23)</f>
        <v>0</v>
      </c>
      <c r="E19" s="287">
        <f>SUM(E20:E23)</f>
        <v>772681576.45000005</v>
      </c>
      <c r="F19" s="287">
        <f>SUM(F20:F23)</f>
        <v>82707402.840000004</v>
      </c>
      <c r="G19" s="287">
        <f>SUM(G20:G23)</f>
        <v>0</v>
      </c>
      <c r="H19" s="287">
        <f t="shared" si="0"/>
        <v>855388979.29000008</v>
      </c>
      <c r="I19" s="283"/>
    </row>
    <row r="20" spans="1:11">
      <c r="A20" s="168"/>
      <c r="B20" s="1597" t="s">
        <v>765</v>
      </c>
      <c r="C20" s="1597"/>
      <c r="D20" s="288">
        <v>0</v>
      </c>
      <c r="E20" s="288">
        <v>0</v>
      </c>
      <c r="F20" s="288">
        <f>+ESF!J34</f>
        <v>82707402.840000004</v>
      </c>
      <c r="G20" s="288">
        <v>0</v>
      </c>
      <c r="H20" s="286">
        <f t="shared" si="0"/>
        <v>82707402.840000004</v>
      </c>
      <c r="I20" s="283"/>
    </row>
    <row r="21" spans="1:11">
      <c r="A21" s="168"/>
      <c r="B21" s="1597" t="s">
        <v>718</v>
      </c>
      <c r="C21" s="1597"/>
      <c r="D21" s="288">
        <v>0</v>
      </c>
      <c r="E21" s="288">
        <f>+ESF!J35</f>
        <v>772681576.45000005</v>
      </c>
      <c r="F21" s="288">
        <v>0</v>
      </c>
      <c r="G21" s="288">
        <v>0</v>
      </c>
      <c r="H21" s="286">
        <f t="shared" si="0"/>
        <v>772681576.45000005</v>
      </c>
      <c r="I21" s="283"/>
    </row>
    <row r="22" spans="1:11">
      <c r="A22" s="168"/>
      <c r="B22" s="1597" t="s">
        <v>766</v>
      </c>
      <c r="C22" s="1597"/>
      <c r="D22" s="288">
        <v>0</v>
      </c>
      <c r="E22" s="288">
        <v>0</v>
      </c>
      <c r="F22" s="288">
        <v>0</v>
      </c>
      <c r="G22" s="288"/>
      <c r="H22" s="286">
        <f t="shared" si="0"/>
        <v>0</v>
      </c>
      <c r="I22" s="283"/>
    </row>
    <row r="23" spans="1:11">
      <c r="A23" s="168"/>
      <c r="B23" s="1597" t="s">
        <v>720</v>
      </c>
      <c r="C23" s="1597"/>
      <c r="D23" s="288">
        <v>0</v>
      </c>
      <c r="E23" s="288">
        <v>0</v>
      </c>
      <c r="F23" s="288">
        <v>0</v>
      </c>
      <c r="G23" s="288">
        <v>0</v>
      </c>
      <c r="H23" s="286">
        <f t="shared" si="0"/>
        <v>0</v>
      </c>
      <c r="I23" s="283"/>
    </row>
    <row r="24" spans="1:11">
      <c r="A24" s="168"/>
      <c r="B24" s="1597" t="s">
        <v>231</v>
      </c>
      <c r="C24" s="1597"/>
      <c r="D24" s="288"/>
      <c r="E24" s="288"/>
      <c r="F24" s="288"/>
      <c r="G24" s="288"/>
      <c r="H24" s="286"/>
      <c r="I24" s="283"/>
    </row>
    <row r="25" spans="1:11">
      <c r="A25" s="168"/>
      <c r="B25" s="179"/>
      <c r="C25" s="179"/>
      <c r="D25" s="288"/>
      <c r="E25" s="288"/>
      <c r="F25" s="288"/>
      <c r="G25" s="288"/>
      <c r="H25" s="286"/>
      <c r="I25" s="283"/>
    </row>
    <row r="26" spans="1:11">
      <c r="A26" s="168"/>
      <c r="B26" s="1701" t="s">
        <v>5938</v>
      </c>
      <c r="C26" s="1701"/>
      <c r="D26" s="284">
        <f>+D27+D28</f>
        <v>0</v>
      </c>
      <c r="E26" s="284">
        <f t="shared" ref="E26:H26" si="1">+E27+E28</f>
        <v>0</v>
      </c>
      <c r="F26" s="284">
        <f t="shared" si="1"/>
        <v>0</v>
      </c>
      <c r="G26" s="284">
        <f t="shared" si="1"/>
        <v>20576226.51000002</v>
      </c>
      <c r="H26" s="284">
        <f t="shared" si="1"/>
        <v>20576226.51000002</v>
      </c>
      <c r="I26" s="283"/>
    </row>
    <row r="27" spans="1:11">
      <c r="A27" s="168"/>
      <c r="B27" s="1702" t="s">
        <v>722</v>
      </c>
      <c r="C27" s="1702"/>
      <c r="D27" s="288">
        <v>0</v>
      </c>
      <c r="E27" s="288">
        <v>0</v>
      </c>
      <c r="F27" s="288">
        <v>0</v>
      </c>
      <c r="G27" s="288">
        <f>+ESF!J39</f>
        <v>-167471499.56999999</v>
      </c>
      <c r="H27" s="286">
        <f t="shared" ref="H27:H28" si="2">SUM(D27:G27)</f>
        <v>-167471499.56999999</v>
      </c>
      <c r="I27" s="283"/>
    </row>
    <row r="28" spans="1:11">
      <c r="A28" s="168"/>
      <c r="B28" s="1702" t="s">
        <v>2990</v>
      </c>
      <c r="C28" s="1702"/>
      <c r="D28" s="288">
        <v>0</v>
      </c>
      <c r="E28" s="288">
        <v>0</v>
      </c>
      <c r="F28" s="288">
        <v>0</v>
      </c>
      <c r="G28" s="288">
        <f>+ESF!J40</f>
        <v>188047726.08000001</v>
      </c>
      <c r="H28" s="286">
        <f t="shared" si="2"/>
        <v>188047726.08000001</v>
      </c>
      <c r="I28" s="283"/>
    </row>
    <row r="29" spans="1:11" ht="9.9499999999999993" customHeight="1">
      <c r="A29" s="181"/>
      <c r="B29" s="285"/>
      <c r="C29" s="171"/>
      <c r="D29" s="286"/>
      <c r="E29" s="286"/>
      <c r="F29" s="286"/>
      <c r="G29" s="286"/>
      <c r="H29" s="286"/>
      <c r="I29" s="283"/>
    </row>
    <row r="30" spans="1:11" ht="18.75" thickBot="1">
      <c r="A30" s="181"/>
      <c r="B30" s="1700" t="s">
        <v>5939</v>
      </c>
      <c r="C30" s="1700"/>
      <c r="D30" s="289">
        <f>+D26+D19+D14</f>
        <v>278482908.89999998</v>
      </c>
      <c r="E30" s="289">
        <f t="shared" ref="E30:G30" si="3">+E26+E19+E14</f>
        <v>772681576.45000005</v>
      </c>
      <c r="F30" s="289">
        <f t="shared" si="3"/>
        <v>82707402.840000004</v>
      </c>
      <c r="G30" s="289">
        <f t="shared" si="3"/>
        <v>20576226.51000002</v>
      </c>
      <c r="H30" s="289">
        <f>+H26+H19+H14</f>
        <v>1154448114.7</v>
      </c>
      <c r="I30" s="283"/>
      <c r="K30" s="290"/>
    </row>
    <row r="31" spans="1:11">
      <c r="A31" s="168"/>
      <c r="B31" s="171"/>
      <c r="C31" s="170"/>
      <c r="D31" s="286"/>
      <c r="E31" s="286"/>
      <c r="F31" s="286"/>
      <c r="G31" s="286"/>
      <c r="H31" s="286"/>
      <c r="I31" s="283"/>
    </row>
    <row r="32" spans="1:11">
      <c r="A32" s="181"/>
      <c r="B32" s="1701" t="s">
        <v>5940</v>
      </c>
      <c r="C32" s="1701"/>
      <c r="D32" s="287">
        <f>SUM(D33:D35)</f>
        <v>0</v>
      </c>
      <c r="E32" s="287">
        <f>SUM(E33:E35)</f>
        <v>0</v>
      </c>
      <c r="F32" s="287">
        <f>SUM(F33:F35)</f>
        <v>0</v>
      </c>
      <c r="G32" s="287">
        <f>SUM(G33:G35)</f>
        <v>0</v>
      </c>
      <c r="H32" s="287">
        <f>SUM(D32:G32)</f>
        <v>0</v>
      </c>
      <c r="I32" s="283"/>
    </row>
    <row r="33" spans="1:9">
      <c r="A33" s="168"/>
      <c r="B33" s="1597" t="s">
        <v>647</v>
      </c>
      <c r="C33" s="1597"/>
      <c r="D33" s="288">
        <v>0</v>
      </c>
      <c r="E33" s="288">
        <v>0</v>
      </c>
      <c r="F33" s="288">
        <v>0</v>
      </c>
      <c r="G33" s="288">
        <v>0</v>
      </c>
      <c r="H33" s="286">
        <f>SUM(D33:G33)</f>
        <v>0</v>
      </c>
      <c r="I33" s="283"/>
    </row>
    <row r="34" spans="1:9">
      <c r="A34" s="168"/>
      <c r="B34" s="1597" t="s">
        <v>714</v>
      </c>
      <c r="C34" s="1597"/>
      <c r="D34" s="288">
        <v>0</v>
      </c>
      <c r="E34" s="288">
        <v>0</v>
      </c>
      <c r="F34" s="288">
        <v>0</v>
      </c>
      <c r="G34" s="288">
        <v>0</v>
      </c>
      <c r="H34" s="286">
        <f>SUM(D34:G34)</f>
        <v>0</v>
      </c>
      <c r="I34" s="283"/>
    </row>
    <row r="35" spans="1:9">
      <c r="A35" s="168"/>
      <c r="B35" s="1597" t="s">
        <v>763</v>
      </c>
      <c r="C35" s="1597"/>
      <c r="D35" s="288">
        <v>0</v>
      </c>
      <c r="E35" s="288">
        <v>0</v>
      </c>
      <c r="F35" s="288">
        <v>0</v>
      </c>
      <c r="G35" s="288">
        <v>0</v>
      </c>
      <c r="H35" s="286">
        <f>SUM(D35:G35)</f>
        <v>0</v>
      </c>
      <c r="I35" s="283"/>
    </row>
    <row r="36" spans="1:9" ht="9.9499999999999993" customHeight="1">
      <c r="A36" s="181"/>
      <c r="B36" s="285"/>
      <c r="C36" s="171"/>
      <c r="D36" s="286"/>
      <c r="E36" s="286"/>
      <c r="F36" s="286"/>
      <c r="G36" s="286"/>
      <c r="H36" s="286"/>
      <c r="I36" s="283"/>
    </row>
    <row r="37" spans="1:9">
      <c r="A37" s="181" t="s">
        <v>736</v>
      </c>
      <c r="B37" s="1701" t="s">
        <v>764</v>
      </c>
      <c r="C37" s="1701"/>
      <c r="D37" s="287">
        <f>SUM(D38:D42)</f>
        <v>0</v>
      </c>
      <c r="E37" s="287">
        <f>SUM(E38:E42)</f>
        <v>82707402.839999914</v>
      </c>
      <c r="F37" s="287">
        <f>SUM(F38:F42)</f>
        <v>-68727558.629999906</v>
      </c>
      <c r="G37" s="287">
        <f>SUM(G38:G42)</f>
        <v>0</v>
      </c>
      <c r="H37" s="287">
        <f t="shared" ref="H37:H42" si="4">SUM(D37:G37)</f>
        <v>13979844.210000008</v>
      </c>
      <c r="I37" s="283"/>
    </row>
    <row r="38" spans="1:9">
      <c r="A38" s="168"/>
      <c r="B38" s="1597" t="s">
        <v>765</v>
      </c>
      <c r="C38" s="1597"/>
      <c r="D38" s="288">
        <v>0</v>
      </c>
      <c r="E38" s="288">
        <v>0</v>
      </c>
      <c r="F38" s="288">
        <f>+ESF!I34</f>
        <v>13979844.210000001</v>
      </c>
      <c r="G38" s="288">
        <v>0</v>
      </c>
      <c r="H38" s="286">
        <f t="shared" si="4"/>
        <v>13979844.210000001</v>
      </c>
      <c r="I38" s="283"/>
    </row>
    <row r="39" spans="1:9">
      <c r="A39" s="168"/>
      <c r="B39" s="1597" t="s">
        <v>718</v>
      </c>
      <c r="C39" s="1597"/>
      <c r="D39" s="288">
        <v>0</v>
      </c>
      <c r="E39" s="288">
        <f>+ESF!I35-E21</f>
        <v>82707402.839999914</v>
      </c>
      <c r="F39" s="288">
        <f>-E39</f>
        <v>-82707402.839999914</v>
      </c>
      <c r="G39" s="288">
        <v>0</v>
      </c>
      <c r="H39" s="286">
        <f t="shared" si="4"/>
        <v>0</v>
      </c>
      <c r="I39" s="283"/>
    </row>
    <row r="40" spans="1:9">
      <c r="A40" s="168"/>
      <c r="B40" s="1597" t="s">
        <v>766</v>
      </c>
      <c r="C40" s="1597"/>
      <c r="D40" s="288">
        <v>0</v>
      </c>
      <c r="E40" s="288">
        <v>0</v>
      </c>
      <c r="F40" s="288">
        <v>0</v>
      </c>
      <c r="G40" s="288">
        <v>0</v>
      </c>
      <c r="H40" s="286">
        <f t="shared" si="4"/>
        <v>0</v>
      </c>
      <c r="I40" s="283"/>
    </row>
    <row r="41" spans="1:9">
      <c r="A41" s="168"/>
      <c r="B41" s="1597" t="s">
        <v>720</v>
      </c>
      <c r="C41" s="1597"/>
      <c r="D41" s="288">
        <v>0</v>
      </c>
      <c r="E41" s="288">
        <v>0</v>
      </c>
      <c r="F41" s="288">
        <v>0</v>
      </c>
      <c r="G41" s="288">
        <v>0</v>
      </c>
      <c r="H41" s="286">
        <f t="shared" si="4"/>
        <v>0</v>
      </c>
      <c r="I41" s="283"/>
    </row>
    <row r="42" spans="1:9">
      <c r="A42" s="168"/>
      <c r="B42" s="1597" t="s">
        <v>231</v>
      </c>
      <c r="C42" s="1597"/>
      <c r="D42" s="288">
        <v>0</v>
      </c>
      <c r="E42" s="288">
        <v>0</v>
      </c>
      <c r="F42" s="1387">
        <v>0</v>
      </c>
      <c r="G42" s="288">
        <v>0</v>
      </c>
      <c r="H42" s="286">
        <f t="shared" si="4"/>
        <v>0</v>
      </c>
      <c r="I42" s="283"/>
    </row>
    <row r="43" spans="1:9">
      <c r="A43" s="168"/>
      <c r="B43" s="179"/>
      <c r="C43" s="179"/>
      <c r="D43" s="288"/>
      <c r="E43" s="288"/>
      <c r="F43" s="288"/>
      <c r="G43" s="288"/>
      <c r="H43" s="286"/>
      <c r="I43" s="283"/>
    </row>
    <row r="44" spans="1:9" ht="12" customHeight="1">
      <c r="A44" s="168"/>
      <c r="B44" s="1701" t="s">
        <v>5941</v>
      </c>
      <c r="C44" s="1701"/>
      <c r="D44" s="284">
        <f>+D46+D47</f>
        <v>0</v>
      </c>
      <c r="E44" s="284">
        <f t="shared" ref="E44:H44" si="5">+E46+E47</f>
        <v>0</v>
      </c>
      <c r="F44" s="284">
        <f t="shared" si="5"/>
        <v>0</v>
      </c>
      <c r="G44" s="284">
        <f t="shared" si="5"/>
        <v>0</v>
      </c>
      <c r="H44" s="284">
        <f t="shared" si="5"/>
        <v>0</v>
      </c>
      <c r="I44" s="283"/>
    </row>
    <row r="45" spans="1:9">
      <c r="A45" s="168"/>
      <c r="B45" s="1704"/>
      <c r="C45" s="1704"/>
      <c r="D45" s="288"/>
      <c r="E45" s="288"/>
      <c r="F45" s="288"/>
      <c r="G45" s="288"/>
      <c r="H45" s="286"/>
      <c r="I45" s="283"/>
    </row>
    <row r="46" spans="1:9">
      <c r="A46" s="168"/>
      <c r="B46" s="1702" t="s">
        <v>722</v>
      </c>
      <c r="C46" s="1702"/>
      <c r="D46" s="288">
        <v>0</v>
      </c>
      <c r="E46" s="288">
        <v>0</v>
      </c>
      <c r="F46" s="288">
        <v>0</v>
      </c>
      <c r="G46" s="288">
        <f>+ESF!I39-ESF!J39</f>
        <v>0</v>
      </c>
      <c r="H46" s="286">
        <f t="shared" ref="H46:H47" si="6">SUM(D46:G46)</f>
        <v>0</v>
      </c>
      <c r="I46" s="283"/>
    </row>
    <row r="47" spans="1:9">
      <c r="A47" s="168"/>
      <c r="B47" s="1702" t="s">
        <v>2990</v>
      </c>
      <c r="C47" s="1702"/>
      <c r="D47" s="288">
        <v>0</v>
      </c>
      <c r="E47" s="288">
        <v>0</v>
      </c>
      <c r="F47" s="288">
        <v>0</v>
      </c>
      <c r="G47" s="288">
        <f>+ESF!I40-ESF!J40</f>
        <v>0</v>
      </c>
      <c r="H47" s="286">
        <f t="shared" si="6"/>
        <v>0</v>
      </c>
      <c r="I47" s="283"/>
    </row>
    <row r="48" spans="1:9">
      <c r="A48" s="168"/>
      <c r="B48" s="179"/>
      <c r="C48" s="179"/>
      <c r="D48" s="288"/>
      <c r="E48" s="288"/>
      <c r="F48" s="288"/>
      <c r="G48" s="288"/>
      <c r="H48" s="286"/>
      <c r="I48" s="283"/>
    </row>
    <row r="49" spans="1:11" ht="9.9499999999999993" customHeight="1">
      <c r="A49" s="181"/>
      <c r="B49" s="285"/>
      <c r="C49" s="171"/>
      <c r="D49" s="286"/>
      <c r="E49" s="286"/>
      <c r="F49" s="286"/>
      <c r="G49" s="286"/>
      <c r="H49" s="286"/>
      <c r="I49" s="283"/>
    </row>
    <row r="50" spans="1:11" ht="18">
      <c r="A50" s="291"/>
      <c r="B50" s="1703" t="s">
        <v>5942</v>
      </c>
      <c r="C50" s="1703"/>
      <c r="D50" s="292">
        <f>D30+D32+D37+D44</f>
        <v>278482908.89999998</v>
      </c>
      <c r="E50" s="292">
        <f>E30+E32+E37</f>
        <v>855388979.28999996</v>
      </c>
      <c r="F50" s="292">
        <f>F30+F32+F37</f>
        <v>13979844.210000098</v>
      </c>
      <c r="G50" s="292">
        <f>G30+G32+G37</f>
        <v>20576226.51000002</v>
      </c>
      <c r="H50" s="292">
        <f>SUM(D50:G50)</f>
        <v>1168427958.9100001</v>
      </c>
      <c r="I50" s="293"/>
      <c r="J50" s="1400">
        <f>+D50+E50+F50+G50-H37-H30</f>
        <v>0</v>
      </c>
      <c r="K50" s="290"/>
    </row>
    <row r="51" spans="1:11" ht="6" customHeight="1">
      <c r="A51" s="294"/>
      <c r="B51" s="294"/>
      <c r="C51" s="294"/>
      <c r="D51" s="294"/>
      <c r="E51" s="294"/>
      <c r="F51" s="294"/>
      <c r="G51" s="294"/>
      <c r="H51" s="294"/>
      <c r="I51" s="295"/>
    </row>
    <row r="52" spans="1:11" ht="6" customHeight="1">
      <c r="D52" s="231"/>
      <c r="E52" s="231"/>
      <c r="I52" s="172"/>
    </row>
    <row r="53" spans="1:11" ht="15" customHeight="1">
      <c r="A53" s="157"/>
      <c r="B53" s="1604" t="s">
        <v>668</v>
      </c>
      <c r="C53" s="1604"/>
      <c r="D53" s="1604"/>
      <c r="E53" s="1604"/>
      <c r="F53" s="1604"/>
      <c r="G53" s="1604"/>
      <c r="H53" s="1604"/>
      <c r="I53" s="1604"/>
      <c r="J53" s="170"/>
    </row>
    <row r="54" spans="1:11" ht="9.75" customHeight="1">
      <c r="A54" s="157"/>
      <c r="B54" s="170"/>
      <c r="C54" s="193"/>
      <c r="D54" s="194"/>
      <c r="E54" s="194"/>
      <c r="F54" s="157"/>
      <c r="G54" s="195"/>
      <c r="H54" s="193"/>
      <c r="I54" s="194"/>
      <c r="J54" s="194"/>
    </row>
    <row r="55" spans="1:11" ht="50.1" customHeight="1">
      <c r="A55" s="157"/>
      <c r="B55" s="170"/>
      <c r="C55" s="444"/>
      <c r="D55" s="232"/>
      <c r="E55" s="199"/>
      <c r="F55" s="196"/>
      <c r="G55" s="445"/>
      <c r="H55" s="234"/>
      <c r="I55" s="194"/>
      <c r="J55" s="194"/>
    </row>
    <row r="56" spans="1:11" ht="14.1" customHeight="1">
      <c r="A56" s="157"/>
      <c r="B56" s="201"/>
      <c r="C56" s="558" t="s">
        <v>2872</v>
      </c>
      <c r="D56" s="153"/>
      <c r="E56" s="1607" t="s">
        <v>758</v>
      </c>
      <c r="F56" s="1607"/>
      <c r="G56" s="1607"/>
      <c r="I56" s="171"/>
      <c r="J56" s="194"/>
    </row>
    <row r="57" spans="1:11" ht="14.1" customHeight="1">
      <c r="A57" s="157"/>
      <c r="B57" s="203"/>
      <c r="C57" s="557" t="s">
        <v>1769</v>
      </c>
      <c r="D57" s="426"/>
      <c r="E57" s="1682" t="s">
        <v>670</v>
      </c>
      <c r="F57" s="1682"/>
      <c r="G57" s="1682"/>
      <c r="I57" s="171"/>
      <c r="J57" s="194"/>
    </row>
  </sheetData>
  <sheetProtection formatCells="0" selectLockedCells="1"/>
  <mergeCells count="40">
    <mergeCell ref="H1:I1"/>
    <mergeCell ref="C3:G3"/>
    <mergeCell ref="C4:G4"/>
    <mergeCell ref="B21:C21"/>
    <mergeCell ref="C6:G6"/>
    <mergeCell ref="C7:I7"/>
    <mergeCell ref="B10:C10"/>
    <mergeCell ref="B14:C14"/>
    <mergeCell ref="B15:C15"/>
    <mergeCell ref="B16:C16"/>
    <mergeCell ref="B17:C17"/>
    <mergeCell ref="D1:E1"/>
    <mergeCell ref="F1:G1"/>
    <mergeCell ref="B19:C19"/>
    <mergeCell ref="B20:C20"/>
    <mergeCell ref="C5:G5"/>
    <mergeCell ref="E56:G56"/>
    <mergeCell ref="E57:G57"/>
    <mergeCell ref="B40:C40"/>
    <mergeCell ref="B50:C50"/>
    <mergeCell ref="B53:I53"/>
    <mergeCell ref="B41:C41"/>
    <mergeCell ref="B42:C42"/>
    <mergeCell ref="B46:C46"/>
    <mergeCell ref="B47:C47"/>
    <mergeCell ref="B44:C45"/>
    <mergeCell ref="B39:C39"/>
    <mergeCell ref="B22:C22"/>
    <mergeCell ref="B23:C23"/>
    <mergeCell ref="B30:C30"/>
    <mergeCell ref="B32:C32"/>
    <mergeCell ref="B33:C33"/>
    <mergeCell ref="B24:C24"/>
    <mergeCell ref="B26:C26"/>
    <mergeCell ref="B28:C28"/>
    <mergeCell ref="B27:C27"/>
    <mergeCell ref="B34:C34"/>
    <mergeCell ref="B35:C35"/>
    <mergeCell ref="B37:C37"/>
    <mergeCell ref="B38:C38"/>
  </mergeCells>
  <printOptions verticalCentered="1"/>
  <pageMargins left="0.78" right="0.94" top="0.28000000000000003" bottom="0.59055118110236227" header="0" footer="0"/>
  <pageSetup scale="7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B35F66-3289-4A30-80F3-85A7B4E151DC}">
  <sheetPr>
    <pageSetUpPr fitToPage="1"/>
  </sheetPr>
  <dimension ref="B1:H45"/>
  <sheetViews>
    <sheetView topLeftCell="C28" zoomScale="95" zoomScaleNormal="95" workbookViewId="0">
      <selection activeCell="G41" sqref="G41"/>
    </sheetView>
  </sheetViews>
  <sheetFormatPr baseColWidth="10" defaultColWidth="11.5703125" defaultRowHeight="15"/>
  <cols>
    <col min="1" max="1" width="2.7109375" style="900" customWidth="1"/>
    <col min="2" max="2" width="47" style="900" customWidth="1"/>
    <col min="3" max="7" width="28.7109375" style="900" customWidth="1"/>
    <col min="8" max="16384" width="11.5703125" style="900"/>
  </cols>
  <sheetData>
    <row r="1" spans="2:8">
      <c r="H1" s="901" t="s">
        <v>4903</v>
      </c>
    </row>
    <row r="2" spans="2:8">
      <c r="B2" s="1708" t="str">
        <f>+'1 ea sif'!B2:F2</f>
        <v>PROMOTORA PARA EL DESARROLLO ECONÓMICO DE CHIHUAHUA</v>
      </c>
      <c r="C2" s="1709"/>
      <c r="D2" s="1709"/>
      <c r="E2" s="1709"/>
      <c r="F2" s="1709"/>
      <c r="G2" s="1710"/>
    </row>
    <row r="3" spans="2:8">
      <c r="B3" s="1694" t="s">
        <v>759</v>
      </c>
      <c r="C3" s="1695"/>
      <c r="D3" s="1695"/>
      <c r="E3" s="1695"/>
      <c r="F3" s="1695"/>
      <c r="G3" s="1696"/>
    </row>
    <row r="4" spans="2:8">
      <c r="B4" s="1711"/>
      <c r="C4" s="1712"/>
      <c r="D4" s="1712"/>
      <c r="E4" s="1712"/>
      <c r="F4" s="1712"/>
      <c r="G4" s="1713"/>
    </row>
    <row r="5" spans="2:8" ht="36">
      <c r="B5" s="902" t="s">
        <v>230</v>
      </c>
      <c r="C5" s="902" t="s">
        <v>4904</v>
      </c>
      <c r="D5" s="902" t="s">
        <v>4905</v>
      </c>
      <c r="E5" s="903" t="s">
        <v>4906</v>
      </c>
      <c r="F5" s="904" t="s">
        <v>4907</v>
      </c>
      <c r="G5" s="904" t="s">
        <v>87</v>
      </c>
    </row>
    <row r="6" spans="2:8">
      <c r="B6" s="905"/>
      <c r="C6" s="906"/>
      <c r="D6" s="906"/>
      <c r="E6" s="907"/>
      <c r="F6" s="908"/>
      <c r="G6" s="908"/>
    </row>
    <row r="7" spans="2:8" ht="24.75" customHeight="1">
      <c r="B7" s="909" t="s">
        <v>5943</v>
      </c>
      <c r="C7" s="910">
        <f>SUM(C8,C9,C10)</f>
        <v>278482908.89999998</v>
      </c>
      <c r="D7" s="911"/>
      <c r="E7" s="912"/>
      <c r="F7" s="913"/>
      <c r="G7" s="914">
        <f>SUM(C7:F7)</f>
        <v>278482908.89999998</v>
      </c>
    </row>
    <row r="8" spans="2:8">
      <c r="B8" s="915" t="s">
        <v>647</v>
      </c>
      <c r="C8" s="916">
        <f>+EVHP!D15</f>
        <v>10952891.960000001</v>
      </c>
      <c r="D8" s="917"/>
      <c r="E8" s="918"/>
      <c r="F8" s="919"/>
      <c r="G8" s="920">
        <f>SUM(C8:F8)</f>
        <v>10952891.960000001</v>
      </c>
    </row>
    <row r="9" spans="2:8">
      <c r="B9" s="915" t="s">
        <v>714</v>
      </c>
      <c r="C9" s="916">
        <f>+EVHP!D16</f>
        <v>0</v>
      </c>
      <c r="D9" s="917"/>
      <c r="E9" s="918"/>
      <c r="F9" s="919"/>
      <c r="G9" s="920">
        <f>SUM(C9:F9)</f>
        <v>0</v>
      </c>
    </row>
    <row r="10" spans="2:8">
      <c r="B10" s="915" t="s">
        <v>763</v>
      </c>
      <c r="C10" s="916">
        <f>+EVHP!D17</f>
        <v>267530016.94</v>
      </c>
      <c r="D10" s="917"/>
      <c r="E10" s="918"/>
      <c r="F10" s="919"/>
      <c r="G10" s="920">
        <f>SUM(C10:F10)</f>
        <v>267530016.94</v>
      </c>
    </row>
    <row r="11" spans="2:8">
      <c r="B11" s="915"/>
      <c r="C11" s="921"/>
      <c r="D11" s="921"/>
      <c r="E11" s="922"/>
      <c r="F11" s="920"/>
      <c r="G11" s="920"/>
    </row>
    <row r="12" spans="2:8">
      <c r="B12" s="909" t="s">
        <v>5944</v>
      </c>
      <c r="C12" s="911"/>
      <c r="D12" s="910">
        <f>SUM(D14,D15,D16,D17,)</f>
        <v>772681576.45000005</v>
      </c>
      <c r="E12" s="923">
        <f>SUM(E13)</f>
        <v>82707402.840000004</v>
      </c>
      <c r="F12" s="913"/>
      <c r="G12" s="914">
        <f>SUM(C12:F12)</f>
        <v>855388979.29000008</v>
      </c>
    </row>
    <row r="13" spans="2:8">
      <c r="B13" s="915" t="s">
        <v>765</v>
      </c>
      <c r="C13" s="917"/>
      <c r="D13" s="917"/>
      <c r="E13" s="924">
        <f>+EVHP!F20</f>
        <v>82707402.840000004</v>
      </c>
      <c r="F13" s="919"/>
      <c r="G13" s="920">
        <f>SUM(C13:F13)</f>
        <v>82707402.840000004</v>
      </c>
    </row>
    <row r="14" spans="2:8">
      <c r="B14" s="915" t="s">
        <v>718</v>
      </c>
      <c r="C14" s="917"/>
      <c r="D14" s="916">
        <f>+EVHP!E21</f>
        <v>772681576.45000005</v>
      </c>
      <c r="E14" s="918"/>
      <c r="F14" s="919"/>
      <c r="G14" s="920">
        <f>SUM(C14:F14)</f>
        <v>772681576.45000005</v>
      </c>
    </row>
    <row r="15" spans="2:8">
      <c r="B15" s="915" t="s">
        <v>719</v>
      </c>
      <c r="C15" s="917"/>
      <c r="D15" s="916">
        <v>0</v>
      </c>
      <c r="E15" s="918"/>
      <c r="F15" s="919"/>
      <c r="G15" s="920">
        <f>D15</f>
        <v>0</v>
      </c>
    </row>
    <row r="16" spans="2:8">
      <c r="B16" s="915" t="s">
        <v>720</v>
      </c>
      <c r="C16" s="917"/>
      <c r="D16" s="916">
        <v>0</v>
      </c>
      <c r="E16" s="918"/>
      <c r="F16" s="919"/>
      <c r="G16" s="920">
        <f>D16</f>
        <v>0</v>
      </c>
    </row>
    <row r="17" spans="2:7">
      <c r="B17" s="915" t="s">
        <v>231</v>
      </c>
      <c r="C17" s="917"/>
      <c r="D17" s="916">
        <v>0</v>
      </c>
      <c r="E17" s="918"/>
      <c r="F17" s="919"/>
      <c r="G17" s="920">
        <f>D17</f>
        <v>0</v>
      </c>
    </row>
    <row r="18" spans="2:7">
      <c r="B18" s="915"/>
      <c r="C18" s="921"/>
      <c r="D18" s="921"/>
      <c r="E18" s="922"/>
      <c r="F18" s="920"/>
      <c r="G18" s="920"/>
    </row>
    <row r="19" spans="2:7" ht="24">
      <c r="B19" s="909" t="s">
        <v>5945</v>
      </c>
      <c r="C19" s="917"/>
      <c r="D19" s="917"/>
      <c r="E19" s="918"/>
      <c r="F19" s="914">
        <f>SUM(F20,F21,)</f>
        <v>20576226.51000002</v>
      </c>
      <c r="G19" s="914">
        <f>F19</f>
        <v>20576226.51000002</v>
      </c>
    </row>
    <row r="20" spans="2:7">
      <c r="B20" s="915" t="s">
        <v>722</v>
      </c>
      <c r="C20" s="917"/>
      <c r="D20" s="917"/>
      <c r="E20" s="918"/>
      <c r="F20" s="925">
        <f>+EVHP!G27</f>
        <v>-167471499.56999999</v>
      </c>
      <c r="G20" s="920">
        <f>F20</f>
        <v>-167471499.56999999</v>
      </c>
    </row>
    <row r="21" spans="2:7">
      <c r="B21" s="915" t="s">
        <v>723</v>
      </c>
      <c r="C21" s="917"/>
      <c r="D21" s="917"/>
      <c r="E21" s="918"/>
      <c r="F21" s="925">
        <f>+EVHP!G28</f>
        <v>188047726.08000001</v>
      </c>
      <c r="G21" s="920">
        <f>F21</f>
        <v>188047726.08000001</v>
      </c>
    </row>
    <row r="22" spans="2:7">
      <c r="B22" s="915"/>
      <c r="C22" s="921"/>
      <c r="D22" s="921"/>
      <c r="E22" s="922"/>
      <c r="F22" s="920"/>
      <c r="G22" s="920"/>
    </row>
    <row r="23" spans="2:7">
      <c r="B23" s="909" t="s">
        <v>4908</v>
      </c>
      <c r="C23" s="910">
        <f>SUM(C7)</f>
        <v>278482908.89999998</v>
      </c>
      <c r="D23" s="910">
        <f>SUM(D12)</f>
        <v>772681576.45000005</v>
      </c>
      <c r="E23" s="923">
        <f>E12</f>
        <v>82707402.840000004</v>
      </c>
      <c r="F23" s="914">
        <f>SUM(F19)</f>
        <v>20576226.51000002</v>
      </c>
      <c r="G23" s="914">
        <f>SUM(C23:F23)</f>
        <v>1154448114.7</v>
      </c>
    </row>
    <row r="24" spans="2:7">
      <c r="B24" s="915"/>
      <c r="C24" s="910"/>
      <c r="D24" s="921"/>
      <c r="E24" s="922"/>
      <c r="F24" s="920"/>
      <c r="G24" s="920"/>
    </row>
    <row r="25" spans="2:7" ht="24">
      <c r="B25" s="909" t="s">
        <v>5946</v>
      </c>
      <c r="C25" s="910">
        <f>SUM(C26:C28)</f>
        <v>0</v>
      </c>
      <c r="D25" s="911"/>
      <c r="E25" s="912"/>
      <c r="F25" s="913"/>
      <c r="G25" s="914">
        <f>C25</f>
        <v>0</v>
      </c>
    </row>
    <row r="26" spans="2:7">
      <c r="B26" s="915" t="s">
        <v>647</v>
      </c>
      <c r="C26" s="916">
        <v>0</v>
      </c>
      <c r="D26" s="917"/>
      <c r="E26" s="918"/>
      <c r="F26" s="919"/>
      <c r="G26" s="920">
        <f>C26</f>
        <v>0</v>
      </c>
    </row>
    <row r="27" spans="2:7">
      <c r="B27" s="915" t="s">
        <v>714</v>
      </c>
      <c r="C27" s="916">
        <v>0</v>
      </c>
      <c r="D27" s="917"/>
      <c r="E27" s="918"/>
      <c r="F27" s="919"/>
      <c r="G27" s="920">
        <f>C27</f>
        <v>0</v>
      </c>
    </row>
    <row r="28" spans="2:7">
      <c r="B28" s="915" t="s">
        <v>763</v>
      </c>
      <c r="C28" s="916">
        <v>0</v>
      </c>
      <c r="D28" s="917"/>
      <c r="E28" s="918"/>
      <c r="F28" s="919"/>
      <c r="G28" s="920">
        <f>C28</f>
        <v>0</v>
      </c>
    </row>
    <row r="29" spans="2:7">
      <c r="B29" s="915"/>
      <c r="C29" s="921"/>
      <c r="D29" s="921"/>
      <c r="E29" s="922"/>
      <c r="F29" s="920"/>
      <c r="G29" s="920"/>
    </row>
    <row r="30" spans="2:7" ht="24">
      <c r="B30" s="909" t="s">
        <v>5947</v>
      </c>
      <c r="C30" s="911"/>
      <c r="D30" s="910">
        <f>D32</f>
        <v>82707402.839999914</v>
      </c>
      <c r="E30" s="923">
        <f>SUM(E31:E35)</f>
        <v>-68727558.629999906</v>
      </c>
      <c r="F30" s="913"/>
      <c r="G30" s="914">
        <f>SUM(D30:E30)</f>
        <v>13979844.210000008</v>
      </c>
    </row>
    <row r="31" spans="2:7">
      <c r="B31" s="915" t="s">
        <v>765</v>
      </c>
      <c r="C31" s="917"/>
      <c r="D31" s="917"/>
      <c r="E31" s="924">
        <f>+EVHP!F38</f>
        <v>13979844.210000001</v>
      </c>
      <c r="F31" s="919"/>
      <c r="G31" s="920">
        <f>SUM(E31)</f>
        <v>13979844.210000001</v>
      </c>
    </row>
    <row r="32" spans="2:7">
      <c r="B32" s="915" t="s">
        <v>718</v>
      </c>
      <c r="C32" s="917"/>
      <c r="D32" s="916">
        <f>+EVHP!E39</f>
        <v>82707402.839999914</v>
      </c>
      <c r="E32" s="924">
        <f>+EVHP!F39</f>
        <v>-82707402.839999914</v>
      </c>
      <c r="F32" s="919"/>
      <c r="G32" s="920">
        <f>SUM(D32:E32)</f>
        <v>0</v>
      </c>
    </row>
    <row r="33" spans="2:7">
      <c r="B33" s="915" t="s">
        <v>719</v>
      </c>
      <c r="C33" s="917"/>
      <c r="D33" s="917"/>
      <c r="E33" s="924">
        <v>0</v>
      </c>
      <c r="F33" s="919"/>
      <c r="G33" s="920">
        <f>E33</f>
        <v>0</v>
      </c>
    </row>
    <row r="34" spans="2:7">
      <c r="B34" s="915" t="s">
        <v>720</v>
      </c>
      <c r="C34" s="917"/>
      <c r="D34" s="917"/>
      <c r="E34" s="924">
        <v>0</v>
      </c>
      <c r="F34" s="919"/>
      <c r="G34" s="920">
        <f>E34</f>
        <v>0</v>
      </c>
    </row>
    <row r="35" spans="2:7">
      <c r="B35" s="915" t="s">
        <v>231</v>
      </c>
      <c r="C35" s="917"/>
      <c r="D35" s="917"/>
      <c r="E35" s="924">
        <f>+EVHP!F42</f>
        <v>0</v>
      </c>
      <c r="F35" s="919"/>
      <c r="G35" s="920">
        <f>E35</f>
        <v>0</v>
      </c>
    </row>
    <row r="36" spans="2:7">
      <c r="B36" s="915"/>
      <c r="C36" s="921"/>
      <c r="D36" s="921"/>
      <c r="E36" s="922"/>
      <c r="F36" s="920"/>
      <c r="G36" s="920"/>
    </row>
    <row r="37" spans="2:7" ht="36">
      <c r="B37" s="909" t="s">
        <v>5948</v>
      </c>
      <c r="C37" s="917"/>
      <c r="D37" s="917"/>
      <c r="E37" s="918"/>
      <c r="F37" s="914">
        <f>SUM(F38:F39)</f>
        <v>0</v>
      </c>
      <c r="G37" s="914">
        <f>F37</f>
        <v>0</v>
      </c>
    </row>
    <row r="38" spans="2:7">
      <c r="B38" s="915" t="s">
        <v>722</v>
      </c>
      <c r="C38" s="917"/>
      <c r="D38" s="917"/>
      <c r="E38" s="918"/>
      <c r="F38" s="925">
        <v>0</v>
      </c>
      <c r="G38" s="920">
        <f>F38</f>
        <v>0</v>
      </c>
    </row>
    <row r="39" spans="2:7">
      <c r="B39" s="915" t="s">
        <v>723</v>
      </c>
      <c r="C39" s="917"/>
      <c r="D39" s="917"/>
      <c r="E39" s="918"/>
      <c r="F39" s="925">
        <v>0</v>
      </c>
      <c r="G39" s="920">
        <f>F39</f>
        <v>0</v>
      </c>
    </row>
    <row r="40" spans="2:7">
      <c r="B40" s="915"/>
      <c r="C40" s="921"/>
      <c r="D40" s="921"/>
      <c r="E40" s="922"/>
      <c r="F40" s="920"/>
      <c r="G40" s="920"/>
    </row>
    <row r="41" spans="2:7">
      <c r="B41" s="909" t="s">
        <v>5949</v>
      </c>
      <c r="C41" s="910">
        <f>SUM(C23,C25)</f>
        <v>278482908.89999998</v>
      </c>
      <c r="D41" s="910">
        <f>SUM(D23,D30)</f>
        <v>855388979.28999996</v>
      </c>
      <c r="E41" s="923">
        <f>SUM(E30,E23)</f>
        <v>13979844.210000098</v>
      </c>
      <c r="F41" s="914">
        <f>SUM(F37,F23)</f>
        <v>20576226.51000002</v>
      </c>
      <c r="G41" s="914">
        <f>SUM(C41:F41)</f>
        <v>1168427958.9100001</v>
      </c>
    </row>
    <row r="42" spans="2:7">
      <c r="B42" s="926"/>
    </row>
    <row r="43" spans="2:7">
      <c r="B43" s="926"/>
    </row>
    <row r="44" spans="2:7">
      <c r="B44" s="926"/>
    </row>
    <row r="45" spans="2:7">
      <c r="B45" s="926"/>
    </row>
  </sheetData>
  <mergeCells count="3">
    <mergeCell ref="B2:G2"/>
    <mergeCell ref="B3:G3"/>
    <mergeCell ref="B4:G4"/>
  </mergeCells>
  <pageMargins left="0.70866141732283472" right="0.70866141732283472" top="0.74803149606299213" bottom="0.74803149606299213" header="0.31496062992125984" footer="0.31496062992125984"/>
  <pageSetup scale="65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9">
    <pageSetUpPr fitToPage="1"/>
  </sheetPr>
  <dimension ref="A1:Q69"/>
  <sheetViews>
    <sheetView showWhiteSpace="0" topLeftCell="H22" zoomScaleNormal="100" workbookViewId="0">
      <selection activeCell="P34" sqref="P34:P37"/>
    </sheetView>
  </sheetViews>
  <sheetFormatPr baseColWidth="10" defaultRowHeight="12"/>
  <cols>
    <col min="1" max="1" width="1.28515625" style="157" hidden="1" customWidth="1"/>
    <col min="2" max="3" width="3.7109375" style="157" customWidth="1"/>
    <col min="4" max="4" width="23.85546875" style="157" customWidth="1"/>
    <col min="5" max="5" width="21.42578125" style="157" customWidth="1"/>
    <col min="6" max="6" width="17.28515625" style="157" customWidth="1"/>
    <col min="7" max="8" width="18.7109375" style="156" customWidth="1"/>
    <col min="9" max="9" width="7.7109375" style="157" customWidth="1"/>
    <col min="10" max="11" width="3.7109375" style="157" customWidth="1"/>
    <col min="12" max="16" width="18.7109375" style="157" customWidth="1"/>
    <col min="17" max="17" width="1.85546875" style="157" customWidth="1"/>
    <col min="18" max="16384" width="11.42578125" style="157"/>
  </cols>
  <sheetData>
    <row r="1" spans="1:17" ht="16.5" customHeight="1">
      <c r="B1" s="208"/>
      <c r="C1" s="208"/>
      <c r="D1" s="208"/>
      <c r="E1" s="1596" t="s">
        <v>2992</v>
      </c>
      <c r="F1" s="1596"/>
      <c r="G1" s="1596"/>
      <c r="H1" s="1596"/>
      <c r="I1" s="1596"/>
      <c r="J1" s="1596"/>
      <c r="K1" s="1596"/>
      <c r="L1" s="1596"/>
      <c r="M1" s="1596"/>
      <c r="N1" s="1596"/>
      <c r="O1" s="1596"/>
      <c r="P1" s="208"/>
      <c r="Q1" s="208"/>
    </row>
    <row r="2" spans="1:17" ht="15" customHeight="1">
      <c r="B2" s="208"/>
      <c r="C2" s="208"/>
      <c r="D2" s="208"/>
      <c r="E2" s="1596" t="s">
        <v>767</v>
      </c>
      <c r="F2" s="1596"/>
      <c r="G2" s="1596"/>
      <c r="H2" s="1596"/>
      <c r="I2" s="1596"/>
      <c r="J2" s="1596"/>
      <c r="K2" s="1596"/>
      <c r="L2" s="1596"/>
      <c r="M2" s="1596"/>
      <c r="N2" s="1596"/>
      <c r="O2" s="1596"/>
      <c r="P2" s="208"/>
      <c r="Q2" s="208"/>
    </row>
    <row r="3" spans="1:17" ht="15" customHeight="1">
      <c r="B3" s="208"/>
      <c r="C3" s="208"/>
      <c r="D3" s="453"/>
      <c r="E3" s="1596" t="str">
        <f>+EA!C3</f>
        <v>Del 1 de enero al 30 de abril de 2021</v>
      </c>
      <c r="F3" s="1596"/>
      <c r="G3" s="1596"/>
      <c r="H3" s="1596"/>
      <c r="I3" s="1596"/>
      <c r="J3" s="1596"/>
      <c r="K3" s="1596"/>
      <c r="L3" s="1596"/>
      <c r="M3" s="1596"/>
      <c r="N3" s="1596"/>
      <c r="O3" s="1596"/>
      <c r="P3" s="1357"/>
      <c r="Q3" s="208"/>
    </row>
    <row r="4" spans="1:17" ht="16.5" customHeight="1">
      <c r="B4" s="208"/>
      <c r="C4" s="208"/>
      <c r="D4" s="453"/>
      <c r="E4" s="1596" t="str">
        <f>+EA!C4</f>
        <v>y al 31 de diciembre de 2020</v>
      </c>
      <c r="F4" s="1596"/>
      <c r="G4" s="1596"/>
      <c r="H4" s="1596"/>
      <c r="I4" s="1596"/>
      <c r="J4" s="1596"/>
      <c r="K4" s="1596"/>
      <c r="L4" s="1596"/>
      <c r="M4" s="1596"/>
      <c r="N4" s="1596"/>
      <c r="O4" s="1596"/>
      <c r="P4" s="208"/>
      <c r="Q4" s="208"/>
    </row>
    <row r="5" spans="1:17" ht="3" customHeight="1">
      <c r="C5" s="211"/>
      <c r="D5" s="297"/>
      <c r="E5" s="210"/>
      <c r="F5" s="210"/>
      <c r="G5" s="210"/>
      <c r="H5" s="210"/>
      <c r="I5" s="210"/>
      <c r="J5" s="210"/>
      <c r="K5" s="210"/>
      <c r="L5" s="210"/>
      <c r="M5" s="210"/>
      <c r="N5" s="210"/>
      <c r="O5" s="208"/>
    </row>
    <row r="6" spans="1:17" ht="5.0999999999999996" customHeight="1">
      <c r="B6" s="211"/>
      <c r="C6" s="211"/>
      <c r="D6" s="297"/>
      <c r="E6" s="211"/>
      <c r="F6" s="211"/>
      <c r="G6" s="298"/>
      <c r="H6" s="298"/>
      <c r="I6" s="297"/>
    </row>
    <row r="7" spans="1:17" ht="3" customHeight="1">
      <c r="C7" s="299"/>
      <c r="D7" s="297"/>
      <c r="E7" s="299"/>
      <c r="F7" s="299"/>
      <c r="G7" s="300"/>
      <c r="H7" s="300"/>
      <c r="I7" s="297"/>
    </row>
    <row r="8" spans="1:17" ht="31.5" customHeight="1">
      <c r="A8" s="301"/>
      <c r="B8" s="1714" t="s">
        <v>230</v>
      </c>
      <c r="C8" s="1714"/>
      <c r="D8" s="1714"/>
      <c r="E8" s="1714"/>
      <c r="F8" s="630"/>
      <c r="G8" s="660">
        <v>2021</v>
      </c>
      <c r="H8" s="660">
        <v>2020</v>
      </c>
      <c r="I8" s="649"/>
      <c r="J8" s="1714" t="s">
        <v>230</v>
      </c>
      <c r="K8" s="1714"/>
      <c r="L8" s="1714"/>
      <c r="M8" s="1714"/>
      <c r="N8" s="630"/>
      <c r="O8" s="660">
        <v>2021</v>
      </c>
      <c r="P8" s="660">
        <v>2020</v>
      </c>
      <c r="Q8" s="650"/>
    </row>
    <row r="9" spans="1:17" ht="3" customHeight="1">
      <c r="A9" s="216"/>
      <c r="D9" s="217"/>
      <c r="E9" s="217"/>
      <c r="F9" s="217"/>
      <c r="G9" s="302"/>
      <c r="H9" s="302"/>
      <c r="Q9" s="167"/>
    </row>
    <row r="10" spans="1:17">
      <c r="A10" s="168"/>
      <c r="B10" s="156"/>
      <c r="C10" s="219"/>
      <c r="D10" s="219"/>
      <c r="E10" s="219"/>
      <c r="F10" s="219"/>
      <c r="G10" s="302"/>
      <c r="H10" s="302"/>
      <c r="I10" s="156"/>
      <c r="Q10" s="167"/>
    </row>
    <row r="11" spans="1:17" ht="17.25" customHeight="1">
      <c r="A11" s="168"/>
      <c r="B11" s="1715" t="s">
        <v>768</v>
      </c>
      <c r="C11" s="1715"/>
      <c r="D11" s="1715"/>
      <c r="E11" s="1715"/>
      <c r="F11" s="1715"/>
      <c r="G11" s="302"/>
      <c r="H11" s="302"/>
      <c r="I11" s="156"/>
      <c r="J11" s="1715" t="s">
        <v>769</v>
      </c>
      <c r="K11" s="1715"/>
      <c r="L11" s="1715"/>
      <c r="M11" s="1715"/>
      <c r="N11" s="1715"/>
      <c r="O11" s="303"/>
      <c r="P11" s="303"/>
      <c r="Q11" s="167"/>
    </row>
    <row r="12" spans="1:17" ht="17.25" customHeight="1">
      <c r="A12" s="168"/>
      <c r="B12" s="156"/>
      <c r="C12" s="219"/>
      <c r="D12" s="156"/>
      <c r="E12" s="219"/>
      <c r="F12" s="219"/>
      <c r="G12" s="302"/>
      <c r="H12" s="302"/>
      <c r="I12" s="156"/>
      <c r="J12" s="156"/>
      <c r="K12" s="219"/>
      <c r="L12" s="219"/>
      <c r="M12" s="219"/>
      <c r="N12" s="219"/>
      <c r="O12" s="303"/>
      <c r="P12" s="303"/>
      <c r="Q12" s="167"/>
    </row>
    <row r="13" spans="1:17" ht="17.25" customHeight="1">
      <c r="A13" s="168"/>
      <c r="B13" s="156"/>
      <c r="C13" s="1715" t="s">
        <v>226</v>
      </c>
      <c r="D13" s="1715"/>
      <c r="E13" s="1715"/>
      <c r="F13" s="1715"/>
      <c r="G13" s="304">
        <f>SUM(G14:G24)</f>
        <v>42104978.82</v>
      </c>
      <c r="H13" s="304">
        <f>SUM(H14:H24)</f>
        <v>139223520.72</v>
      </c>
      <c r="I13" s="156"/>
      <c r="J13" s="156"/>
      <c r="K13" s="1715" t="s">
        <v>226</v>
      </c>
      <c r="L13" s="1715"/>
      <c r="M13" s="1715"/>
      <c r="N13" s="1715"/>
      <c r="O13" s="304">
        <f>SUM(O14:O16)</f>
        <v>1372466.9200000018</v>
      </c>
      <c r="P13" s="304">
        <f>SUM(P14:P16)</f>
        <v>4591991.4999999963</v>
      </c>
      <c r="Q13" s="167"/>
    </row>
    <row r="14" spans="1:17" ht="15" customHeight="1">
      <c r="A14" s="168"/>
      <c r="B14" s="156"/>
      <c r="C14" s="219"/>
      <c r="D14" s="1717" t="s">
        <v>619</v>
      </c>
      <c r="E14" s="1717"/>
      <c r="F14" s="1717"/>
      <c r="G14" s="305">
        <v>0</v>
      </c>
      <c r="H14" s="305">
        <v>0</v>
      </c>
      <c r="I14" s="156"/>
      <c r="J14" s="156"/>
      <c r="L14" s="1716" t="s">
        <v>698</v>
      </c>
      <c r="M14" s="1716"/>
      <c r="N14" s="1716"/>
      <c r="O14" s="305">
        <f>+ECSF!D29</f>
        <v>0</v>
      </c>
      <c r="P14" s="305">
        <v>0</v>
      </c>
      <c r="Q14" s="167"/>
    </row>
    <row r="15" spans="1:17" ht="15" customHeight="1">
      <c r="A15" s="168"/>
      <c r="B15" s="156"/>
      <c r="C15" s="219"/>
      <c r="D15" s="1717" t="s">
        <v>770</v>
      </c>
      <c r="E15" s="1717"/>
      <c r="F15" s="1717"/>
      <c r="G15" s="305"/>
      <c r="H15" s="305"/>
      <c r="I15" s="156"/>
      <c r="J15" s="156"/>
      <c r="L15" s="1716" t="s">
        <v>700</v>
      </c>
      <c r="M15" s="1716"/>
      <c r="N15" s="1716"/>
      <c r="O15" s="305">
        <f>+ECSF!D30</f>
        <v>0</v>
      </c>
      <c r="P15" s="305">
        <v>0</v>
      </c>
      <c r="Q15" s="167"/>
    </row>
    <row r="16" spans="1:17" ht="15" customHeight="1">
      <c r="A16" s="168"/>
      <c r="B16" s="156"/>
      <c r="C16" s="306"/>
      <c r="D16" s="1717" t="s">
        <v>771</v>
      </c>
      <c r="E16" s="1717"/>
      <c r="F16" s="1717"/>
      <c r="G16" s="305">
        <v>0</v>
      </c>
      <c r="H16" s="305">
        <v>0</v>
      </c>
      <c r="I16" s="156"/>
      <c r="J16" s="156"/>
      <c r="K16" s="302"/>
      <c r="L16" s="1716" t="s">
        <v>772</v>
      </c>
      <c r="M16" s="1716"/>
      <c r="N16" s="1716"/>
      <c r="O16" s="305">
        <f>+ECSF!D25-O14-O15</f>
        <v>1372466.9200000018</v>
      </c>
      <c r="P16" s="305">
        <v>4591991.4999999963</v>
      </c>
      <c r="Q16" s="167"/>
    </row>
    <row r="17" spans="1:17" ht="15" customHeight="1">
      <c r="A17" s="168"/>
      <c r="B17" s="156"/>
      <c r="C17" s="306"/>
      <c r="D17" s="1717" t="s">
        <v>623</v>
      </c>
      <c r="E17" s="1717"/>
      <c r="F17" s="1717"/>
      <c r="G17" s="305">
        <v>0</v>
      </c>
      <c r="H17" s="305">
        <v>0</v>
      </c>
      <c r="I17" s="156"/>
      <c r="J17" s="156"/>
      <c r="K17" s="302"/>
      <c r="Q17" s="167"/>
    </row>
    <row r="18" spans="1:17" ht="15" customHeight="1">
      <c r="A18" s="168"/>
      <c r="B18" s="156"/>
      <c r="C18" s="306"/>
      <c r="D18" s="1717" t="s">
        <v>624</v>
      </c>
      <c r="E18" s="1717"/>
      <c r="F18" s="1717"/>
      <c r="G18" s="305">
        <v>0</v>
      </c>
      <c r="H18" s="305">
        <v>0</v>
      </c>
      <c r="I18" s="156"/>
      <c r="J18" s="156"/>
      <c r="K18" s="307" t="s">
        <v>227</v>
      </c>
      <c r="L18" s="307"/>
      <c r="M18" s="307"/>
      <c r="N18" s="307"/>
      <c r="O18" s="304">
        <f>SUM(O19:O21)</f>
        <v>32657411.110000089</v>
      </c>
      <c r="P18" s="304">
        <f>SUM(P19:P21)</f>
        <v>89478327.299999967</v>
      </c>
      <c r="Q18" s="167"/>
    </row>
    <row r="19" spans="1:17" ht="15" customHeight="1">
      <c r="A19" s="168"/>
      <c r="B19" s="156"/>
      <c r="C19" s="306"/>
      <c r="D19" s="1717" t="s">
        <v>626</v>
      </c>
      <c r="E19" s="1717"/>
      <c r="F19" s="1717"/>
      <c r="G19" s="305">
        <v>0</v>
      </c>
      <c r="H19" s="305">
        <v>0</v>
      </c>
      <c r="I19" s="156"/>
      <c r="J19" s="156"/>
      <c r="K19" s="302"/>
      <c r="L19" s="306" t="s">
        <v>698</v>
      </c>
      <c r="M19" s="306"/>
      <c r="N19" s="306"/>
      <c r="O19" s="305">
        <f>+ECSF!E29</f>
        <v>32618406.780000091</v>
      </c>
      <c r="P19" s="305">
        <v>83329154.029999971</v>
      </c>
      <c r="Q19" s="167"/>
    </row>
    <row r="20" spans="1:17" ht="15" customHeight="1">
      <c r="A20" s="168"/>
      <c r="B20" s="156"/>
      <c r="C20" s="306"/>
      <c r="D20" s="1717" t="s">
        <v>628</v>
      </c>
      <c r="E20" s="1717"/>
      <c r="F20" s="1717"/>
      <c r="G20" s="305">
        <f>+EA!D18</f>
        <v>27770619.809999999</v>
      </c>
      <c r="H20" s="305">
        <v>91363023.789999992</v>
      </c>
      <c r="I20" s="156"/>
      <c r="J20" s="156"/>
      <c r="K20" s="302"/>
      <c r="L20" s="1716" t="s">
        <v>700</v>
      </c>
      <c r="M20" s="1716"/>
      <c r="N20" s="1716"/>
      <c r="O20" s="305">
        <f>+ECSF!E30</f>
        <v>39004.330000000075</v>
      </c>
      <c r="P20" s="305">
        <v>3269173.2699999996</v>
      </c>
      <c r="Q20" s="167"/>
    </row>
    <row r="21" spans="1:17" ht="28.5" customHeight="1">
      <c r="A21" s="168"/>
      <c r="B21" s="156"/>
      <c r="C21" s="306"/>
      <c r="D21" s="1717" t="s">
        <v>630</v>
      </c>
      <c r="E21" s="1717"/>
      <c r="F21" s="1717"/>
      <c r="G21" s="305">
        <v>0</v>
      </c>
      <c r="H21" s="305">
        <v>0</v>
      </c>
      <c r="I21" s="156"/>
      <c r="J21" s="156"/>
      <c r="L21" s="1716" t="s">
        <v>773</v>
      </c>
      <c r="M21" s="1716"/>
      <c r="N21" s="1716"/>
      <c r="O21" s="305">
        <f>+ECSF!E25-O19-O20</f>
        <v>-1.862645149230957E-9</v>
      </c>
      <c r="P21" s="305">
        <v>2879999.9999999963</v>
      </c>
      <c r="Q21" s="167"/>
    </row>
    <row r="22" spans="1:17" ht="15" customHeight="1">
      <c r="A22" s="168"/>
      <c r="B22" s="156"/>
      <c r="C22" s="306"/>
      <c r="D22" s="1717" t="s">
        <v>635</v>
      </c>
      <c r="E22" s="1717"/>
      <c r="F22" s="1717"/>
      <c r="G22" s="305">
        <v>0</v>
      </c>
      <c r="H22" s="305">
        <v>0</v>
      </c>
      <c r="I22" s="156"/>
      <c r="J22" s="156"/>
      <c r="K22" s="1715" t="s">
        <v>774</v>
      </c>
      <c r="L22" s="1715"/>
      <c r="M22" s="1715"/>
      <c r="N22" s="1715"/>
      <c r="O22" s="304">
        <f>O13-O18</f>
        <v>-31284944.190000087</v>
      </c>
      <c r="P22" s="304">
        <f>P13-P18</f>
        <v>-84886335.799999967</v>
      </c>
      <c r="Q22" s="167"/>
    </row>
    <row r="23" spans="1:17" ht="15" customHeight="1">
      <c r="A23" s="168"/>
      <c r="B23" s="156"/>
      <c r="C23" s="306"/>
      <c r="D23" s="1717" t="s">
        <v>775</v>
      </c>
      <c r="E23" s="1717"/>
      <c r="F23" s="1717"/>
      <c r="G23" s="305">
        <f>+EA!D23</f>
        <v>0</v>
      </c>
      <c r="H23" s="305">
        <v>36623839.039999999</v>
      </c>
      <c r="I23" s="156"/>
      <c r="J23" s="156"/>
      <c r="Q23" s="167"/>
    </row>
    <row r="24" spans="1:17" ht="15" customHeight="1">
      <c r="A24" s="168"/>
      <c r="B24" s="156"/>
      <c r="C24" s="306"/>
      <c r="D24" s="1717" t="s">
        <v>776</v>
      </c>
      <c r="E24" s="1717"/>
      <c r="F24" s="248"/>
      <c r="G24" s="305">
        <f>EA!D25+SUM(ECSF!D18:D23)</f>
        <v>14334359.010000002</v>
      </c>
      <c r="H24" s="305">
        <v>11236657.890000002</v>
      </c>
      <c r="I24" s="156"/>
      <c r="Q24" s="167"/>
    </row>
    <row r="25" spans="1:17" ht="15" customHeight="1">
      <c r="A25" s="168"/>
      <c r="B25" s="156"/>
      <c r="C25" s="219"/>
      <c r="D25" s="156"/>
      <c r="E25" s="219"/>
      <c r="F25" s="219"/>
      <c r="G25" s="302"/>
      <c r="H25" s="302"/>
      <c r="I25" s="156"/>
      <c r="J25" s="1715" t="s">
        <v>777</v>
      </c>
      <c r="K25" s="1715"/>
      <c r="L25" s="1715"/>
      <c r="M25" s="1715"/>
      <c r="N25" s="1715"/>
      <c r="Q25" s="167"/>
    </row>
    <row r="26" spans="1:17" ht="15" customHeight="1">
      <c r="A26" s="168"/>
      <c r="B26" s="156"/>
      <c r="C26" s="1715" t="s">
        <v>227</v>
      </c>
      <c r="D26" s="1715"/>
      <c r="E26" s="1715"/>
      <c r="F26" s="1715"/>
      <c r="G26" s="304">
        <f>SUM(G27:G45)</f>
        <v>16960392.600000001</v>
      </c>
      <c r="H26" s="304">
        <f>SUM(H27:H45)</f>
        <v>71080689.739999995</v>
      </c>
      <c r="I26" s="156"/>
      <c r="J26" s="156"/>
      <c r="K26" s="219"/>
      <c r="L26" s="156"/>
      <c r="M26" s="248"/>
      <c r="N26" s="248"/>
      <c r="O26" s="303"/>
      <c r="P26" s="303"/>
      <c r="Q26" s="167"/>
    </row>
    <row r="27" spans="1:17" ht="15" customHeight="1">
      <c r="A27" s="168"/>
      <c r="B27" s="156"/>
      <c r="C27" s="307"/>
      <c r="D27" s="1717" t="s">
        <v>169</v>
      </c>
      <c r="E27" s="1717"/>
      <c r="F27" s="1717"/>
      <c r="G27" s="305">
        <f>EA!I12</f>
        <v>4375817.34</v>
      </c>
      <c r="H27" s="305">
        <v>14762712.049999997</v>
      </c>
      <c r="I27" s="156"/>
      <c r="J27" s="156"/>
      <c r="K27" s="307" t="s">
        <v>226</v>
      </c>
      <c r="L27" s="307"/>
      <c r="M27" s="307"/>
      <c r="N27" s="307"/>
      <c r="O27" s="304">
        <f>O28+O31</f>
        <v>1761.1800000000003</v>
      </c>
      <c r="P27" s="304">
        <f>P28+P31</f>
        <v>854119.01999999955</v>
      </c>
      <c r="Q27" s="167"/>
    </row>
    <row r="28" spans="1:17" ht="15" customHeight="1">
      <c r="A28" s="168"/>
      <c r="B28" s="156"/>
      <c r="C28" s="307"/>
      <c r="D28" s="1717" t="s">
        <v>167</v>
      </c>
      <c r="E28" s="1717"/>
      <c r="F28" s="1717"/>
      <c r="G28" s="305">
        <f>EA!I13</f>
        <v>241376.94</v>
      </c>
      <c r="H28" s="305">
        <v>858269.25</v>
      </c>
      <c r="I28" s="156"/>
      <c r="L28" s="306" t="s">
        <v>228</v>
      </c>
      <c r="M28" s="306"/>
      <c r="N28" s="306"/>
      <c r="O28" s="305">
        <f>SUM(O29:O30)</f>
        <v>0</v>
      </c>
      <c r="P28" s="305">
        <v>0</v>
      </c>
      <c r="Q28" s="167"/>
    </row>
    <row r="29" spans="1:17" ht="15" customHeight="1">
      <c r="A29" s="168"/>
      <c r="B29" s="156"/>
      <c r="C29" s="307"/>
      <c r="D29" s="1717" t="s">
        <v>168</v>
      </c>
      <c r="E29" s="1717"/>
      <c r="F29" s="1717"/>
      <c r="G29" s="305">
        <f>EA!I14</f>
        <v>10243780.559999999</v>
      </c>
      <c r="H29" s="305">
        <v>36082117.920000002</v>
      </c>
      <c r="I29" s="156"/>
      <c r="J29" s="156"/>
      <c r="K29" s="307"/>
      <c r="L29" s="306" t="s">
        <v>778</v>
      </c>
      <c r="M29" s="306"/>
      <c r="N29" s="306"/>
      <c r="O29" s="305">
        <v>0</v>
      </c>
      <c r="P29" s="305">
        <v>0</v>
      </c>
      <c r="Q29" s="167"/>
    </row>
    <row r="30" spans="1:17" ht="15" customHeight="1">
      <c r="A30" s="168"/>
      <c r="B30" s="156"/>
      <c r="C30" s="219"/>
      <c r="D30" s="156"/>
      <c r="E30" s="219"/>
      <c r="F30" s="219"/>
      <c r="G30" s="302"/>
      <c r="H30" s="302"/>
      <c r="I30" s="156"/>
      <c r="J30" s="156"/>
      <c r="K30" s="307"/>
      <c r="L30" s="306" t="s">
        <v>779</v>
      </c>
      <c r="M30" s="306"/>
      <c r="N30" s="306"/>
      <c r="O30" s="305">
        <v>0</v>
      </c>
      <c r="P30" s="305">
        <v>0</v>
      </c>
      <c r="Q30" s="167"/>
    </row>
    <row r="31" spans="1:17" ht="15" customHeight="1">
      <c r="A31" s="168"/>
      <c r="B31" s="156"/>
      <c r="C31" s="307"/>
      <c r="D31" s="1717" t="s">
        <v>627</v>
      </c>
      <c r="E31" s="1717"/>
      <c r="F31" s="1717"/>
      <c r="G31" s="305">
        <f>+EA!I17</f>
        <v>49735.63</v>
      </c>
      <c r="H31" s="305">
        <v>116363.09</v>
      </c>
      <c r="I31" s="156"/>
      <c r="J31" s="156"/>
      <c r="K31" s="307"/>
      <c r="L31" s="1716" t="s">
        <v>780</v>
      </c>
      <c r="M31" s="1716"/>
      <c r="N31" s="1716"/>
      <c r="O31" s="305">
        <f>+ECSF!I13</f>
        <v>1761.1800000000003</v>
      </c>
      <c r="P31" s="305">
        <v>854119.01999999955</v>
      </c>
      <c r="Q31" s="167"/>
    </row>
    <row r="32" spans="1:17" ht="15" customHeight="1">
      <c r="A32" s="168"/>
      <c r="B32" s="156"/>
      <c r="C32" s="307"/>
      <c r="D32" s="1717" t="s">
        <v>781</v>
      </c>
      <c r="E32" s="1717"/>
      <c r="F32" s="1717"/>
      <c r="G32" s="305">
        <v>0</v>
      </c>
      <c r="H32" s="305">
        <v>0</v>
      </c>
      <c r="I32" s="156"/>
      <c r="J32" s="156"/>
      <c r="K32" s="302"/>
      <c r="Q32" s="167"/>
    </row>
    <row r="33" spans="1:17" ht="15" customHeight="1">
      <c r="A33" s="168"/>
      <c r="B33" s="156"/>
      <c r="C33" s="307"/>
      <c r="D33" s="1717" t="s">
        <v>782</v>
      </c>
      <c r="E33" s="1717"/>
      <c r="F33" s="1717"/>
      <c r="G33" s="305">
        <f>EA!I19</f>
        <v>0</v>
      </c>
      <c r="H33" s="305">
        <v>0</v>
      </c>
      <c r="I33" s="156"/>
      <c r="J33" s="156"/>
      <c r="K33" s="307" t="s">
        <v>227</v>
      </c>
      <c r="L33" s="307"/>
      <c r="M33" s="307"/>
      <c r="N33" s="307"/>
      <c r="O33" s="304">
        <f>O34+O37</f>
        <v>1626474.13</v>
      </c>
      <c r="P33" s="304">
        <f>P34+P37</f>
        <v>0</v>
      </c>
      <c r="Q33" s="167"/>
    </row>
    <row r="34" spans="1:17" ht="15" customHeight="1">
      <c r="A34" s="168"/>
      <c r="B34" s="156"/>
      <c r="C34" s="307"/>
      <c r="D34" s="1717" t="s">
        <v>632</v>
      </c>
      <c r="E34" s="1717"/>
      <c r="F34" s="1717"/>
      <c r="G34" s="305">
        <v>0</v>
      </c>
      <c r="H34" s="305">
        <v>0</v>
      </c>
      <c r="I34" s="156"/>
      <c r="J34" s="156"/>
      <c r="L34" s="306" t="s">
        <v>229</v>
      </c>
      <c r="M34" s="306"/>
      <c r="N34" s="306"/>
      <c r="O34" s="305">
        <f>SUM(O35:O36)</f>
        <v>0</v>
      </c>
      <c r="P34" s="305">
        <v>0</v>
      </c>
      <c r="Q34" s="167"/>
    </row>
    <row r="35" spans="1:17" ht="15" customHeight="1">
      <c r="A35" s="168"/>
      <c r="B35" s="156"/>
      <c r="C35" s="307"/>
      <c r="D35" s="1717" t="s">
        <v>634</v>
      </c>
      <c r="E35" s="1717"/>
      <c r="F35" s="1717"/>
      <c r="G35" s="305">
        <f>+EA!I21</f>
        <v>109791.84</v>
      </c>
      <c r="H35" s="305">
        <v>542204.9</v>
      </c>
      <c r="I35" s="156"/>
      <c r="J35" s="156"/>
      <c r="K35" s="307"/>
      <c r="L35" s="306" t="s">
        <v>778</v>
      </c>
      <c r="M35" s="306"/>
      <c r="N35" s="306"/>
      <c r="O35" s="305">
        <v>0</v>
      </c>
      <c r="P35" s="305">
        <v>0</v>
      </c>
      <c r="Q35" s="167"/>
    </row>
    <row r="36" spans="1:17" ht="15" customHeight="1">
      <c r="A36" s="168"/>
      <c r="B36" s="156"/>
      <c r="C36" s="307"/>
      <c r="D36" s="1717" t="s">
        <v>636</v>
      </c>
      <c r="E36" s="1717"/>
      <c r="F36" s="1717"/>
      <c r="G36" s="305">
        <v>0</v>
      </c>
      <c r="H36" s="305">
        <v>0</v>
      </c>
      <c r="I36" s="156"/>
      <c r="K36" s="307"/>
      <c r="L36" s="306" t="s">
        <v>779</v>
      </c>
      <c r="M36" s="306"/>
      <c r="N36" s="306"/>
      <c r="O36" s="305">
        <v>0</v>
      </c>
      <c r="P36" s="305">
        <v>0</v>
      </c>
      <c r="Q36" s="167"/>
    </row>
    <row r="37" spans="1:17" ht="15" customHeight="1">
      <c r="A37" s="168"/>
      <c r="B37" s="156"/>
      <c r="C37" s="307"/>
      <c r="D37" s="1717" t="s">
        <v>638</v>
      </c>
      <c r="E37" s="1717"/>
      <c r="F37" s="1717"/>
      <c r="G37" s="305">
        <v>0</v>
      </c>
      <c r="H37" s="305">
        <v>0</v>
      </c>
      <c r="I37" s="156"/>
      <c r="J37" s="156"/>
      <c r="K37" s="307"/>
      <c r="L37" s="1716" t="s">
        <v>783</v>
      </c>
      <c r="M37" s="1716"/>
      <c r="N37" s="1716"/>
      <c r="O37" s="305">
        <f>+ECSF!J13</f>
        <v>1626474.13</v>
      </c>
      <c r="P37" s="305">
        <v>0</v>
      </c>
      <c r="Q37" s="167"/>
    </row>
    <row r="38" spans="1:17" ht="15" customHeight="1">
      <c r="A38" s="168"/>
      <c r="B38" s="156"/>
      <c r="C38" s="307"/>
      <c r="D38" s="1717" t="s">
        <v>639</v>
      </c>
      <c r="E38" s="1717"/>
      <c r="F38" s="1717"/>
      <c r="G38" s="305">
        <f>EA!I24</f>
        <v>0</v>
      </c>
      <c r="H38" s="305">
        <v>0</v>
      </c>
      <c r="I38" s="156"/>
      <c r="J38" s="156"/>
      <c r="K38" s="302"/>
      <c r="Q38" s="167"/>
    </row>
    <row r="39" spans="1:17" ht="15" customHeight="1">
      <c r="A39" s="168"/>
      <c r="B39" s="156"/>
      <c r="C39" s="307"/>
      <c r="D39" s="1717" t="s">
        <v>641</v>
      </c>
      <c r="E39" s="1717"/>
      <c r="F39" s="1717"/>
      <c r="G39" s="305">
        <v>0</v>
      </c>
      <c r="H39" s="305">
        <v>0</v>
      </c>
      <c r="I39" s="156"/>
      <c r="J39" s="156"/>
      <c r="K39" s="1715" t="s">
        <v>784</v>
      </c>
      <c r="L39" s="1715"/>
      <c r="M39" s="1715"/>
      <c r="N39" s="1715"/>
      <c r="O39" s="304">
        <f>O27-O33</f>
        <v>-1624712.95</v>
      </c>
      <c r="P39" s="304">
        <f>P27-P33</f>
        <v>854119.01999999955</v>
      </c>
      <c r="Q39" s="167"/>
    </row>
    <row r="40" spans="1:17" ht="15" customHeight="1">
      <c r="A40" s="168"/>
      <c r="B40" s="156"/>
      <c r="C40" s="219"/>
      <c r="D40" s="156"/>
      <c r="E40" s="219"/>
      <c r="F40" s="219"/>
      <c r="G40" s="302"/>
      <c r="H40" s="302"/>
      <c r="I40" s="156"/>
      <c r="J40" s="156"/>
      <c r="Q40" s="167"/>
    </row>
    <row r="41" spans="1:17" ht="15" customHeight="1">
      <c r="A41" s="168"/>
      <c r="B41" s="156"/>
      <c r="C41" s="307"/>
      <c r="D41" s="1717" t="s">
        <v>785</v>
      </c>
      <c r="E41" s="1717"/>
      <c r="F41" s="1717"/>
      <c r="G41" s="305">
        <v>0</v>
      </c>
      <c r="H41" s="305">
        <v>0</v>
      </c>
      <c r="I41" s="156"/>
      <c r="J41" s="156"/>
      <c r="Q41" s="167"/>
    </row>
    <row r="42" spans="1:17" ht="15" customHeight="1">
      <c r="A42" s="168"/>
      <c r="B42" s="156"/>
      <c r="C42" s="307"/>
      <c r="D42" s="1717" t="s">
        <v>762</v>
      </c>
      <c r="E42" s="1717"/>
      <c r="F42" s="1717"/>
      <c r="G42" s="305">
        <v>0</v>
      </c>
      <c r="H42" s="305">
        <v>0</v>
      </c>
      <c r="I42" s="156"/>
      <c r="J42" s="1718" t="s">
        <v>786</v>
      </c>
      <c r="K42" s="1718"/>
      <c r="L42" s="1718"/>
      <c r="M42" s="1718"/>
      <c r="N42" s="1718"/>
      <c r="O42" s="308">
        <f>G47+O22+O39</f>
        <v>-7765070.9200000884</v>
      </c>
      <c r="P42" s="308">
        <f>H47+P22+P39</f>
        <v>-15889385.799999963</v>
      </c>
      <c r="Q42" s="167"/>
    </row>
    <row r="43" spans="1:17" ht="15" customHeight="1">
      <c r="A43" s="168"/>
      <c r="B43" s="156"/>
      <c r="C43" s="307"/>
      <c r="D43" s="1717" t="s">
        <v>649</v>
      </c>
      <c r="E43" s="1717"/>
      <c r="F43" s="1717"/>
      <c r="G43" s="305">
        <v>0</v>
      </c>
      <c r="H43" s="305">
        <v>0</v>
      </c>
      <c r="I43" s="156"/>
      <c r="Q43" s="167"/>
    </row>
    <row r="44" spans="1:17" ht="15" customHeight="1">
      <c r="A44" s="168"/>
      <c r="B44" s="156"/>
      <c r="C44" s="302"/>
      <c r="D44" s="302"/>
      <c r="E44" s="302"/>
      <c r="F44" s="302"/>
      <c r="G44" s="302"/>
      <c r="H44" s="302"/>
      <c r="I44" s="156"/>
      <c r="Q44" s="167"/>
    </row>
    <row r="45" spans="1:17" ht="15" customHeight="1">
      <c r="A45" s="168"/>
      <c r="B45" s="156"/>
      <c r="C45" s="307"/>
      <c r="D45" s="1717" t="s">
        <v>787</v>
      </c>
      <c r="E45" s="1717"/>
      <c r="F45" s="1717"/>
      <c r="G45" s="305">
        <f>EA!I39+SUM(ECSF!E18:E23)-EVHP!F42</f>
        <v>1939890.29</v>
      </c>
      <c r="H45" s="305">
        <v>18719022.529999997</v>
      </c>
      <c r="I45" s="156"/>
      <c r="Q45" s="167"/>
    </row>
    <row r="46" spans="1:17">
      <c r="A46" s="168"/>
      <c r="B46" s="156"/>
      <c r="C46" s="219"/>
      <c r="D46" s="156"/>
      <c r="E46" s="219"/>
      <c r="F46" s="219"/>
      <c r="G46" s="302"/>
      <c r="H46" s="302"/>
      <c r="I46" s="156"/>
      <c r="J46" s="1718" t="s">
        <v>788</v>
      </c>
      <c r="K46" s="1718"/>
      <c r="L46" s="1718"/>
      <c r="M46" s="1718"/>
      <c r="N46" s="1718"/>
      <c r="O46" s="308">
        <f>+P47</f>
        <v>192432922.05999997</v>
      </c>
      <c r="P46" s="308">
        <v>208322307.85999992</v>
      </c>
      <c r="Q46" s="167"/>
    </row>
    <row r="47" spans="1:17" s="312" customFormat="1">
      <c r="A47" s="309"/>
      <c r="B47" s="310"/>
      <c r="C47" s="1715" t="s">
        <v>789</v>
      </c>
      <c r="D47" s="1715"/>
      <c r="E47" s="1715"/>
      <c r="F47" s="1715"/>
      <c r="G47" s="308">
        <f>G13-G26</f>
        <v>25144586.219999999</v>
      </c>
      <c r="H47" s="308">
        <f>H13-H26</f>
        <v>68142830.980000004</v>
      </c>
      <c r="I47" s="310"/>
      <c r="J47" s="1718" t="s">
        <v>790</v>
      </c>
      <c r="K47" s="1718"/>
      <c r="L47" s="1718"/>
      <c r="M47" s="1718"/>
      <c r="N47" s="1718"/>
      <c r="O47" s="308">
        <f>+O46+O42</f>
        <v>184667851.1399999</v>
      </c>
      <c r="P47" s="308">
        <f>+P42+P46</f>
        <v>192432922.05999997</v>
      </c>
      <c r="Q47" s="311"/>
    </row>
    <row r="48" spans="1:17" s="312" customFormat="1">
      <c r="A48" s="309"/>
      <c r="B48" s="310"/>
      <c r="C48" s="307"/>
      <c r="D48" s="307"/>
      <c r="E48" s="307"/>
      <c r="F48" s="307"/>
      <c r="G48" s="308"/>
      <c r="H48" s="308"/>
      <c r="I48" s="310"/>
      <c r="Q48" s="311"/>
    </row>
    <row r="49" spans="1:17" ht="14.25" customHeight="1">
      <c r="A49" s="189"/>
      <c r="B49" s="190"/>
      <c r="C49" s="313"/>
      <c r="D49" s="313"/>
      <c r="E49" s="313"/>
      <c r="F49" s="313"/>
      <c r="G49" s="314"/>
      <c r="H49" s="314"/>
      <c r="I49" s="190"/>
      <c r="J49" s="196"/>
      <c r="K49" s="196"/>
      <c r="L49" s="196"/>
      <c r="M49" s="196"/>
      <c r="N49" s="196"/>
      <c r="O49" s="196"/>
      <c r="P49" s="196"/>
      <c r="Q49" s="192"/>
    </row>
    <row r="50" spans="1:17" ht="14.25" customHeight="1">
      <c r="A50" s="156"/>
      <c r="I50" s="156"/>
      <c r="J50" s="156"/>
      <c r="K50" s="302"/>
      <c r="L50" s="302"/>
      <c r="M50" s="302"/>
      <c r="N50" s="302"/>
      <c r="O50" s="303"/>
      <c r="P50" s="303"/>
    </row>
    <row r="51" spans="1:17" ht="6" customHeight="1">
      <c r="A51" s="156"/>
      <c r="I51" s="156"/>
    </row>
    <row r="52" spans="1:17" ht="15" customHeight="1">
      <c r="B52" s="170" t="s">
        <v>668</v>
      </c>
      <c r="C52" s="170"/>
      <c r="D52" s="170"/>
      <c r="E52" s="170"/>
      <c r="F52" s="170"/>
      <c r="G52" s="170"/>
      <c r="H52" s="170"/>
      <c r="I52" s="170"/>
      <c r="J52" s="170"/>
      <c r="O52" s="684"/>
    </row>
    <row r="53" spans="1:17" ht="22.5" customHeight="1">
      <c r="B53" s="170"/>
      <c r="C53" s="193"/>
      <c r="D53" s="194"/>
      <c r="E53" s="194"/>
      <c r="G53" s="195"/>
      <c r="H53" s="193"/>
      <c r="I53" s="194"/>
      <c r="J53" s="194"/>
      <c r="O53" s="290"/>
    </row>
    <row r="54" spans="1:17" ht="29.25" customHeight="1">
      <c r="B54" s="170"/>
      <c r="C54" s="193"/>
      <c r="D54" s="233"/>
      <c r="E54" s="315"/>
      <c r="F54" s="233"/>
      <c r="G54" s="233"/>
      <c r="H54" s="193"/>
      <c r="I54" s="194"/>
      <c r="J54" s="194"/>
      <c r="L54" s="153"/>
      <c r="M54" s="316"/>
      <c r="N54" s="316"/>
      <c r="O54" s="153"/>
    </row>
    <row r="55" spans="1:17" ht="14.1" customHeight="1">
      <c r="B55" s="201"/>
      <c r="D55" s="1607" t="s">
        <v>2872</v>
      </c>
      <c r="E55" s="1607"/>
      <c r="F55" s="1682"/>
      <c r="G55" s="1682"/>
      <c r="H55" s="157"/>
      <c r="I55" s="171"/>
      <c r="L55" s="1682" t="s">
        <v>758</v>
      </c>
      <c r="M55" s="1607"/>
      <c r="N55" s="1607"/>
      <c r="O55" s="1682"/>
    </row>
    <row r="56" spans="1:17" ht="14.1" customHeight="1">
      <c r="B56" s="203"/>
      <c r="D56" s="1602" t="s">
        <v>1769</v>
      </c>
      <c r="E56" s="1602"/>
      <c r="F56" s="1602"/>
      <c r="G56" s="1602"/>
      <c r="H56" s="157"/>
      <c r="I56" s="171"/>
      <c r="L56" s="1602" t="s">
        <v>670</v>
      </c>
      <c r="M56" s="1602"/>
      <c r="N56" s="1602"/>
      <c r="O56" s="1602"/>
    </row>
    <row r="69" spans="14:15">
      <c r="N69" s="449" t="s">
        <v>955</v>
      </c>
      <c r="O69" s="448">
        <f>+O47-ESF!D17</f>
        <v>0.64999988675117493</v>
      </c>
    </row>
  </sheetData>
  <sheetProtection formatCells="0" selectLockedCells="1"/>
  <mergeCells count="58">
    <mergeCell ref="L56:O56"/>
    <mergeCell ref="D43:F43"/>
    <mergeCell ref="D45:F45"/>
    <mergeCell ref="J46:N46"/>
    <mergeCell ref="C47:F47"/>
    <mergeCell ref="J47:N47"/>
    <mergeCell ref="L55:O55"/>
    <mergeCell ref="D55:E55"/>
    <mergeCell ref="F55:G55"/>
    <mergeCell ref="D56:E56"/>
    <mergeCell ref="F56:G56"/>
    <mergeCell ref="D38:F38"/>
    <mergeCell ref="D39:F39"/>
    <mergeCell ref="K39:N39"/>
    <mergeCell ref="D41:F41"/>
    <mergeCell ref="D42:F42"/>
    <mergeCell ref="J42:N42"/>
    <mergeCell ref="K22:N22"/>
    <mergeCell ref="D23:F23"/>
    <mergeCell ref="D24:E24"/>
    <mergeCell ref="J25:N25"/>
    <mergeCell ref="L37:N37"/>
    <mergeCell ref="D27:F27"/>
    <mergeCell ref="D28:F28"/>
    <mergeCell ref="D29:F29"/>
    <mergeCell ref="D31:F31"/>
    <mergeCell ref="L31:N31"/>
    <mergeCell ref="D32:F32"/>
    <mergeCell ref="D33:F33"/>
    <mergeCell ref="D34:F34"/>
    <mergeCell ref="D35:F35"/>
    <mergeCell ref="D36:F36"/>
    <mergeCell ref="D37:F37"/>
    <mergeCell ref="C26:F26"/>
    <mergeCell ref="D17:F17"/>
    <mergeCell ref="D18:F18"/>
    <mergeCell ref="D19:F19"/>
    <mergeCell ref="D20:F20"/>
    <mergeCell ref="D22:F22"/>
    <mergeCell ref="D21:F21"/>
    <mergeCell ref="L21:N21"/>
    <mergeCell ref="D14:F14"/>
    <mergeCell ref="L14:N14"/>
    <mergeCell ref="D15:F15"/>
    <mergeCell ref="L15:N15"/>
    <mergeCell ref="D16:F16"/>
    <mergeCell ref="L16:N16"/>
    <mergeCell ref="B11:F11"/>
    <mergeCell ref="J11:N11"/>
    <mergeCell ref="C13:F13"/>
    <mergeCell ref="K13:N13"/>
    <mergeCell ref="L20:N20"/>
    <mergeCell ref="E1:O1"/>
    <mergeCell ref="E2:O2"/>
    <mergeCell ref="E3:O3"/>
    <mergeCell ref="E4:O4"/>
    <mergeCell ref="B8:E8"/>
    <mergeCell ref="J8:M8"/>
  </mergeCells>
  <printOptions verticalCentered="1"/>
  <pageMargins left="0.32" right="0.25" top="0" bottom="0" header="0" footer="0"/>
  <pageSetup scale="62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976C90-18F0-4F76-AC9E-E3E4CEB88B26}">
  <sheetPr>
    <pageSetUpPr fitToPage="1"/>
  </sheetPr>
  <dimension ref="A1:I81"/>
  <sheetViews>
    <sheetView topLeftCell="A52" workbookViewId="0">
      <selection activeCell="D19" sqref="D19"/>
    </sheetView>
  </sheetViews>
  <sheetFormatPr baseColWidth="10" defaultColWidth="11.42578125" defaultRowHeight="12"/>
  <cols>
    <col min="1" max="1" width="2.7109375" style="964" customWidth="1"/>
    <col min="2" max="2" width="66.28515625" style="964" customWidth="1"/>
    <col min="3" max="4" width="27.5703125" style="964" customWidth="1"/>
    <col min="5" max="5" width="11.42578125" style="964"/>
    <col min="6" max="6" width="12.85546875" style="964" bestFit="1" customWidth="1"/>
    <col min="7" max="16384" width="11.42578125" style="964"/>
  </cols>
  <sheetData>
    <row r="1" spans="1:9" ht="12.75" thickBot="1">
      <c r="A1" s="926"/>
      <c r="B1" s="926"/>
      <c r="C1" s="926"/>
      <c r="D1" s="926"/>
      <c r="E1" s="926"/>
      <c r="F1" s="926"/>
      <c r="G1" s="926"/>
      <c r="H1" s="926"/>
      <c r="I1" s="926"/>
    </row>
    <row r="2" spans="1:9">
      <c r="A2" s="926"/>
      <c r="B2" s="1725" t="str">
        <f>+'2 esf sif'!B2:H2</f>
        <v>PROMOTORA PARA EL DESARROLLO ECONÓMICO DE CHIHUAHUA</v>
      </c>
      <c r="C2" s="1726"/>
      <c r="D2" s="1727"/>
      <c r="E2" s="926"/>
      <c r="F2" s="926"/>
      <c r="G2" s="926"/>
      <c r="H2" s="926"/>
      <c r="I2" s="926"/>
    </row>
    <row r="3" spans="1:9">
      <c r="A3" s="926"/>
      <c r="B3" s="1728" t="s">
        <v>767</v>
      </c>
      <c r="C3" s="1729"/>
      <c r="D3" s="1730"/>
      <c r="E3" s="926"/>
      <c r="F3" s="926"/>
      <c r="G3" s="926"/>
      <c r="H3" s="926"/>
      <c r="I3" s="926"/>
    </row>
    <row r="4" spans="1:9" ht="12.75" thickBot="1">
      <c r="A4" s="926"/>
      <c r="B4" s="1731"/>
      <c r="C4" s="1732"/>
      <c r="D4" s="1733"/>
      <c r="E4" s="926"/>
      <c r="F4" s="926"/>
      <c r="G4" s="926"/>
      <c r="H4" s="926"/>
      <c r="I4" s="926"/>
    </row>
    <row r="5" spans="1:9" ht="12.75" thickBot="1">
      <c r="A5" s="926"/>
      <c r="B5" s="965"/>
      <c r="C5" s="966" t="s">
        <v>5933</v>
      </c>
      <c r="D5" s="967" t="s">
        <v>4880</v>
      </c>
      <c r="E5" s="926"/>
      <c r="F5" s="926"/>
      <c r="G5" s="926"/>
      <c r="H5" s="926"/>
      <c r="I5" s="926"/>
    </row>
    <row r="6" spans="1:9">
      <c r="A6" s="926"/>
      <c r="B6" s="1719"/>
      <c r="C6" s="1720"/>
      <c r="D6" s="1721"/>
      <c r="E6" s="926"/>
      <c r="F6" s="926"/>
      <c r="G6" s="926"/>
      <c r="H6" s="926"/>
      <c r="I6" s="926"/>
    </row>
    <row r="7" spans="1:9">
      <c r="A7" s="926"/>
      <c r="B7" s="835" t="s">
        <v>4915</v>
      </c>
      <c r="C7" s="862"/>
      <c r="D7" s="968"/>
      <c r="E7" s="926"/>
      <c r="F7" s="926"/>
      <c r="G7" s="926"/>
      <c r="H7" s="926"/>
      <c r="I7" s="926"/>
    </row>
    <row r="8" spans="1:9" ht="19.5" customHeight="1">
      <c r="A8" s="926"/>
      <c r="B8" s="969" t="s">
        <v>226</v>
      </c>
      <c r="C8" s="970">
        <f>SUM(C9:C18)</f>
        <v>42104978.82</v>
      </c>
      <c r="D8" s="971">
        <f>SUM(D9:D18)</f>
        <v>139223520.72</v>
      </c>
      <c r="E8" s="926"/>
      <c r="F8" s="926"/>
      <c r="G8" s="926"/>
      <c r="H8" s="926"/>
      <c r="I8" s="926"/>
    </row>
    <row r="9" spans="1:9">
      <c r="A9" s="926"/>
      <c r="B9" s="972" t="s">
        <v>619</v>
      </c>
      <c r="C9" s="973">
        <v>0</v>
      </c>
      <c r="D9" s="974">
        <v>0</v>
      </c>
      <c r="E9" s="926"/>
      <c r="F9" s="926"/>
      <c r="G9" s="926"/>
      <c r="H9" s="926"/>
      <c r="I9" s="926"/>
    </row>
    <row r="10" spans="1:9">
      <c r="A10" s="926"/>
      <c r="B10" s="972" t="s">
        <v>770</v>
      </c>
      <c r="C10" s="973">
        <v>0</v>
      </c>
      <c r="D10" s="974">
        <v>0</v>
      </c>
      <c r="E10" s="926"/>
      <c r="F10" s="926"/>
      <c r="G10" s="926"/>
      <c r="H10" s="926"/>
      <c r="I10" s="926"/>
    </row>
    <row r="11" spans="1:9">
      <c r="A11" s="926"/>
      <c r="B11" s="972" t="s">
        <v>622</v>
      </c>
      <c r="C11" s="973">
        <v>0</v>
      </c>
      <c r="D11" s="974">
        <v>0</v>
      </c>
      <c r="E11" s="926"/>
      <c r="F11" s="926"/>
      <c r="G11" s="926"/>
      <c r="H11" s="926"/>
      <c r="I11" s="926"/>
    </row>
    <row r="12" spans="1:9">
      <c r="A12" s="926"/>
      <c r="B12" s="972" t="s">
        <v>623</v>
      </c>
      <c r="C12" s="973">
        <v>0</v>
      </c>
      <c r="D12" s="974">
        <v>0</v>
      </c>
      <c r="E12" s="926"/>
      <c r="F12" s="926"/>
      <c r="G12" s="926"/>
      <c r="H12" s="926"/>
      <c r="I12" s="926"/>
    </row>
    <row r="13" spans="1:9">
      <c r="A13" s="926"/>
      <c r="B13" s="972" t="s">
        <v>805</v>
      </c>
      <c r="C13" s="973">
        <v>0</v>
      </c>
      <c r="D13" s="974">
        <v>0</v>
      </c>
      <c r="E13" s="926"/>
      <c r="F13" s="926"/>
      <c r="G13" s="926"/>
      <c r="H13" s="926"/>
      <c r="I13" s="926"/>
    </row>
    <row r="14" spans="1:9">
      <c r="A14" s="926"/>
      <c r="B14" s="972" t="s">
        <v>808</v>
      </c>
      <c r="C14" s="973">
        <v>0</v>
      </c>
      <c r="D14" s="974">
        <v>0</v>
      </c>
      <c r="E14" s="926"/>
      <c r="F14" s="926"/>
      <c r="G14" s="926"/>
      <c r="H14" s="926"/>
      <c r="I14" s="926"/>
    </row>
    <row r="15" spans="1:9">
      <c r="A15" s="926"/>
      <c r="B15" s="972" t="s">
        <v>4883</v>
      </c>
      <c r="C15" s="973">
        <f>+EFE!G20</f>
        <v>27770619.809999999</v>
      </c>
      <c r="D15" s="974">
        <f>+EFE!H20</f>
        <v>91363023.789999992</v>
      </c>
      <c r="E15" s="926"/>
      <c r="F15" s="926"/>
      <c r="G15" s="926"/>
      <c r="H15" s="926"/>
      <c r="I15" s="926"/>
    </row>
    <row r="16" spans="1:9" ht="24">
      <c r="A16" s="926"/>
      <c r="B16" s="972" t="s">
        <v>4885</v>
      </c>
      <c r="C16" s="973">
        <v>0</v>
      </c>
      <c r="D16" s="974">
        <v>0</v>
      </c>
      <c r="E16" s="926"/>
      <c r="F16" s="926"/>
      <c r="G16" s="926"/>
      <c r="H16" s="926"/>
      <c r="I16" s="926"/>
    </row>
    <row r="17" spans="1:9" ht="24">
      <c r="A17" s="926"/>
      <c r="B17" s="972" t="s">
        <v>4886</v>
      </c>
      <c r="C17" s="973">
        <f>+EFE!G23</f>
        <v>0</v>
      </c>
      <c r="D17" s="974">
        <f>+EFE!H23</f>
        <v>36623839.039999999</v>
      </c>
      <c r="E17" s="926"/>
      <c r="F17" s="926"/>
      <c r="G17" s="926"/>
      <c r="H17" s="926"/>
      <c r="I17" s="926"/>
    </row>
    <row r="18" spans="1:9">
      <c r="A18" s="926"/>
      <c r="B18" s="972" t="s">
        <v>776</v>
      </c>
      <c r="C18" s="973">
        <f>+EFE!G24</f>
        <v>14334359.010000002</v>
      </c>
      <c r="D18" s="974">
        <f>+EFE!H24</f>
        <v>11236657.890000002</v>
      </c>
      <c r="E18" s="926"/>
      <c r="F18" s="926"/>
      <c r="G18" s="926"/>
      <c r="H18" s="926"/>
      <c r="I18" s="926"/>
    </row>
    <row r="19" spans="1:9" ht="19.5" customHeight="1">
      <c r="A19" s="926"/>
      <c r="B19" s="969" t="s">
        <v>227</v>
      </c>
      <c r="C19" s="970">
        <f>SUM(C20:C35)</f>
        <v>16960392.600000001</v>
      </c>
      <c r="D19" s="971">
        <f>SUM(D20:D35)</f>
        <v>71080689.739999995</v>
      </c>
      <c r="E19" s="926"/>
      <c r="F19" s="926"/>
      <c r="G19" s="926"/>
      <c r="H19" s="926"/>
      <c r="I19" s="926"/>
    </row>
    <row r="20" spans="1:9">
      <c r="A20" s="926"/>
      <c r="B20" s="972" t="s">
        <v>169</v>
      </c>
      <c r="C20" s="973">
        <f>+EFE!G27</f>
        <v>4375817.34</v>
      </c>
      <c r="D20" s="974">
        <f>+EFE!H27</f>
        <v>14762712.049999997</v>
      </c>
      <c r="E20" s="926"/>
      <c r="F20" s="926"/>
      <c r="G20" s="926"/>
      <c r="H20" s="926"/>
      <c r="I20" s="926"/>
    </row>
    <row r="21" spans="1:9">
      <c r="A21" s="926"/>
      <c r="B21" s="972" t="s">
        <v>167</v>
      </c>
      <c r="C21" s="973">
        <f>+EFE!G28</f>
        <v>241376.94</v>
      </c>
      <c r="D21" s="974">
        <f>+EFE!H28</f>
        <v>858269.25</v>
      </c>
      <c r="E21" s="926"/>
      <c r="F21" s="926"/>
      <c r="G21" s="926"/>
      <c r="H21" s="926"/>
      <c r="I21" s="926"/>
    </row>
    <row r="22" spans="1:9">
      <c r="A22" s="926"/>
      <c r="B22" s="972" t="s">
        <v>168</v>
      </c>
      <c r="C22" s="973">
        <f>+EFE!G29</f>
        <v>10243780.559999999</v>
      </c>
      <c r="D22" s="974">
        <f>+EFE!H29</f>
        <v>36082117.920000002</v>
      </c>
      <c r="E22" s="926"/>
      <c r="F22" s="975"/>
      <c r="G22" s="926"/>
      <c r="H22" s="926"/>
      <c r="I22" s="926"/>
    </row>
    <row r="23" spans="1:9">
      <c r="A23" s="926"/>
      <c r="B23" s="972" t="s">
        <v>627</v>
      </c>
      <c r="C23" s="973">
        <f>+EFE!G31</f>
        <v>49735.63</v>
      </c>
      <c r="D23" s="974">
        <f>+EFE!H31</f>
        <v>116363.09</v>
      </c>
      <c r="E23" s="926"/>
      <c r="F23" s="926"/>
      <c r="G23" s="926"/>
      <c r="H23" s="926"/>
      <c r="I23" s="926"/>
    </row>
    <row r="24" spans="1:9">
      <c r="A24" s="926"/>
      <c r="B24" s="972" t="s">
        <v>781</v>
      </c>
      <c r="C24" s="973">
        <v>0</v>
      </c>
      <c r="D24" s="974">
        <v>0</v>
      </c>
      <c r="E24" s="926"/>
      <c r="F24" s="926"/>
      <c r="G24" s="926"/>
      <c r="H24" s="926"/>
      <c r="I24" s="926"/>
    </row>
    <row r="25" spans="1:9">
      <c r="A25" s="926"/>
      <c r="B25" s="972" t="s">
        <v>782</v>
      </c>
      <c r="C25" s="973">
        <f>+EFE!G33</f>
        <v>0</v>
      </c>
      <c r="D25" s="974">
        <f>+EFE!H33</f>
        <v>0</v>
      </c>
      <c r="E25" s="926"/>
      <c r="F25" s="926"/>
      <c r="G25" s="926"/>
      <c r="H25" s="926"/>
      <c r="I25" s="926"/>
    </row>
    <row r="26" spans="1:9">
      <c r="A26" s="926"/>
      <c r="B26" s="972" t="s">
        <v>632</v>
      </c>
      <c r="C26" s="973">
        <v>0</v>
      </c>
      <c r="D26" s="974">
        <v>0</v>
      </c>
      <c r="E26" s="926"/>
      <c r="F26" s="926"/>
      <c r="G26" s="926"/>
      <c r="H26" s="926"/>
      <c r="I26" s="926"/>
    </row>
    <row r="27" spans="1:9">
      <c r="A27" s="926"/>
      <c r="B27" s="972" t="s">
        <v>634</v>
      </c>
      <c r="C27" s="973">
        <f>+EFE!G35</f>
        <v>109791.84</v>
      </c>
      <c r="D27" s="974">
        <f>+EFE!H35</f>
        <v>542204.9</v>
      </c>
      <c r="E27" s="926"/>
      <c r="F27" s="926"/>
      <c r="G27" s="926"/>
      <c r="H27" s="926"/>
      <c r="I27" s="926"/>
    </row>
    <row r="28" spans="1:9">
      <c r="A28" s="926"/>
      <c r="B28" s="972" t="s">
        <v>636</v>
      </c>
      <c r="C28" s="973">
        <v>0</v>
      </c>
      <c r="D28" s="974">
        <v>0</v>
      </c>
      <c r="E28" s="926"/>
      <c r="F28" s="926"/>
      <c r="G28" s="926"/>
      <c r="H28" s="926"/>
      <c r="I28" s="926"/>
    </row>
    <row r="29" spans="1:9">
      <c r="A29" s="926"/>
      <c r="B29" s="972" t="s">
        <v>638</v>
      </c>
      <c r="C29" s="973">
        <v>0</v>
      </c>
      <c r="D29" s="974">
        <v>0</v>
      </c>
      <c r="E29" s="926"/>
      <c r="F29" s="926"/>
      <c r="G29" s="926"/>
      <c r="H29" s="926"/>
      <c r="I29" s="926"/>
    </row>
    <row r="30" spans="1:9">
      <c r="A30" s="926"/>
      <c r="B30" s="972" t="s">
        <v>639</v>
      </c>
      <c r="C30" s="973">
        <v>0</v>
      </c>
      <c r="D30" s="974">
        <v>0</v>
      </c>
      <c r="E30" s="926"/>
      <c r="F30" s="926"/>
      <c r="G30" s="926"/>
      <c r="H30" s="926"/>
      <c r="I30" s="926"/>
    </row>
    <row r="31" spans="1:9">
      <c r="A31" s="926"/>
      <c r="B31" s="972" t="s">
        <v>641</v>
      </c>
      <c r="C31" s="973">
        <v>0</v>
      </c>
      <c r="D31" s="974">
        <v>0</v>
      </c>
      <c r="E31" s="926"/>
      <c r="F31" s="926"/>
      <c r="G31" s="926"/>
      <c r="H31" s="926"/>
      <c r="I31" s="926"/>
    </row>
    <row r="32" spans="1:9">
      <c r="A32" s="926"/>
      <c r="B32" s="972" t="s">
        <v>645</v>
      </c>
      <c r="C32" s="973">
        <v>0</v>
      </c>
      <c r="D32" s="974">
        <v>0</v>
      </c>
      <c r="E32" s="926"/>
      <c r="F32" s="926"/>
      <c r="G32" s="926"/>
      <c r="H32" s="926"/>
      <c r="I32" s="926"/>
    </row>
    <row r="33" spans="1:9">
      <c r="A33" s="926"/>
      <c r="B33" s="972" t="s">
        <v>647</v>
      </c>
      <c r="C33" s="973">
        <v>0</v>
      </c>
      <c r="D33" s="974">
        <v>0</v>
      </c>
      <c r="E33" s="926"/>
      <c r="F33" s="926"/>
      <c r="G33" s="926"/>
      <c r="H33" s="926"/>
      <c r="I33" s="926"/>
    </row>
    <row r="34" spans="1:9">
      <c r="A34" s="926"/>
      <c r="B34" s="972" t="s">
        <v>649</v>
      </c>
      <c r="C34" s="973">
        <v>0</v>
      </c>
      <c r="D34" s="974">
        <v>0</v>
      </c>
      <c r="E34" s="926"/>
      <c r="F34" s="926"/>
      <c r="G34" s="926"/>
      <c r="H34" s="926"/>
      <c r="I34" s="926"/>
    </row>
    <row r="35" spans="1:9">
      <c r="A35" s="926"/>
      <c r="B35" s="972" t="s">
        <v>787</v>
      </c>
      <c r="C35" s="973">
        <f>+EFE!G45</f>
        <v>1939890.29</v>
      </c>
      <c r="D35" s="974">
        <f>+EFE!H45</f>
        <v>18719022.529999997</v>
      </c>
      <c r="E35" s="926"/>
      <c r="F35" s="926"/>
      <c r="G35" s="926"/>
      <c r="H35" s="926"/>
      <c r="I35" s="926"/>
    </row>
    <row r="36" spans="1:9">
      <c r="A36" s="926"/>
      <c r="B36" s="976" t="s">
        <v>789</v>
      </c>
      <c r="C36" s="977">
        <f>C8-C19</f>
        <v>25144586.219999999</v>
      </c>
      <c r="D36" s="868">
        <f>SUM(D8-D19)</f>
        <v>68142830.980000004</v>
      </c>
      <c r="E36" s="926"/>
      <c r="F36" s="926"/>
      <c r="G36" s="926"/>
      <c r="H36" s="926"/>
      <c r="I36" s="926"/>
    </row>
    <row r="37" spans="1:9">
      <c r="A37" s="926"/>
      <c r="B37" s="1719"/>
      <c r="C37" s="1720"/>
      <c r="D37" s="1721"/>
      <c r="E37" s="926"/>
      <c r="F37" s="926"/>
      <c r="G37" s="926"/>
      <c r="H37" s="926"/>
      <c r="I37" s="926"/>
    </row>
    <row r="38" spans="1:9">
      <c r="A38" s="926"/>
      <c r="B38" s="835" t="s">
        <v>4916</v>
      </c>
      <c r="C38" s="862"/>
      <c r="D38" s="968"/>
      <c r="E38" s="926"/>
      <c r="F38" s="926"/>
      <c r="G38" s="926"/>
      <c r="H38" s="926"/>
      <c r="I38" s="926"/>
    </row>
    <row r="39" spans="1:9" ht="19.5" customHeight="1">
      <c r="A39" s="926"/>
      <c r="B39" s="969" t="s">
        <v>226</v>
      </c>
      <c r="C39" s="978">
        <f>SUM(C40:C42)</f>
        <v>1372466.9200000018</v>
      </c>
      <c r="D39" s="979">
        <f>SUM(D40:D42)</f>
        <v>4591991.4999999963</v>
      </c>
      <c r="E39" s="926"/>
      <c r="F39" s="926"/>
      <c r="G39" s="926"/>
      <c r="H39" s="926"/>
      <c r="I39" s="926"/>
    </row>
    <row r="40" spans="1:9">
      <c r="A40" s="926"/>
      <c r="B40" s="980" t="s">
        <v>698</v>
      </c>
      <c r="C40" s="981">
        <f>+EFE!O14</f>
        <v>0</v>
      </c>
      <c r="D40" s="982">
        <f>+EFE!P14</f>
        <v>0</v>
      </c>
      <c r="E40" s="926"/>
      <c r="F40" s="926"/>
      <c r="G40" s="926"/>
      <c r="H40" s="926"/>
      <c r="I40" s="926"/>
    </row>
    <row r="41" spans="1:9">
      <c r="A41" s="983" t="s">
        <v>4917</v>
      </c>
      <c r="B41" s="980" t="s">
        <v>700</v>
      </c>
      <c r="C41" s="981">
        <f>+EFE!O15</f>
        <v>0</v>
      </c>
      <c r="D41" s="982">
        <f>+EFE!P15</f>
        <v>0</v>
      </c>
      <c r="E41" s="926"/>
      <c r="F41" s="926"/>
      <c r="G41" s="926"/>
      <c r="H41" s="926"/>
      <c r="I41" s="926"/>
    </row>
    <row r="42" spans="1:9">
      <c r="A42" s="926"/>
      <c r="B42" s="980" t="s">
        <v>4918</v>
      </c>
      <c r="C42" s="981">
        <f>+EFE!O16</f>
        <v>1372466.9200000018</v>
      </c>
      <c r="D42" s="982">
        <f>+EFE!P16</f>
        <v>4591991.4999999963</v>
      </c>
      <c r="E42" s="926"/>
      <c r="F42" s="926"/>
      <c r="G42" s="926"/>
      <c r="H42" s="926"/>
      <c r="I42" s="926"/>
    </row>
    <row r="43" spans="1:9" ht="19.5" customHeight="1">
      <c r="A43" s="926"/>
      <c r="B43" s="969" t="s">
        <v>227</v>
      </c>
      <c r="C43" s="978">
        <f>SUM(C44:C46)</f>
        <v>32657411.110000089</v>
      </c>
      <c r="D43" s="979">
        <f>SUM(D44:D46)</f>
        <v>89478327.299999967</v>
      </c>
      <c r="E43" s="926"/>
      <c r="F43" s="926"/>
      <c r="G43" s="926"/>
      <c r="H43" s="926"/>
      <c r="I43" s="926"/>
    </row>
    <row r="44" spans="1:9">
      <c r="A44" s="926"/>
      <c r="B44" s="980" t="s">
        <v>698</v>
      </c>
      <c r="C44" s="981">
        <f>+EFE!O19</f>
        <v>32618406.780000091</v>
      </c>
      <c r="D44" s="982">
        <f>+EFE!P19</f>
        <v>83329154.029999971</v>
      </c>
      <c r="E44" s="926"/>
      <c r="F44" s="926"/>
      <c r="G44" s="926"/>
      <c r="H44" s="926"/>
      <c r="I44" s="926"/>
    </row>
    <row r="45" spans="1:9">
      <c r="A45" s="926"/>
      <c r="B45" s="980" t="s">
        <v>700</v>
      </c>
      <c r="C45" s="981">
        <f>+EFE!O20</f>
        <v>39004.330000000075</v>
      </c>
      <c r="D45" s="982">
        <f>+EFE!P20</f>
        <v>3269173.2699999996</v>
      </c>
      <c r="E45" s="926"/>
      <c r="F45" s="926"/>
      <c r="G45" s="926"/>
      <c r="H45" s="926"/>
      <c r="I45" s="926"/>
    </row>
    <row r="46" spans="1:9">
      <c r="A46" s="926"/>
      <c r="B46" s="980" t="s">
        <v>773</v>
      </c>
      <c r="C46" s="981">
        <f>+EFE!O21</f>
        <v>-1.862645149230957E-9</v>
      </c>
      <c r="D46" s="982">
        <f>+EFE!P21</f>
        <v>2879999.9999999963</v>
      </c>
      <c r="E46" s="926"/>
      <c r="F46" s="926"/>
      <c r="G46" s="926"/>
      <c r="H46" s="926"/>
      <c r="I46" s="926"/>
    </row>
    <row r="47" spans="1:9">
      <c r="A47" s="926"/>
      <c r="B47" s="976" t="s">
        <v>774</v>
      </c>
      <c r="C47" s="978">
        <f>C39-C43</f>
        <v>-31284944.190000087</v>
      </c>
      <c r="D47" s="979">
        <f>D39-D43</f>
        <v>-84886335.799999967</v>
      </c>
      <c r="E47" s="926"/>
      <c r="F47" s="926"/>
      <c r="G47" s="926"/>
      <c r="H47" s="926"/>
      <c r="I47" s="926"/>
    </row>
    <row r="48" spans="1:9">
      <c r="A48" s="926"/>
      <c r="B48" s="1719"/>
      <c r="C48" s="1720"/>
      <c r="D48" s="1721"/>
      <c r="E48" s="926"/>
      <c r="F48" s="926"/>
      <c r="G48" s="926"/>
      <c r="H48" s="926"/>
      <c r="I48" s="926"/>
    </row>
    <row r="49" spans="1:9">
      <c r="A49" s="926"/>
      <c r="B49" s="835" t="s">
        <v>777</v>
      </c>
      <c r="C49" s="862"/>
      <c r="D49" s="968"/>
      <c r="E49" s="926"/>
      <c r="F49" s="926"/>
      <c r="G49" s="926"/>
      <c r="H49" s="926"/>
      <c r="I49" s="926"/>
    </row>
    <row r="50" spans="1:9" ht="19.5" customHeight="1">
      <c r="A50" s="926"/>
      <c r="B50" s="969" t="s">
        <v>226</v>
      </c>
      <c r="C50" s="858">
        <f>SUM(C51:C54)</f>
        <v>1761.1800000000003</v>
      </c>
      <c r="D50" s="984">
        <f>SUM(D51:D54)</f>
        <v>854119.01999999955</v>
      </c>
      <c r="E50" s="926"/>
      <c r="F50" s="926"/>
      <c r="G50" s="926"/>
      <c r="H50" s="926"/>
      <c r="I50" s="926"/>
    </row>
    <row r="51" spans="1:9">
      <c r="A51" s="926"/>
      <c r="B51" s="980" t="s">
        <v>228</v>
      </c>
      <c r="C51" s="985">
        <f>SUM(C52:C53)</f>
        <v>0</v>
      </c>
      <c r="D51" s="986">
        <f>SUM(D52:D53)</f>
        <v>0</v>
      </c>
      <c r="E51" s="926"/>
      <c r="F51" s="926"/>
      <c r="G51" s="926"/>
      <c r="H51" s="926"/>
      <c r="I51" s="926"/>
    </row>
    <row r="52" spans="1:9">
      <c r="A52" s="926"/>
      <c r="B52" s="987" t="s">
        <v>4919</v>
      </c>
      <c r="C52" s="988">
        <v>0</v>
      </c>
      <c r="D52" s="989">
        <v>0</v>
      </c>
      <c r="E52" s="926"/>
      <c r="F52" s="926"/>
      <c r="G52" s="926"/>
      <c r="H52" s="926"/>
      <c r="I52" s="926"/>
    </row>
    <row r="53" spans="1:9">
      <c r="A53" s="926"/>
      <c r="B53" s="987" t="s">
        <v>4920</v>
      </c>
      <c r="C53" s="973">
        <v>0</v>
      </c>
      <c r="D53" s="974">
        <v>0</v>
      </c>
      <c r="E53" s="926"/>
      <c r="F53" s="926"/>
      <c r="G53" s="926"/>
      <c r="H53" s="926"/>
      <c r="I53" s="926"/>
    </row>
    <row r="54" spans="1:9">
      <c r="A54" s="926"/>
      <c r="B54" s="980" t="s">
        <v>780</v>
      </c>
      <c r="C54" s="973">
        <f>+EFE!O31</f>
        <v>1761.1800000000003</v>
      </c>
      <c r="D54" s="974">
        <f>+EFE!P31</f>
        <v>854119.01999999955</v>
      </c>
      <c r="E54" s="926"/>
      <c r="F54" s="926"/>
      <c r="G54" s="926"/>
      <c r="H54" s="926"/>
      <c r="I54" s="926"/>
    </row>
    <row r="55" spans="1:9">
      <c r="A55" s="926"/>
      <c r="B55" s="969" t="s">
        <v>227</v>
      </c>
      <c r="C55" s="970">
        <f>SUM(C56:C59)</f>
        <v>1626474.13</v>
      </c>
      <c r="D55" s="971">
        <f>SUM(D56:D59)</f>
        <v>0</v>
      </c>
      <c r="E55" s="926"/>
      <c r="F55" s="926"/>
      <c r="G55" s="926"/>
      <c r="H55" s="926"/>
      <c r="I55" s="926"/>
    </row>
    <row r="56" spans="1:9">
      <c r="A56" s="926"/>
      <c r="B56" s="980" t="s">
        <v>229</v>
      </c>
      <c r="C56" s="990">
        <f>SUM(C57:C58)</f>
        <v>0</v>
      </c>
      <c r="D56" s="991">
        <f>SUM(D57:D58)</f>
        <v>0</v>
      </c>
      <c r="E56" s="926"/>
      <c r="F56" s="926"/>
      <c r="G56" s="926"/>
      <c r="H56" s="926"/>
      <c r="I56" s="926"/>
    </row>
    <row r="57" spans="1:9">
      <c r="A57" s="926"/>
      <c r="B57" s="987" t="s">
        <v>4919</v>
      </c>
      <c r="C57" s="988">
        <v>0</v>
      </c>
      <c r="D57" s="989">
        <v>0</v>
      </c>
      <c r="E57" s="926"/>
      <c r="F57" s="926"/>
      <c r="G57" s="926"/>
      <c r="H57" s="926"/>
      <c r="I57" s="926"/>
    </row>
    <row r="58" spans="1:9">
      <c r="A58" s="926"/>
      <c r="B58" s="987" t="s">
        <v>4920</v>
      </c>
      <c r="C58" s="988">
        <v>0</v>
      </c>
      <c r="D58" s="989">
        <v>0</v>
      </c>
      <c r="E58" s="926"/>
      <c r="F58" s="926"/>
      <c r="G58" s="926"/>
      <c r="H58" s="926"/>
      <c r="I58" s="926"/>
    </row>
    <row r="59" spans="1:9">
      <c r="A59" s="926"/>
      <c r="B59" s="980" t="s">
        <v>783</v>
      </c>
      <c r="C59" s="988">
        <f>+EFE!O37</f>
        <v>1626474.13</v>
      </c>
      <c r="D59" s="989">
        <f>+EFE!P37</f>
        <v>0</v>
      </c>
      <c r="E59" s="926"/>
      <c r="F59" s="926"/>
      <c r="G59" s="926"/>
      <c r="H59" s="926"/>
      <c r="I59" s="926"/>
    </row>
    <row r="60" spans="1:9">
      <c r="A60" s="926"/>
      <c r="B60" s="976" t="s">
        <v>4921</v>
      </c>
      <c r="C60" s="858">
        <f>C50-C55</f>
        <v>-1624712.95</v>
      </c>
      <c r="D60" s="984">
        <f>D50-D55</f>
        <v>854119.01999999955</v>
      </c>
      <c r="E60" s="926"/>
      <c r="F60" s="926"/>
      <c r="G60" s="926"/>
      <c r="H60" s="926"/>
      <c r="I60" s="926"/>
    </row>
    <row r="61" spans="1:9">
      <c r="A61" s="926"/>
      <c r="B61" s="1719"/>
      <c r="C61" s="1720"/>
      <c r="D61" s="1721"/>
      <c r="E61" s="926"/>
      <c r="F61" s="926"/>
      <c r="G61" s="926"/>
      <c r="H61" s="926"/>
      <c r="I61" s="926"/>
    </row>
    <row r="62" spans="1:9" ht="12" customHeight="1">
      <c r="A62" s="926"/>
      <c r="B62" s="976" t="s">
        <v>4922</v>
      </c>
      <c r="C62" s="977">
        <f>SUM(C60,C47,C36)</f>
        <v>-7765070.9200000875</v>
      </c>
      <c r="D62" s="992">
        <f>SUM(D60,D47,D36)</f>
        <v>-15889385.799999967</v>
      </c>
      <c r="E62" s="926"/>
      <c r="F62" s="926"/>
      <c r="G62" s="926"/>
      <c r="H62" s="926"/>
      <c r="I62" s="926"/>
    </row>
    <row r="63" spans="1:9">
      <c r="A63" s="926"/>
      <c r="B63" s="1719"/>
      <c r="C63" s="1720"/>
      <c r="D63" s="1721"/>
      <c r="E63" s="926"/>
      <c r="F63" s="926"/>
      <c r="G63" s="926"/>
      <c r="H63" s="926"/>
      <c r="I63" s="926"/>
    </row>
    <row r="64" spans="1:9">
      <c r="A64" s="926"/>
      <c r="B64" s="976" t="s">
        <v>4923</v>
      </c>
      <c r="C64" s="993">
        <f>+EFE!O46</f>
        <v>192432922.05999997</v>
      </c>
      <c r="D64" s="994">
        <f>+EFE!P46</f>
        <v>208322307.85999992</v>
      </c>
      <c r="E64" s="926"/>
      <c r="F64" s="926"/>
      <c r="G64" s="926"/>
      <c r="H64" s="926"/>
      <c r="I64" s="926"/>
    </row>
    <row r="65" spans="1:9" ht="12" customHeight="1">
      <c r="A65" s="926"/>
      <c r="B65" s="872" t="s">
        <v>4924</v>
      </c>
      <c r="C65" s="993">
        <f>+EFE!O47</f>
        <v>184667851.1399999</v>
      </c>
      <c r="D65" s="994">
        <f>+EFE!P47</f>
        <v>192432922.05999997</v>
      </c>
      <c r="E65" s="926"/>
      <c r="F65" s="926"/>
      <c r="G65" s="926"/>
      <c r="H65" s="926"/>
      <c r="I65" s="926"/>
    </row>
    <row r="66" spans="1:9" ht="12.75" thickBot="1">
      <c r="A66" s="926"/>
      <c r="B66" s="1722"/>
      <c r="C66" s="1723"/>
      <c r="D66" s="1724"/>
      <c r="E66" s="926"/>
      <c r="F66" s="926"/>
      <c r="G66" s="926"/>
      <c r="H66" s="926"/>
      <c r="I66" s="926"/>
    </row>
    <row r="67" spans="1:9">
      <c r="A67" s="926"/>
      <c r="B67" s="926"/>
      <c r="C67" s="926"/>
      <c r="D67" s="926"/>
      <c r="E67" s="926"/>
      <c r="F67" s="926"/>
      <c r="G67" s="926"/>
      <c r="H67" s="926"/>
      <c r="I67" s="926"/>
    </row>
    <row r="68" spans="1:9" s="926" customFormat="1"/>
    <row r="69" spans="1:9" s="926" customFormat="1"/>
    <row r="70" spans="1:9" s="926" customFormat="1"/>
    <row r="71" spans="1:9" s="926" customFormat="1"/>
    <row r="72" spans="1:9" s="926" customFormat="1" ht="15">
      <c r="D72" s="900"/>
    </row>
    <row r="73" spans="1:9" s="926" customFormat="1"/>
    <row r="74" spans="1:9" s="926" customFormat="1"/>
    <row r="75" spans="1:9" s="926" customFormat="1"/>
    <row r="76" spans="1:9" s="926" customFormat="1"/>
    <row r="77" spans="1:9" s="926" customFormat="1"/>
    <row r="78" spans="1:9" s="926" customFormat="1"/>
    <row r="79" spans="1:9" s="926" customFormat="1"/>
    <row r="80" spans="1:9" s="926" customFormat="1"/>
    <row r="81" s="926" customFormat="1"/>
  </sheetData>
  <mergeCells count="9">
    <mergeCell ref="B61:D61"/>
    <mergeCell ref="B63:D63"/>
    <mergeCell ref="B66:D66"/>
    <mergeCell ref="B2:D2"/>
    <mergeCell ref="B3:D3"/>
    <mergeCell ref="B4:D4"/>
    <mergeCell ref="B6:D6"/>
    <mergeCell ref="B37:D37"/>
    <mergeCell ref="B48:D48"/>
  </mergeCells>
  <pageMargins left="0.70866141732283472" right="0.70866141732283472" top="0.74803149606299213" bottom="0.74803149606299213" header="0.31496062992125984" footer="0.31496062992125984"/>
  <pageSetup scale="73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0">
    <pageSetUpPr fitToPage="1"/>
  </sheetPr>
  <dimension ref="A1:K64"/>
  <sheetViews>
    <sheetView workbookViewId="0">
      <selection activeCell="H26" sqref="H26"/>
    </sheetView>
  </sheetViews>
  <sheetFormatPr baseColWidth="10" defaultRowHeight="11.25"/>
  <cols>
    <col min="1" max="1" width="1.140625" style="317" customWidth="1"/>
    <col min="2" max="3" width="3.7109375" style="346" customWidth="1"/>
    <col min="4" max="4" width="46.42578125" style="346" customWidth="1"/>
    <col min="5" max="8" width="15.7109375" style="346" customWidth="1"/>
    <col min="9" max="9" width="18.28515625" style="346" customWidth="1"/>
    <col min="10" max="10" width="15.7109375" style="346" customWidth="1"/>
    <col min="11" max="11" width="2" style="317" customWidth="1"/>
    <col min="12" max="16384" width="11.42578125" style="346"/>
  </cols>
  <sheetData>
    <row r="1" spans="1:10" s="317" customFormat="1"/>
    <row r="2" spans="1:10">
      <c r="B2" s="1734"/>
      <c r="C2" s="1735"/>
      <c r="D2" s="1735"/>
      <c r="E2" s="1735"/>
      <c r="F2" s="1735"/>
      <c r="G2" s="1735"/>
      <c r="H2" s="1735"/>
      <c r="I2" s="1735"/>
      <c r="J2" s="1736"/>
    </row>
    <row r="3" spans="1:10">
      <c r="B3" s="1737" t="s">
        <v>2992</v>
      </c>
      <c r="C3" s="1738"/>
      <c r="D3" s="1738"/>
      <c r="E3" s="1738"/>
      <c r="F3" s="1738"/>
      <c r="G3" s="1738"/>
      <c r="H3" s="1738"/>
      <c r="I3" s="1738"/>
      <c r="J3" s="1739"/>
    </row>
    <row r="4" spans="1:10">
      <c r="B4" s="1737" t="s">
        <v>791</v>
      </c>
      <c r="C4" s="1738"/>
      <c r="D4" s="1738"/>
      <c r="E4" s="1738"/>
      <c r="F4" s="1738"/>
      <c r="G4" s="1738"/>
      <c r="H4" s="1738"/>
      <c r="I4" s="1738"/>
      <c r="J4" s="1739"/>
    </row>
    <row r="5" spans="1:10">
      <c r="B5" s="1740" t="str">
        <f>+EA!C3</f>
        <v>Del 1 de enero al 30 de abril de 2021</v>
      </c>
      <c r="C5" s="1741"/>
      <c r="D5" s="1741"/>
      <c r="E5" s="1741"/>
      <c r="F5" s="1741"/>
      <c r="G5" s="1741"/>
      <c r="H5" s="1741"/>
      <c r="I5" s="1741"/>
      <c r="J5" s="1742"/>
    </row>
    <row r="6" spans="1:10" s="317" customFormat="1">
      <c r="A6" s="318"/>
      <c r="B6" s="318"/>
      <c r="C6" s="318"/>
      <c r="D6" s="454"/>
      <c r="F6" s="319"/>
      <c r="G6" s="319"/>
      <c r="H6" s="319"/>
      <c r="I6" s="319"/>
      <c r="J6" s="319"/>
    </row>
    <row r="7" spans="1:10" ht="12" customHeight="1">
      <c r="A7" s="318"/>
      <c r="B7" s="1743" t="s">
        <v>792</v>
      </c>
      <c r="C7" s="1743"/>
      <c r="D7" s="1743"/>
      <c r="E7" s="1743" t="s">
        <v>793</v>
      </c>
      <c r="F7" s="1743"/>
      <c r="G7" s="1743"/>
      <c r="H7" s="1743"/>
      <c r="I7" s="1743"/>
      <c r="J7" s="1744" t="s">
        <v>794</v>
      </c>
    </row>
    <row r="8" spans="1:10" ht="22.5">
      <c r="A8" s="318"/>
      <c r="B8" s="1743"/>
      <c r="C8" s="1743"/>
      <c r="D8" s="1743"/>
      <c r="E8" s="651" t="s">
        <v>795</v>
      </c>
      <c r="F8" s="652" t="s">
        <v>796</v>
      </c>
      <c r="G8" s="651" t="s">
        <v>797</v>
      </c>
      <c r="H8" s="651" t="s">
        <v>236</v>
      </c>
      <c r="I8" s="651" t="s">
        <v>798</v>
      </c>
      <c r="J8" s="1744"/>
    </row>
    <row r="9" spans="1:10" ht="12" customHeight="1">
      <c r="A9" s="318"/>
      <c r="B9" s="1743"/>
      <c r="C9" s="1743"/>
      <c r="D9" s="1743"/>
      <c r="E9" s="651" t="s">
        <v>799</v>
      </c>
      <c r="F9" s="651" t="s">
        <v>800</v>
      </c>
      <c r="G9" s="651" t="s">
        <v>801</v>
      </c>
      <c r="H9" s="651" t="s">
        <v>802</v>
      </c>
      <c r="I9" s="651" t="s">
        <v>803</v>
      </c>
      <c r="J9" s="651" t="s">
        <v>804</v>
      </c>
    </row>
    <row r="10" spans="1:10" ht="12" customHeight="1">
      <c r="A10" s="320"/>
      <c r="B10" s="321"/>
      <c r="C10" s="322"/>
      <c r="D10" s="323"/>
      <c r="E10" s="324"/>
      <c r="F10" s="325"/>
      <c r="G10" s="325"/>
      <c r="H10" s="325"/>
      <c r="I10" s="325"/>
      <c r="J10" s="325"/>
    </row>
    <row r="11" spans="1:10" ht="12" customHeight="1">
      <c r="A11" s="320"/>
      <c r="B11" s="1747" t="s">
        <v>619</v>
      </c>
      <c r="C11" s="1745"/>
      <c r="D11" s="1746"/>
      <c r="E11" s="326">
        <v>0</v>
      </c>
      <c r="F11" s="326">
        <v>0</v>
      </c>
      <c r="G11" s="326">
        <f>+E11+F11</f>
        <v>0</v>
      </c>
      <c r="H11" s="326">
        <v>0</v>
      </c>
      <c r="I11" s="326">
        <v>0</v>
      </c>
      <c r="J11" s="326">
        <f>+I11-E11</f>
        <v>0</v>
      </c>
    </row>
    <row r="12" spans="1:10" ht="12" customHeight="1">
      <c r="A12" s="320"/>
      <c r="B12" s="1747" t="s">
        <v>770</v>
      </c>
      <c r="C12" s="1745"/>
      <c r="D12" s="1746"/>
      <c r="E12" s="326">
        <v>0</v>
      </c>
      <c r="F12" s="326">
        <v>0</v>
      </c>
      <c r="G12" s="326">
        <f t="shared" ref="G12:G24" si="0">+E12+F12</f>
        <v>0</v>
      </c>
      <c r="H12" s="326">
        <v>0</v>
      </c>
      <c r="I12" s="326">
        <v>0</v>
      </c>
      <c r="J12" s="326">
        <f t="shared" ref="J12:J24" si="1">+I12-E12</f>
        <v>0</v>
      </c>
    </row>
    <row r="13" spans="1:10" ht="12" customHeight="1">
      <c r="A13" s="320"/>
      <c r="B13" s="1747" t="s">
        <v>622</v>
      </c>
      <c r="C13" s="1745"/>
      <c r="D13" s="1746"/>
      <c r="E13" s="326">
        <v>0</v>
      </c>
      <c r="F13" s="326">
        <v>0</v>
      </c>
      <c r="G13" s="326">
        <f t="shared" si="0"/>
        <v>0</v>
      </c>
      <c r="H13" s="326">
        <v>0</v>
      </c>
      <c r="I13" s="326">
        <v>0</v>
      </c>
      <c r="J13" s="326">
        <f t="shared" si="1"/>
        <v>0</v>
      </c>
    </row>
    <row r="14" spans="1:10" ht="12" customHeight="1">
      <c r="A14" s="320"/>
      <c r="B14" s="1747" t="s">
        <v>623</v>
      </c>
      <c r="C14" s="1745"/>
      <c r="D14" s="1746"/>
      <c r="E14" s="326">
        <v>0</v>
      </c>
      <c r="F14" s="326">
        <v>0</v>
      </c>
      <c r="G14" s="326">
        <f t="shared" si="0"/>
        <v>0</v>
      </c>
      <c r="H14" s="326">
        <v>0</v>
      </c>
      <c r="I14" s="326">
        <v>0</v>
      </c>
      <c r="J14" s="326">
        <f t="shared" si="1"/>
        <v>0</v>
      </c>
    </row>
    <row r="15" spans="1:10" ht="12" customHeight="1">
      <c r="A15" s="320"/>
      <c r="B15" s="1747" t="s">
        <v>805</v>
      </c>
      <c r="C15" s="1745"/>
      <c r="D15" s="1746"/>
      <c r="E15" s="326">
        <f>+E16+E17</f>
        <v>0</v>
      </c>
      <c r="F15" s="326">
        <f>+F16+F17</f>
        <v>0</v>
      </c>
      <c r="G15" s="326">
        <f>+G16+G17</f>
        <v>0</v>
      </c>
      <c r="H15" s="326">
        <f>+H16+H17</f>
        <v>0</v>
      </c>
      <c r="I15" s="326">
        <f>+I16+I17</f>
        <v>0</v>
      </c>
      <c r="J15" s="326">
        <f t="shared" si="1"/>
        <v>0</v>
      </c>
    </row>
    <row r="16" spans="1:10" ht="12" customHeight="1">
      <c r="A16" s="320"/>
      <c r="B16" s="327"/>
      <c r="C16" s="1745" t="s">
        <v>806</v>
      </c>
      <c r="D16" s="1746"/>
      <c r="E16" s="326">
        <v>0</v>
      </c>
      <c r="F16" s="326">
        <v>0</v>
      </c>
      <c r="G16" s="326">
        <f t="shared" si="0"/>
        <v>0</v>
      </c>
      <c r="H16" s="326">
        <v>0</v>
      </c>
      <c r="I16" s="326">
        <v>0</v>
      </c>
      <c r="J16" s="326">
        <f t="shared" si="1"/>
        <v>0</v>
      </c>
    </row>
    <row r="17" spans="1:10" ht="12" customHeight="1">
      <c r="A17" s="320"/>
      <c r="B17" s="327"/>
      <c r="C17" s="1745" t="s">
        <v>807</v>
      </c>
      <c r="D17" s="1746"/>
      <c r="E17" s="326">
        <v>0</v>
      </c>
      <c r="F17" s="326">
        <v>0</v>
      </c>
      <c r="G17" s="326">
        <f t="shared" si="0"/>
        <v>0</v>
      </c>
      <c r="H17" s="326">
        <v>0</v>
      </c>
      <c r="I17" s="326">
        <v>0</v>
      </c>
      <c r="J17" s="326">
        <f t="shared" si="1"/>
        <v>0</v>
      </c>
    </row>
    <row r="18" spans="1:10" ht="12" customHeight="1">
      <c r="A18" s="320"/>
      <c r="B18" s="1747" t="s">
        <v>808</v>
      </c>
      <c r="C18" s="1745"/>
      <c r="D18" s="1746"/>
      <c r="E18" s="326">
        <f>+E19+E20</f>
        <v>0</v>
      </c>
      <c r="F18" s="326">
        <f>+F19+F20</f>
        <v>0</v>
      </c>
      <c r="G18" s="326">
        <f t="shared" si="0"/>
        <v>0</v>
      </c>
      <c r="H18" s="326">
        <f>+H19+H20</f>
        <v>0</v>
      </c>
      <c r="I18" s="326">
        <f>+I19+I20</f>
        <v>0</v>
      </c>
      <c r="J18" s="326">
        <f t="shared" si="1"/>
        <v>0</v>
      </c>
    </row>
    <row r="19" spans="1:10" ht="12" customHeight="1">
      <c r="A19" s="320"/>
      <c r="B19" s="327"/>
      <c r="C19" s="1745" t="s">
        <v>806</v>
      </c>
      <c r="D19" s="1746"/>
      <c r="E19" s="326">
        <v>0</v>
      </c>
      <c r="F19" s="326">
        <v>0</v>
      </c>
      <c r="G19" s="326">
        <f t="shared" si="0"/>
        <v>0</v>
      </c>
      <c r="H19" s="326">
        <v>0</v>
      </c>
      <c r="I19" s="326">
        <v>0</v>
      </c>
      <c r="J19" s="326">
        <f t="shared" si="1"/>
        <v>0</v>
      </c>
    </row>
    <row r="20" spans="1:10" ht="12" customHeight="1">
      <c r="A20" s="320"/>
      <c r="B20" s="327"/>
      <c r="C20" s="1745" t="s">
        <v>807</v>
      </c>
      <c r="D20" s="1746"/>
      <c r="E20" s="326">
        <v>0</v>
      </c>
      <c r="F20" s="326">
        <v>0</v>
      </c>
      <c r="G20" s="326">
        <f t="shared" si="0"/>
        <v>0</v>
      </c>
      <c r="H20" s="326">
        <v>0</v>
      </c>
      <c r="I20" s="326">
        <v>0</v>
      </c>
      <c r="J20" s="326">
        <f t="shared" si="1"/>
        <v>0</v>
      </c>
    </row>
    <row r="21" spans="1:10" ht="12" customHeight="1">
      <c r="A21" s="320"/>
      <c r="B21" s="1747" t="s">
        <v>809</v>
      </c>
      <c r="C21" s="1745"/>
      <c r="D21" s="1746"/>
      <c r="E21" s="509">
        <f>+'PRESUP ORIGINAL'!P207+'PRESUP ORIGINAL'!P216+'PRESUP ORIGINAL'!P224</f>
        <v>101100153.74161573</v>
      </c>
      <c r="F21" s="328"/>
      <c r="G21" s="328">
        <f t="shared" si="0"/>
        <v>101100153.74161573</v>
      </c>
      <c r="H21" s="328">
        <f>+EA!D18</f>
        <v>27770619.809999999</v>
      </c>
      <c r="I21" s="328">
        <f>+EA!D18</f>
        <v>27770619.809999999</v>
      </c>
      <c r="J21" s="328">
        <f t="shared" si="1"/>
        <v>-73329533.931615725</v>
      </c>
    </row>
    <row r="22" spans="1:10" ht="12" customHeight="1">
      <c r="A22" s="320"/>
      <c r="B22" s="1747" t="s">
        <v>635</v>
      </c>
      <c r="C22" s="1745"/>
      <c r="D22" s="1746"/>
      <c r="E22" s="326">
        <v>0</v>
      </c>
      <c r="F22" s="326">
        <v>0</v>
      </c>
      <c r="G22" s="326">
        <f t="shared" si="0"/>
        <v>0</v>
      </c>
      <c r="H22" s="326">
        <v>0</v>
      </c>
      <c r="I22" s="326">
        <v>0</v>
      </c>
      <c r="J22" s="326">
        <f t="shared" si="1"/>
        <v>0</v>
      </c>
    </row>
    <row r="23" spans="1:10" ht="12" customHeight="1">
      <c r="A23" s="329"/>
      <c r="B23" s="1747" t="s">
        <v>810</v>
      </c>
      <c r="C23" s="1745"/>
      <c r="D23" s="1746"/>
      <c r="E23" s="326">
        <v>0</v>
      </c>
      <c r="F23" s="326">
        <v>0</v>
      </c>
      <c r="G23" s="513">
        <f t="shared" si="0"/>
        <v>0</v>
      </c>
      <c r="H23" s="514">
        <f>+G23</f>
        <v>0</v>
      </c>
      <c r="I23" s="513">
        <f>+H23</f>
        <v>0</v>
      </c>
      <c r="J23" s="513">
        <f t="shared" si="1"/>
        <v>0</v>
      </c>
    </row>
    <row r="24" spans="1:10" ht="12" customHeight="1">
      <c r="A24" s="320"/>
      <c r="B24" s="1747" t="s">
        <v>811</v>
      </c>
      <c r="C24" s="1745"/>
      <c r="D24" s="1746"/>
      <c r="E24" s="509">
        <f>+'PRESUP ORIGINAL'!P229</f>
        <v>3609721.7481223745</v>
      </c>
      <c r="F24" s="326">
        <v>0</v>
      </c>
      <c r="G24" s="328">
        <f t="shared" si="0"/>
        <v>3609721.7481223745</v>
      </c>
      <c r="H24" s="1373">
        <f>EA!D26</f>
        <v>2649306.3099999996</v>
      </c>
      <c r="I24" s="1373">
        <f>EA!D26</f>
        <v>2649306.3099999996</v>
      </c>
      <c r="J24" s="328">
        <f t="shared" si="1"/>
        <v>-960415.43812237494</v>
      </c>
    </row>
    <row r="25" spans="1:10" ht="12" customHeight="1">
      <c r="A25" s="320"/>
      <c r="B25" s="330"/>
      <c r="C25" s="331"/>
      <c r="D25" s="332"/>
      <c r="E25" s="333"/>
      <c r="F25" s="334"/>
      <c r="G25" s="334"/>
      <c r="H25" s="334"/>
      <c r="I25" s="334"/>
      <c r="J25" s="334"/>
    </row>
    <row r="26" spans="1:10" ht="12" customHeight="1">
      <c r="A26" s="318"/>
      <c r="B26" s="335"/>
      <c r="C26" s="336"/>
      <c r="D26" s="337" t="s">
        <v>87</v>
      </c>
      <c r="E26" s="328">
        <f>SUM(E11+E12+E13+E14+E15+E18+E21+E22+E23+E24)</f>
        <v>104709875.48973811</v>
      </c>
      <c r="F26" s="328">
        <f>SUM(F11+F12+F13+F14+F15+F18+F21+F22+F23+F24)</f>
        <v>0</v>
      </c>
      <c r="G26" s="328">
        <f>SUM(G11+G12+G13+G14+G15+G18+G21+G22+G23+G24)</f>
        <v>104709875.48973811</v>
      </c>
      <c r="H26" s="328">
        <f>SUM(H11+H12+H13+H14+H15+H18+H21+H22+H23+H24)</f>
        <v>30419926.119999997</v>
      </c>
      <c r="I26" s="328">
        <f>SUM(I11+I12+I13+I14+I15+I18+I21+I22+I23+I24)</f>
        <v>30419926.119999997</v>
      </c>
      <c r="J26" s="1748">
        <f>SUM(J11:J24)</f>
        <v>-74289949.369738102</v>
      </c>
    </row>
    <row r="27" spans="1:10" ht="12" customHeight="1">
      <c r="A27" s="320"/>
      <c r="B27" s="338"/>
      <c r="C27" s="338"/>
      <c r="D27" s="338"/>
      <c r="E27" s="338"/>
      <c r="F27" s="338"/>
      <c r="G27" s="338"/>
      <c r="H27" s="1750" t="s">
        <v>812</v>
      </c>
      <c r="I27" s="1751"/>
      <c r="J27" s="1749"/>
    </row>
    <row r="28" spans="1:10" ht="12" customHeight="1">
      <c r="A28" s="318"/>
      <c r="B28" s="318"/>
      <c r="C28" s="318"/>
      <c r="D28" s="318"/>
      <c r="E28" s="319"/>
      <c r="F28" s="319"/>
      <c r="G28" s="319"/>
      <c r="H28" s="319"/>
      <c r="I28" s="319"/>
      <c r="J28" s="319"/>
    </row>
    <row r="29" spans="1:10" ht="12" customHeight="1">
      <c r="A29" s="318"/>
      <c r="B29" s="1752" t="s">
        <v>813</v>
      </c>
      <c r="C29" s="1752"/>
      <c r="D29" s="1752"/>
      <c r="E29" s="1753" t="s">
        <v>793</v>
      </c>
      <c r="F29" s="1753"/>
      <c r="G29" s="1753"/>
      <c r="H29" s="1753"/>
      <c r="I29" s="1753"/>
      <c r="J29" s="1752" t="s">
        <v>794</v>
      </c>
    </row>
    <row r="30" spans="1:10" ht="22.5">
      <c r="A30" s="318"/>
      <c r="B30" s="1752"/>
      <c r="C30" s="1752"/>
      <c r="D30" s="1752"/>
      <c r="E30" s="585" t="s">
        <v>795</v>
      </c>
      <c r="F30" s="586" t="s">
        <v>796</v>
      </c>
      <c r="G30" s="585" t="s">
        <v>797</v>
      </c>
      <c r="H30" s="585" t="s">
        <v>236</v>
      </c>
      <c r="I30" s="585" t="s">
        <v>798</v>
      </c>
      <c r="J30" s="1752"/>
    </row>
    <row r="31" spans="1:10" ht="12" customHeight="1">
      <c r="A31" s="318"/>
      <c r="B31" s="1752"/>
      <c r="C31" s="1752"/>
      <c r="D31" s="1752"/>
      <c r="E31" s="585" t="s">
        <v>799</v>
      </c>
      <c r="F31" s="585" t="s">
        <v>800</v>
      </c>
      <c r="G31" s="585" t="s">
        <v>801</v>
      </c>
      <c r="H31" s="585" t="s">
        <v>802</v>
      </c>
      <c r="I31" s="585" t="s">
        <v>803</v>
      </c>
      <c r="J31" s="585" t="s">
        <v>804</v>
      </c>
    </row>
    <row r="32" spans="1:10" ht="12" customHeight="1">
      <c r="A32" s="320"/>
      <c r="B32" s="321"/>
      <c r="C32" s="322"/>
      <c r="D32" s="323"/>
      <c r="E32" s="325"/>
      <c r="F32" s="325"/>
      <c r="G32" s="325"/>
      <c r="H32" s="325"/>
      <c r="I32" s="325"/>
      <c r="J32" s="325"/>
    </row>
    <row r="33" spans="1:10" ht="12" customHeight="1">
      <c r="A33" s="320"/>
      <c r="B33" s="339" t="s">
        <v>814</v>
      </c>
      <c r="C33" s="340"/>
      <c r="D33" s="341"/>
      <c r="E33" s="342">
        <f>+E34+E35+E36+E37+E40+E43+E44</f>
        <v>0</v>
      </c>
      <c r="F33" s="342">
        <f t="shared" ref="F33:J33" si="2">+F34+F35+F36+F37+F40+F43+F44</f>
        <v>0</v>
      </c>
      <c r="G33" s="342">
        <f t="shared" si="2"/>
        <v>0</v>
      </c>
      <c r="H33" s="342">
        <f t="shared" si="2"/>
        <v>0</v>
      </c>
      <c r="I33" s="342">
        <f t="shared" si="2"/>
        <v>0</v>
      </c>
      <c r="J33" s="342">
        <f t="shared" si="2"/>
        <v>0</v>
      </c>
    </row>
    <row r="34" spans="1:10" ht="12" customHeight="1">
      <c r="A34" s="320"/>
      <c r="B34" s="327"/>
      <c r="C34" s="1745" t="s">
        <v>619</v>
      </c>
      <c r="D34" s="1746"/>
      <c r="E34" s="326">
        <v>0</v>
      </c>
      <c r="F34" s="326">
        <v>0</v>
      </c>
      <c r="G34" s="326">
        <f>+E34+F34</f>
        <v>0</v>
      </c>
      <c r="H34" s="326">
        <v>0</v>
      </c>
      <c r="I34" s="326">
        <v>0</v>
      </c>
      <c r="J34" s="326">
        <f>+I34-E34</f>
        <v>0</v>
      </c>
    </row>
    <row r="35" spans="1:10" ht="12" customHeight="1">
      <c r="A35" s="320"/>
      <c r="B35" s="327"/>
      <c r="C35" s="1745" t="s">
        <v>622</v>
      </c>
      <c r="D35" s="1746"/>
      <c r="E35" s="326">
        <v>0</v>
      </c>
      <c r="F35" s="326">
        <v>0</v>
      </c>
      <c r="G35" s="326">
        <f t="shared" ref="G35:G49" si="3">+E35+F35</f>
        <v>0</v>
      </c>
      <c r="H35" s="326">
        <v>0</v>
      </c>
      <c r="I35" s="326">
        <v>0</v>
      </c>
      <c r="J35" s="326">
        <f t="shared" ref="J35:J52" si="4">+I35-E35</f>
        <v>0</v>
      </c>
    </row>
    <row r="36" spans="1:10" ht="12" customHeight="1">
      <c r="A36" s="320"/>
      <c r="B36" s="327"/>
      <c r="C36" s="1745" t="s">
        <v>623</v>
      </c>
      <c r="D36" s="1746"/>
      <c r="E36" s="326">
        <v>0</v>
      </c>
      <c r="F36" s="326">
        <v>0</v>
      </c>
      <c r="G36" s="326">
        <f t="shared" si="3"/>
        <v>0</v>
      </c>
      <c r="H36" s="326">
        <v>0</v>
      </c>
      <c r="I36" s="326">
        <v>0</v>
      </c>
      <c r="J36" s="326">
        <f t="shared" si="4"/>
        <v>0</v>
      </c>
    </row>
    <row r="37" spans="1:10" ht="12" customHeight="1">
      <c r="A37" s="320"/>
      <c r="B37" s="327"/>
      <c r="C37" s="1745" t="s">
        <v>805</v>
      </c>
      <c r="D37" s="1746"/>
      <c r="E37" s="326">
        <f>+E38+E39</f>
        <v>0</v>
      </c>
      <c r="F37" s="326">
        <f>+F38+F39</f>
        <v>0</v>
      </c>
      <c r="G37" s="326">
        <f t="shared" si="3"/>
        <v>0</v>
      </c>
      <c r="H37" s="326">
        <f>+H38+H39</f>
        <v>0</v>
      </c>
      <c r="I37" s="326">
        <f>+I38+I39</f>
        <v>0</v>
      </c>
      <c r="J37" s="326">
        <f t="shared" si="4"/>
        <v>0</v>
      </c>
    </row>
    <row r="38" spans="1:10" ht="12" customHeight="1">
      <c r="A38" s="320"/>
      <c r="B38" s="327"/>
      <c r="C38" s="317"/>
      <c r="D38" s="343" t="s">
        <v>806</v>
      </c>
      <c r="E38" s="326">
        <v>0</v>
      </c>
      <c r="F38" s="326">
        <v>0</v>
      </c>
      <c r="G38" s="326">
        <f t="shared" si="3"/>
        <v>0</v>
      </c>
      <c r="H38" s="326">
        <v>0</v>
      </c>
      <c r="I38" s="326">
        <v>0</v>
      </c>
      <c r="J38" s="326">
        <f t="shared" si="4"/>
        <v>0</v>
      </c>
    </row>
    <row r="39" spans="1:10" ht="12" customHeight="1">
      <c r="A39" s="320"/>
      <c r="B39" s="327"/>
      <c r="C39" s="317"/>
      <c r="D39" s="343" t="s">
        <v>807</v>
      </c>
      <c r="E39" s="326">
        <v>0</v>
      </c>
      <c r="F39" s="326">
        <v>0</v>
      </c>
      <c r="G39" s="326">
        <f t="shared" si="3"/>
        <v>0</v>
      </c>
      <c r="H39" s="326">
        <v>0</v>
      </c>
      <c r="I39" s="326">
        <v>0</v>
      </c>
      <c r="J39" s="326">
        <f t="shared" si="4"/>
        <v>0</v>
      </c>
    </row>
    <row r="40" spans="1:10" ht="12" customHeight="1">
      <c r="A40" s="320"/>
      <c r="B40" s="327"/>
      <c r="C40" s="1745" t="s">
        <v>808</v>
      </c>
      <c r="D40" s="1746"/>
      <c r="E40" s="326">
        <f>+E41+E42</f>
        <v>0</v>
      </c>
      <c r="F40" s="326">
        <f>+F41+F42</f>
        <v>0</v>
      </c>
      <c r="G40" s="326">
        <f>+G41+G42</f>
        <v>0</v>
      </c>
      <c r="H40" s="326">
        <f>+H41+H42</f>
        <v>0</v>
      </c>
      <c r="I40" s="326">
        <f>+I41+I42</f>
        <v>0</v>
      </c>
      <c r="J40" s="326">
        <f t="shared" si="4"/>
        <v>0</v>
      </c>
    </row>
    <row r="41" spans="1:10" ht="12" customHeight="1">
      <c r="A41" s="320"/>
      <c r="B41" s="327"/>
      <c r="C41" s="317"/>
      <c r="D41" s="343" t="s">
        <v>806</v>
      </c>
      <c r="E41" s="326">
        <v>0</v>
      </c>
      <c r="F41" s="326">
        <v>0</v>
      </c>
      <c r="G41" s="326">
        <f t="shared" si="3"/>
        <v>0</v>
      </c>
      <c r="H41" s="326">
        <v>0</v>
      </c>
      <c r="I41" s="326">
        <v>0</v>
      </c>
      <c r="J41" s="326">
        <f t="shared" si="4"/>
        <v>0</v>
      </c>
    </row>
    <row r="42" spans="1:10" ht="12" customHeight="1">
      <c r="A42" s="320"/>
      <c r="B42" s="327"/>
      <c r="C42" s="317"/>
      <c r="D42" s="343" t="s">
        <v>807</v>
      </c>
      <c r="E42" s="326">
        <v>0</v>
      </c>
      <c r="F42" s="326">
        <v>0</v>
      </c>
      <c r="G42" s="326">
        <f t="shared" si="3"/>
        <v>0</v>
      </c>
      <c r="H42" s="326">
        <v>0</v>
      </c>
      <c r="I42" s="326">
        <v>0</v>
      </c>
      <c r="J42" s="326">
        <f t="shared" si="4"/>
        <v>0</v>
      </c>
    </row>
    <row r="43" spans="1:10" ht="12" customHeight="1">
      <c r="A43" s="320"/>
      <c r="B43" s="327"/>
      <c r="C43" s="1745" t="s">
        <v>635</v>
      </c>
      <c r="D43" s="1746"/>
      <c r="E43" s="326">
        <v>0</v>
      </c>
      <c r="F43" s="326">
        <v>0</v>
      </c>
      <c r="G43" s="326">
        <f t="shared" si="3"/>
        <v>0</v>
      </c>
      <c r="H43" s="326">
        <v>0</v>
      </c>
      <c r="I43" s="326">
        <v>0</v>
      </c>
      <c r="J43" s="326">
        <f t="shared" si="4"/>
        <v>0</v>
      </c>
    </row>
    <row r="44" spans="1:10" ht="12" customHeight="1">
      <c r="A44" s="320"/>
      <c r="B44" s="327"/>
      <c r="C44" s="1745" t="s">
        <v>810</v>
      </c>
      <c r="D44" s="1746"/>
      <c r="E44" s="326">
        <v>0</v>
      </c>
      <c r="F44" s="326">
        <v>0</v>
      </c>
      <c r="G44" s="326">
        <f t="shared" si="3"/>
        <v>0</v>
      </c>
      <c r="H44" s="326">
        <v>0</v>
      </c>
      <c r="I44" s="326">
        <v>0</v>
      </c>
      <c r="J44" s="326">
        <f t="shared" si="4"/>
        <v>0</v>
      </c>
    </row>
    <row r="45" spans="1:10" ht="12" customHeight="1">
      <c r="A45" s="320"/>
      <c r="B45" s="327"/>
      <c r="C45" s="317"/>
      <c r="D45" s="343"/>
      <c r="E45" s="326"/>
      <c r="F45" s="326"/>
      <c r="G45" s="344"/>
      <c r="H45" s="326"/>
      <c r="I45" s="326"/>
      <c r="J45" s="344"/>
    </row>
    <row r="46" spans="1:10" ht="12" customHeight="1">
      <c r="A46" s="320"/>
      <c r="B46" s="339" t="s">
        <v>815</v>
      </c>
      <c r="C46" s="340"/>
      <c r="D46" s="343"/>
      <c r="E46" s="345">
        <f>+E47+E48+E49</f>
        <v>101100153.74161573</v>
      </c>
      <c r="F46" s="345">
        <f>+F47+F48+F49</f>
        <v>0</v>
      </c>
      <c r="G46" s="345">
        <f>+G47+G48+G49</f>
        <v>101100153.74161573</v>
      </c>
      <c r="H46" s="345">
        <f>+H47+H48+H49</f>
        <v>27770619.809999999</v>
      </c>
      <c r="I46" s="345">
        <f>+I47+I48+I49</f>
        <v>27770619.809999999</v>
      </c>
      <c r="J46" s="345">
        <f t="shared" si="4"/>
        <v>-73329533.931615725</v>
      </c>
    </row>
    <row r="47" spans="1:10" ht="12" customHeight="1">
      <c r="A47" s="320"/>
      <c r="B47" s="339"/>
      <c r="C47" s="1745" t="s">
        <v>770</v>
      </c>
      <c r="D47" s="1746"/>
      <c r="E47" s="328">
        <v>0</v>
      </c>
      <c r="F47" s="328">
        <v>0</v>
      </c>
      <c r="G47" s="328">
        <f t="shared" si="3"/>
        <v>0</v>
      </c>
      <c r="H47" s="328">
        <v>0</v>
      </c>
      <c r="I47" s="328">
        <v>0</v>
      </c>
      <c r="J47" s="328">
        <f t="shared" si="4"/>
        <v>0</v>
      </c>
    </row>
    <row r="48" spans="1:10" ht="12" customHeight="1">
      <c r="A48" s="320"/>
      <c r="B48" s="327"/>
      <c r="C48" s="1745" t="s">
        <v>809</v>
      </c>
      <c r="D48" s="1746"/>
      <c r="E48" s="328">
        <f>+E21</f>
        <v>101100153.74161573</v>
      </c>
      <c r="F48" s="328">
        <f>+F21</f>
        <v>0</v>
      </c>
      <c r="G48" s="328">
        <f t="shared" si="3"/>
        <v>101100153.74161573</v>
      </c>
      <c r="H48" s="328">
        <f>+H21</f>
        <v>27770619.809999999</v>
      </c>
      <c r="I48" s="328">
        <f>+I21</f>
        <v>27770619.809999999</v>
      </c>
      <c r="J48" s="328">
        <f t="shared" si="4"/>
        <v>-73329533.931615725</v>
      </c>
    </row>
    <row r="49" spans="1:11" ht="12" customHeight="1">
      <c r="A49" s="320"/>
      <c r="B49" s="327"/>
      <c r="C49" s="1745" t="s">
        <v>810</v>
      </c>
      <c r="D49" s="1746"/>
      <c r="E49" s="328">
        <v>0</v>
      </c>
      <c r="F49" s="328">
        <f>+F23</f>
        <v>0</v>
      </c>
      <c r="G49" s="328">
        <f t="shared" si="3"/>
        <v>0</v>
      </c>
      <c r="H49" s="328">
        <f>+H23</f>
        <v>0</v>
      </c>
      <c r="I49" s="328">
        <f>+I23</f>
        <v>0</v>
      </c>
      <c r="J49" s="328">
        <f t="shared" si="4"/>
        <v>0</v>
      </c>
    </row>
    <row r="50" spans="1:11" s="351" customFormat="1" ht="12" customHeight="1">
      <c r="A50" s="318"/>
      <c r="B50" s="347"/>
      <c r="C50" s="348"/>
      <c r="D50" s="349"/>
      <c r="E50" s="350"/>
      <c r="F50" s="350"/>
      <c r="G50" s="350"/>
      <c r="H50" s="350"/>
      <c r="I50" s="350"/>
      <c r="J50" s="350"/>
      <c r="K50" s="348"/>
    </row>
    <row r="51" spans="1:11" ht="12" customHeight="1">
      <c r="A51" s="320"/>
      <c r="B51" s="339" t="s">
        <v>816</v>
      </c>
      <c r="C51" s="352"/>
      <c r="D51" s="343"/>
      <c r="E51" s="345">
        <f>+E52</f>
        <v>3609721.7481223745</v>
      </c>
      <c r="F51" s="342">
        <f>+F52</f>
        <v>0</v>
      </c>
      <c r="G51" s="345">
        <f>+G52</f>
        <v>3609721.7481223745</v>
      </c>
      <c r="H51" s="345">
        <f>+H52</f>
        <v>2649306.3099999996</v>
      </c>
      <c r="I51" s="345">
        <f>+I52</f>
        <v>2649306.3099999996</v>
      </c>
      <c r="J51" s="345">
        <f t="shared" si="4"/>
        <v>-960415.43812237494</v>
      </c>
    </row>
    <row r="52" spans="1:11" ht="12" customHeight="1">
      <c r="A52" s="320"/>
      <c r="B52" s="327"/>
      <c r="C52" s="1745" t="s">
        <v>811</v>
      </c>
      <c r="D52" s="1746"/>
      <c r="E52" s="1374">
        <f>+E24</f>
        <v>3609721.7481223745</v>
      </c>
      <c r="F52" s="326">
        <f>+F24</f>
        <v>0</v>
      </c>
      <c r="G52" s="1374">
        <f t="shared" ref="G52" si="5">+E52+F52</f>
        <v>3609721.7481223745</v>
      </c>
      <c r="H52" s="1375">
        <f>+H24</f>
        <v>2649306.3099999996</v>
      </c>
      <c r="I52" s="1375">
        <f>+I24</f>
        <v>2649306.3099999996</v>
      </c>
      <c r="J52" s="1375">
        <f t="shared" si="4"/>
        <v>-960415.43812237494</v>
      </c>
    </row>
    <row r="53" spans="1:11" ht="12" customHeight="1">
      <c r="A53" s="320"/>
      <c r="B53" s="330"/>
      <c r="C53" s="331"/>
      <c r="D53" s="332"/>
      <c r="E53" s="334"/>
      <c r="F53" s="334"/>
      <c r="G53" s="334"/>
      <c r="H53" s="334"/>
      <c r="I53" s="334"/>
      <c r="J53" s="334"/>
    </row>
    <row r="54" spans="1:11" ht="12" customHeight="1">
      <c r="A54" s="318"/>
      <c r="B54" s="335"/>
      <c r="C54" s="336"/>
      <c r="D54" s="353" t="s">
        <v>87</v>
      </c>
      <c r="E54" s="328">
        <f>+E34+E35+E36+E37+E40+E43+E44+E46+E51</f>
        <v>104709875.48973811</v>
      </c>
      <c r="F54" s="328">
        <f t="shared" ref="F54:I54" si="6">+F34+F35+F36+F37+F40+F43+F44+F46+F51</f>
        <v>0</v>
      </c>
      <c r="G54" s="328">
        <f t="shared" si="6"/>
        <v>104709875.48973811</v>
      </c>
      <c r="H54" s="328">
        <f t="shared" si="6"/>
        <v>30419926.119999997</v>
      </c>
      <c r="I54" s="328">
        <f t="shared" si="6"/>
        <v>30419926.119999997</v>
      </c>
      <c r="J54" s="1755">
        <f>+J33+J46+J51</f>
        <v>-74289949.369738102</v>
      </c>
    </row>
    <row r="55" spans="1:11">
      <c r="A55" s="320"/>
      <c r="B55" s="338"/>
      <c r="C55" s="338"/>
      <c r="D55" s="338"/>
      <c r="E55" s="338"/>
      <c r="F55" s="338"/>
      <c r="G55" s="338"/>
      <c r="H55" s="1750" t="s">
        <v>812</v>
      </c>
      <c r="I55" s="1751"/>
      <c r="J55" s="1756"/>
    </row>
    <row r="56" spans="1:11">
      <c r="A56" s="320"/>
      <c r="B56" s="1754"/>
      <c r="C56" s="1754"/>
      <c r="D56" s="1754"/>
      <c r="E56" s="1754"/>
      <c r="F56" s="1754"/>
      <c r="G56" s="1754"/>
      <c r="H56" s="1754"/>
      <c r="I56" s="1754"/>
      <c r="J56" s="1754"/>
    </row>
    <row r="57" spans="1:11">
      <c r="B57" s="317" t="s">
        <v>817</v>
      </c>
      <c r="C57" s="317"/>
      <c r="D57" s="317"/>
      <c r="E57" s="317"/>
      <c r="F57" s="317"/>
      <c r="G57" s="317"/>
      <c r="H57" s="317"/>
      <c r="I57" s="317"/>
      <c r="J57" s="317"/>
    </row>
    <row r="58" spans="1:11">
      <c r="B58" s="317"/>
      <c r="C58" s="317"/>
      <c r="D58" s="317"/>
      <c r="E58" s="317"/>
      <c r="F58" s="317"/>
      <c r="G58" s="317"/>
      <c r="H58" s="317"/>
      <c r="I58" s="317"/>
      <c r="J58" s="317"/>
    </row>
    <row r="59" spans="1:11">
      <c r="B59" s="317"/>
      <c r="C59" s="317"/>
      <c r="D59" s="317"/>
      <c r="E59" s="317"/>
      <c r="F59" s="317"/>
      <c r="G59" s="317"/>
      <c r="H59" s="317"/>
      <c r="I59" s="317"/>
      <c r="J59" s="317"/>
    </row>
    <row r="62" spans="1:11" ht="12">
      <c r="D62" s="232"/>
      <c r="E62" s="233"/>
      <c r="F62" s="194"/>
      <c r="G62" s="157"/>
      <c r="H62" s="234"/>
      <c r="I62" s="235"/>
    </row>
    <row r="63" spans="1:11" ht="12">
      <c r="D63" s="1607" t="s">
        <v>2872</v>
      </c>
      <c r="E63" s="1607"/>
      <c r="F63" s="194"/>
      <c r="G63" s="194"/>
      <c r="H63" s="1607" t="s">
        <v>669</v>
      </c>
      <c r="I63" s="1607"/>
    </row>
    <row r="64" spans="1:11" ht="12">
      <c r="D64" s="1602" t="s">
        <v>1769</v>
      </c>
      <c r="E64" s="1602"/>
      <c r="F64" s="204"/>
      <c r="G64" s="204"/>
      <c r="H64" s="1602" t="s">
        <v>670</v>
      </c>
      <c r="I64" s="1602"/>
    </row>
  </sheetData>
  <mergeCells count="44">
    <mergeCell ref="H63:I63"/>
    <mergeCell ref="D64:E64"/>
    <mergeCell ref="H64:I64"/>
    <mergeCell ref="B56:J56"/>
    <mergeCell ref="C47:D47"/>
    <mergeCell ref="C48:D48"/>
    <mergeCell ref="C49:D49"/>
    <mergeCell ref="C52:D52"/>
    <mergeCell ref="D63:E63"/>
    <mergeCell ref="J54:J55"/>
    <mergeCell ref="H55:I55"/>
    <mergeCell ref="C34:D34"/>
    <mergeCell ref="C35:D35"/>
    <mergeCell ref="C36:D36"/>
    <mergeCell ref="C37:D37"/>
    <mergeCell ref="C40:D40"/>
    <mergeCell ref="J26:J27"/>
    <mergeCell ref="H27:I27"/>
    <mergeCell ref="B29:D31"/>
    <mergeCell ref="E29:I29"/>
    <mergeCell ref="J29:J30"/>
    <mergeCell ref="C44:D44"/>
    <mergeCell ref="B22:D22"/>
    <mergeCell ref="B11:D11"/>
    <mergeCell ref="B12:D12"/>
    <mergeCell ref="B13:D13"/>
    <mergeCell ref="B14:D14"/>
    <mergeCell ref="B15:D15"/>
    <mergeCell ref="C16:D16"/>
    <mergeCell ref="C17:D17"/>
    <mergeCell ref="B18:D18"/>
    <mergeCell ref="C19:D19"/>
    <mergeCell ref="C20:D20"/>
    <mergeCell ref="B21:D21"/>
    <mergeCell ref="C43:D43"/>
    <mergeCell ref="B23:D23"/>
    <mergeCell ref="B24:D24"/>
    <mergeCell ref="B2:J2"/>
    <mergeCell ref="B3:J3"/>
    <mergeCell ref="B4:J4"/>
    <mergeCell ref="B5:J5"/>
    <mergeCell ref="B7:D9"/>
    <mergeCell ref="E7:I7"/>
    <mergeCell ref="J7:J8"/>
  </mergeCells>
  <pageMargins left="1.27" right="0.7" top="0.47" bottom="0.53" header="0.3" footer="0.3"/>
  <pageSetup scale="70" orientation="landscape" r:id="rId1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23565F-F2D6-44FC-A6E2-9E3EC8F954ED}">
  <dimension ref="B1:H141"/>
  <sheetViews>
    <sheetView workbookViewId="0">
      <selection activeCell="G17" sqref="G17"/>
    </sheetView>
  </sheetViews>
  <sheetFormatPr baseColWidth="10" defaultColWidth="11.42578125" defaultRowHeight="12"/>
  <cols>
    <col min="1" max="1" width="3.5703125" style="1" customWidth="1"/>
    <col min="2" max="2" width="69.5703125" style="1" customWidth="1"/>
    <col min="3" max="3" width="16" style="1" customWidth="1"/>
    <col min="4" max="4" width="13.5703125" style="1" customWidth="1"/>
    <col min="5" max="5" width="14.140625" style="1" customWidth="1"/>
    <col min="6" max="6" width="13.5703125" style="1" customWidth="1"/>
    <col min="7" max="7" width="13.85546875" style="1" customWidth="1"/>
    <col min="8" max="8" width="13.140625" style="1" customWidth="1"/>
    <col min="9" max="9" width="13.28515625" style="1" customWidth="1"/>
    <col min="10" max="16384" width="11.42578125" style="1"/>
  </cols>
  <sheetData>
    <row r="1" spans="2:8" ht="12" customHeight="1"/>
    <row r="2" spans="2:8">
      <c r="B2" s="1761" t="s">
        <v>2992</v>
      </c>
      <c r="C2" s="1762"/>
      <c r="D2" s="1762"/>
      <c r="E2" s="1762"/>
      <c r="F2" s="1762"/>
      <c r="G2" s="1762"/>
      <c r="H2" s="1763"/>
    </row>
    <row r="3" spans="2:8">
      <c r="B3" s="1764" t="s">
        <v>791</v>
      </c>
      <c r="C3" s="1650"/>
      <c r="D3" s="1650"/>
      <c r="E3" s="1650"/>
      <c r="F3" s="1650"/>
      <c r="G3" s="1650"/>
      <c r="H3" s="1765"/>
    </row>
    <row r="4" spans="2:8" ht="12.75" customHeight="1">
      <c r="B4" s="1766"/>
      <c r="C4" s="1767"/>
      <c r="D4" s="1767"/>
      <c r="E4" s="1767"/>
      <c r="F4" s="1767"/>
      <c r="G4" s="1767"/>
      <c r="H4" s="1768"/>
    </row>
    <row r="5" spans="2:8" ht="15.75" customHeight="1">
      <c r="B5" s="1769" t="s">
        <v>792</v>
      </c>
      <c r="C5" s="1772" t="s">
        <v>793</v>
      </c>
      <c r="D5" s="1773"/>
      <c r="E5" s="1773"/>
      <c r="F5" s="1773"/>
      <c r="G5" s="1773"/>
      <c r="H5" s="1769" t="s">
        <v>794</v>
      </c>
    </row>
    <row r="6" spans="2:8" ht="34.9" customHeight="1">
      <c r="B6" s="1770"/>
      <c r="C6" s="1039" t="s">
        <v>795</v>
      </c>
      <c r="D6" s="1040" t="s">
        <v>796</v>
      </c>
      <c r="E6" s="1039" t="s">
        <v>797</v>
      </c>
      <c r="F6" s="1039" t="s">
        <v>236</v>
      </c>
      <c r="G6" s="1039" t="s">
        <v>798</v>
      </c>
      <c r="H6" s="1771"/>
    </row>
    <row r="7" spans="2:8" ht="12.75" customHeight="1">
      <c r="B7" s="1771"/>
      <c r="C7" s="1039" t="s">
        <v>4936</v>
      </c>
      <c r="D7" s="1039" t="s">
        <v>4937</v>
      </c>
      <c r="E7" s="1039" t="s">
        <v>801</v>
      </c>
      <c r="F7" s="1039" t="s">
        <v>4938</v>
      </c>
      <c r="G7" s="1039" t="s">
        <v>4939</v>
      </c>
      <c r="H7" s="1039" t="s">
        <v>4940</v>
      </c>
    </row>
    <row r="8" spans="2:8" s="3" customFormat="1" ht="12" customHeight="1">
      <c r="B8" s="1041" t="s">
        <v>619</v>
      </c>
      <c r="C8" s="1042">
        <v>0</v>
      </c>
      <c r="D8" s="1043">
        <v>0</v>
      </c>
      <c r="E8" s="1044">
        <f t="shared" ref="E8:E18" si="0">C8+D8</f>
        <v>0</v>
      </c>
      <c r="F8" s="1043">
        <v>0</v>
      </c>
      <c r="G8" s="1045">
        <v>0</v>
      </c>
      <c r="H8" s="1046">
        <f t="shared" ref="H8:H18" si="1">G8-C8</f>
        <v>0</v>
      </c>
    </row>
    <row r="9" spans="2:8" ht="15" customHeight="1">
      <c r="B9" s="1047" t="s">
        <v>770</v>
      </c>
      <c r="C9" s="1042">
        <v>0</v>
      </c>
      <c r="D9" s="1043">
        <v>0</v>
      </c>
      <c r="E9" s="1048">
        <f t="shared" si="0"/>
        <v>0</v>
      </c>
      <c r="F9" s="1043">
        <v>0</v>
      </c>
      <c r="G9" s="1042">
        <v>0</v>
      </c>
      <c r="H9" s="1046">
        <f t="shared" si="1"/>
        <v>0</v>
      </c>
    </row>
    <row r="10" spans="2:8" ht="15" customHeight="1">
      <c r="B10" s="1047" t="s">
        <v>622</v>
      </c>
      <c r="C10" s="1042">
        <v>0</v>
      </c>
      <c r="D10" s="1043">
        <v>0</v>
      </c>
      <c r="E10" s="1048">
        <f t="shared" si="0"/>
        <v>0</v>
      </c>
      <c r="F10" s="1043">
        <v>0</v>
      </c>
      <c r="G10" s="1042">
        <v>0</v>
      </c>
      <c r="H10" s="1046">
        <f t="shared" si="1"/>
        <v>0</v>
      </c>
    </row>
    <row r="11" spans="2:8" ht="12" customHeight="1">
      <c r="B11" s="1047" t="s">
        <v>623</v>
      </c>
      <c r="C11" s="1042">
        <v>0</v>
      </c>
      <c r="D11" s="1043">
        <v>0</v>
      </c>
      <c r="E11" s="1048">
        <f t="shared" si="0"/>
        <v>0</v>
      </c>
      <c r="F11" s="1043">
        <v>0</v>
      </c>
      <c r="G11" s="1042">
        <v>0</v>
      </c>
      <c r="H11" s="1046">
        <f t="shared" si="1"/>
        <v>0</v>
      </c>
    </row>
    <row r="12" spans="2:8" ht="12" customHeight="1">
      <c r="B12" s="1047" t="s">
        <v>805</v>
      </c>
      <c r="C12" s="1042">
        <v>0</v>
      </c>
      <c r="D12" s="1043">
        <v>0</v>
      </c>
      <c r="E12" s="1048">
        <f t="shared" si="0"/>
        <v>0</v>
      </c>
      <c r="F12" s="1043">
        <v>0</v>
      </c>
      <c r="G12" s="1042">
        <v>0</v>
      </c>
      <c r="H12" s="1046">
        <f t="shared" si="1"/>
        <v>0</v>
      </c>
    </row>
    <row r="13" spans="2:8" ht="12" customHeight="1">
      <c r="B13" s="1047" t="s">
        <v>808</v>
      </c>
      <c r="C13" s="1042">
        <v>0</v>
      </c>
      <c r="D13" s="1043">
        <v>0</v>
      </c>
      <c r="E13" s="1048">
        <f t="shared" si="0"/>
        <v>0</v>
      </c>
      <c r="F13" s="1043">
        <v>0</v>
      </c>
      <c r="G13" s="1042">
        <v>0</v>
      </c>
      <c r="H13" s="1046">
        <f t="shared" si="1"/>
        <v>0</v>
      </c>
    </row>
    <row r="14" spans="2:8" ht="12" customHeight="1">
      <c r="B14" s="1047" t="s">
        <v>4941</v>
      </c>
      <c r="C14" s="1042">
        <f>+EAI!E48</f>
        <v>101100153.74161573</v>
      </c>
      <c r="D14" s="1043">
        <f>EAI!F21</f>
        <v>0</v>
      </c>
      <c r="E14" s="1048">
        <f t="shared" si="0"/>
        <v>101100153.74161573</v>
      </c>
      <c r="F14" s="1043">
        <f>+EAI!H48</f>
        <v>27770619.809999999</v>
      </c>
      <c r="G14" s="1042">
        <f>+EAI!I48</f>
        <v>27770619.809999999</v>
      </c>
      <c r="H14" s="1046">
        <f t="shared" si="1"/>
        <v>-73329533.931615725</v>
      </c>
    </row>
    <row r="15" spans="2:8" ht="24" customHeight="1">
      <c r="B15" s="1047" t="s">
        <v>4885</v>
      </c>
      <c r="C15" s="1042">
        <v>0</v>
      </c>
      <c r="D15" s="1043">
        <v>0</v>
      </c>
      <c r="E15" s="1048">
        <f t="shared" si="0"/>
        <v>0</v>
      </c>
      <c r="F15" s="1043">
        <v>0</v>
      </c>
      <c r="G15" s="1042">
        <v>0</v>
      </c>
      <c r="H15" s="1046">
        <f t="shared" si="1"/>
        <v>0</v>
      </c>
    </row>
    <row r="16" spans="2:8" ht="12" customHeight="1">
      <c r="B16" s="1047" t="s">
        <v>4886</v>
      </c>
      <c r="C16" s="1042">
        <v>0</v>
      </c>
      <c r="D16" s="1043">
        <v>0</v>
      </c>
      <c r="E16" s="1048">
        <f t="shared" si="0"/>
        <v>0</v>
      </c>
      <c r="F16" s="1043">
        <v>0</v>
      </c>
      <c r="G16" s="1042">
        <v>0</v>
      </c>
      <c r="H16" s="1046">
        <f t="shared" si="1"/>
        <v>0</v>
      </c>
    </row>
    <row r="17" spans="2:8" ht="15.75" customHeight="1">
      <c r="B17" s="1049" t="s">
        <v>811</v>
      </c>
      <c r="C17" s="1042">
        <f>EAI!E24</f>
        <v>3609721.7481223745</v>
      </c>
      <c r="D17" s="1043">
        <f>EAI!F24</f>
        <v>0</v>
      </c>
      <c r="E17" s="1050">
        <f t="shared" si="0"/>
        <v>3609721.7481223745</v>
      </c>
      <c r="F17" s="1043">
        <f>EAI!H24</f>
        <v>2649306.3099999996</v>
      </c>
      <c r="G17" s="1051">
        <f>EAI!I24</f>
        <v>2649306.3099999996</v>
      </c>
      <c r="H17" s="1046">
        <f t="shared" si="1"/>
        <v>-960415.43812237494</v>
      </c>
    </row>
    <row r="18" spans="2:8" s="3" customFormat="1" ht="36" customHeight="1">
      <c r="B18" s="1052" t="s">
        <v>87</v>
      </c>
      <c r="C18" s="1053">
        <f>SUM(C8:C17)</f>
        <v>104709875.48973811</v>
      </c>
      <c r="D18" s="1053">
        <f>SUM(D8:D17)</f>
        <v>0</v>
      </c>
      <c r="E18" s="1053">
        <f t="shared" si="0"/>
        <v>104709875.48973811</v>
      </c>
      <c r="F18" s="1053">
        <f>SUM(F8:F17)</f>
        <v>30419926.119999997</v>
      </c>
      <c r="G18" s="1053">
        <f>SUM(G8:G17)</f>
        <v>30419926.119999997</v>
      </c>
      <c r="H18" s="1757">
        <f t="shared" si="1"/>
        <v>-74289949.369738102</v>
      </c>
    </row>
    <row r="19" spans="2:8" ht="15.75" customHeight="1">
      <c r="B19" s="1054"/>
      <c r="C19" s="1055"/>
      <c r="D19" s="1055"/>
      <c r="E19" s="1055"/>
      <c r="F19" s="1759" t="s">
        <v>4942</v>
      </c>
      <c r="G19" s="1760"/>
      <c r="H19" s="1758"/>
    </row>
    <row r="20" spans="2:8" ht="15.75" customHeight="1">
      <c r="B20" s="1057"/>
      <c r="C20" s="1058"/>
      <c r="D20" s="1058"/>
      <c r="E20" s="1058"/>
      <c r="F20" s="1059"/>
      <c r="G20" s="1059"/>
      <c r="H20" s="1060"/>
    </row>
    <row r="21" spans="2:8" ht="15.75" customHeight="1">
      <c r="B21" s="1057"/>
      <c r="C21" s="1058"/>
      <c r="D21" s="1058"/>
      <c r="E21" s="1058"/>
      <c r="F21" s="1059"/>
      <c r="G21" s="1059"/>
      <c r="H21" s="1060"/>
    </row>
    <row r="22" spans="2:8" ht="15.75" customHeight="1"/>
    <row r="23" spans="2:8" ht="15.75" customHeight="1"/>
    <row r="24" spans="2:8" ht="15.75" customHeight="1"/>
    <row r="25" spans="2:8" ht="15.75" customHeight="1"/>
    <row r="26" spans="2:8" ht="15.75" customHeight="1"/>
    <row r="27" spans="2:8" ht="15.75" customHeight="1"/>
    <row r="28" spans="2:8" ht="15.75" customHeight="1"/>
    <row r="29" spans="2:8" ht="15.75" customHeight="1"/>
    <row r="30" spans="2:8" ht="15.75" customHeight="1"/>
    <row r="31" spans="2:8" ht="15.75" customHeight="1"/>
    <row r="32" spans="2:8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6" s="3" customFormat="1"/>
    <row r="92" ht="12" customHeight="1"/>
    <row r="94" ht="24" customHeight="1"/>
    <row r="96" ht="12" customHeight="1"/>
    <row r="97" ht="12" customHeight="1"/>
    <row r="98" ht="12" customHeight="1"/>
    <row r="99" ht="12" customHeight="1"/>
    <row r="100" ht="12" customHeight="1"/>
    <row r="102" ht="12" customHeight="1"/>
    <row r="103" ht="24.75" customHeight="1"/>
    <row r="104" ht="24" customHeight="1"/>
    <row r="106" ht="12" customHeight="1"/>
    <row r="141" ht="15" customHeight="1"/>
  </sheetData>
  <mergeCells count="8">
    <mergeCell ref="H18:H19"/>
    <mergeCell ref="F19:G19"/>
    <mergeCell ref="B2:H2"/>
    <mergeCell ref="B3:H3"/>
    <mergeCell ref="B4:H4"/>
    <mergeCell ref="B5:B7"/>
    <mergeCell ref="C5:G5"/>
    <mergeCell ref="H5:H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pageSetUpPr fitToPage="1"/>
  </sheetPr>
  <dimension ref="A4:N49"/>
  <sheetViews>
    <sheetView workbookViewId="0">
      <pane xSplit="2" ySplit="11" topLeftCell="C42" activePane="bottomRight" state="frozen"/>
      <selection pane="topRight" activeCell="C1" sqref="C1"/>
      <selection pane="bottomLeft" activeCell="A14" sqref="A14"/>
      <selection pane="bottomRight" activeCell="E14" sqref="E14"/>
    </sheetView>
  </sheetViews>
  <sheetFormatPr baseColWidth="10" defaultColWidth="11.5703125" defaultRowHeight="12"/>
  <cols>
    <col min="1" max="1" width="1.85546875" style="1" customWidth="1"/>
    <col min="2" max="2" width="34.85546875" style="1" customWidth="1"/>
    <col min="3" max="9" width="15.28515625" style="5" customWidth="1"/>
    <col min="10" max="10" width="13" style="5" customWidth="1"/>
    <col min="11" max="11" width="11.5703125" style="1"/>
    <col min="12" max="12" width="12.42578125" style="1" customWidth="1"/>
    <col min="13" max="16384" width="11.5703125" style="1"/>
  </cols>
  <sheetData>
    <row r="4" spans="1:14" ht="15.75">
      <c r="A4" s="1553" t="s">
        <v>2992</v>
      </c>
      <c r="B4" s="1553"/>
      <c r="C4" s="1553"/>
      <c r="D4" s="1553"/>
      <c r="E4" s="1553"/>
      <c r="F4" s="1553"/>
      <c r="G4" s="1553"/>
      <c r="H4" s="1553"/>
      <c r="I4" s="1553"/>
      <c r="J4" s="1553"/>
    </row>
    <row r="5" spans="1:14" ht="15.75">
      <c r="A5" s="1553" t="s">
        <v>31</v>
      </c>
      <c r="B5" s="1553"/>
      <c r="C5" s="1553"/>
      <c r="D5" s="1553"/>
      <c r="E5" s="1553"/>
      <c r="F5" s="1553"/>
      <c r="G5" s="1553"/>
      <c r="H5" s="1553"/>
      <c r="I5" s="1553"/>
      <c r="J5" s="1553"/>
    </row>
    <row r="6" spans="1:14" ht="15">
      <c r="A6" s="1552" t="str">
        <f>+'PPTO RESULTADOS'!A4:D4</f>
        <v>DEL 1o. DE ENERO AL 30 DE ABRIL DE 2021</v>
      </c>
      <c r="B6" s="1552"/>
      <c r="C6" s="1552"/>
      <c r="D6" s="1552"/>
      <c r="E6" s="1552"/>
      <c r="F6" s="1552"/>
      <c r="G6" s="1552"/>
      <c r="H6" s="1552"/>
      <c r="I6" s="1552"/>
      <c r="J6" s="1552"/>
    </row>
    <row r="7" spans="1:14">
      <c r="A7" s="17"/>
      <c r="B7" s="17"/>
      <c r="C7" s="36"/>
      <c r="D7" s="36"/>
      <c r="E7" s="36"/>
      <c r="F7" s="36"/>
      <c r="G7" s="36"/>
      <c r="H7" s="36"/>
      <c r="I7" s="36"/>
      <c r="J7" s="36"/>
    </row>
    <row r="8" spans="1:14">
      <c r="A8" s="17"/>
      <c r="B8" s="17"/>
      <c r="C8" s="36"/>
      <c r="D8" s="36"/>
      <c r="E8" s="36"/>
      <c r="F8" s="36"/>
      <c r="G8" s="36"/>
      <c r="H8" s="36"/>
      <c r="I8" s="36"/>
      <c r="J8" s="36"/>
    </row>
    <row r="10" spans="1:14" s="3" customFormat="1">
      <c r="A10" s="598"/>
      <c r="B10" s="599"/>
      <c r="C10" s="600" t="s">
        <v>223</v>
      </c>
      <c r="D10" s="600" t="s">
        <v>36</v>
      </c>
      <c r="E10" s="601" t="s">
        <v>32</v>
      </c>
      <c r="F10" s="600" t="s">
        <v>34</v>
      </c>
      <c r="G10" s="601" t="s">
        <v>34</v>
      </c>
      <c r="H10" s="600" t="s">
        <v>34</v>
      </c>
      <c r="I10" s="600" t="s">
        <v>32</v>
      </c>
      <c r="J10" s="602"/>
      <c r="L10" s="600"/>
      <c r="M10" s="600"/>
      <c r="N10" s="600"/>
    </row>
    <row r="11" spans="1:14" s="3" customFormat="1">
      <c r="A11" s="603"/>
      <c r="B11" s="604"/>
      <c r="C11" s="605" t="s">
        <v>224</v>
      </c>
      <c r="D11" s="605" t="s">
        <v>15</v>
      </c>
      <c r="E11" s="606" t="s">
        <v>33</v>
      </c>
      <c r="F11" s="605" t="s">
        <v>21</v>
      </c>
      <c r="G11" s="606" t="s">
        <v>35</v>
      </c>
      <c r="H11" s="605" t="s">
        <v>24</v>
      </c>
      <c r="I11" s="605" t="s">
        <v>225</v>
      </c>
      <c r="J11" s="605" t="s">
        <v>9</v>
      </c>
      <c r="L11" s="605" t="s">
        <v>1832</v>
      </c>
      <c r="M11" s="605" t="s">
        <v>1833</v>
      </c>
      <c r="N11" s="605" t="s">
        <v>87</v>
      </c>
    </row>
    <row r="12" spans="1:14">
      <c r="A12" s="20"/>
      <c r="B12" s="21"/>
      <c r="C12" s="23"/>
      <c r="D12" s="23"/>
      <c r="F12" s="23"/>
      <c r="H12" s="23"/>
      <c r="I12" s="23"/>
      <c r="J12" s="23"/>
      <c r="L12" s="570"/>
      <c r="M12" s="570"/>
      <c r="N12" s="570"/>
    </row>
    <row r="13" spans="1:14" s="3" customFormat="1">
      <c r="A13" s="18" t="s">
        <v>182</v>
      </c>
      <c r="B13" s="19"/>
      <c r="C13" s="37">
        <f>SUM(C15:C16)</f>
        <v>0</v>
      </c>
      <c r="D13" s="37">
        <f t="shared" ref="D13:I13" si="0">SUM(D14:D17)</f>
        <v>22348225.960000001</v>
      </c>
      <c r="E13" s="38">
        <f t="shared" si="0"/>
        <v>1460997.69</v>
      </c>
      <c r="F13" s="37">
        <f t="shared" si="0"/>
        <v>2702713.1199999996</v>
      </c>
      <c r="G13" s="38">
        <f t="shared" si="0"/>
        <v>202870.1</v>
      </c>
      <c r="H13" s="37">
        <f t="shared" si="0"/>
        <v>0</v>
      </c>
      <c r="I13" s="37">
        <f t="shared" si="0"/>
        <v>683450.13</v>
      </c>
      <c r="J13" s="37">
        <f>SUM(J14:J17)</f>
        <v>27398256.999999996</v>
      </c>
      <c r="L13" s="571">
        <f>+C13</f>
        <v>0</v>
      </c>
      <c r="M13" s="571">
        <f>SUM(D13:I13)</f>
        <v>27398257.000000004</v>
      </c>
      <c r="N13" s="571">
        <f>+L13+M13</f>
        <v>27398257.000000004</v>
      </c>
    </row>
    <row r="14" spans="1:14">
      <c r="A14" s="20"/>
      <c r="B14" s="21" t="s">
        <v>78</v>
      </c>
      <c r="C14" s="23"/>
      <c r="D14" s="23">
        <f>+INGRESOS!C11</f>
        <v>1220226.3600000001</v>
      </c>
      <c r="E14" s="5">
        <f>INGRESOS!C16</f>
        <v>0</v>
      </c>
      <c r="F14" s="23">
        <f>+INGRESOS!C21</f>
        <v>154388.35</v>
      </c>
      <c r="H14" s="23"/>
      <c r="I14" s="23">
        <f>+INGRESOS!C29</f>
        <v>239370.36</v>
      </c>
      <c r="J14" s="23">
        <f>SUM(C14:I14)</f>
        <v>1613985.0700000003</v>
      </c>
      <c r="L14" s="572">
        <f>+C14</f>
        <v>0</v>
      </c>
      <c r="M14" s="572">
        <f>SUM(D14:I14)</f>
        <v>1613985.0700000003</v>
      </c>
      <c r="N14" s="572">
        <f t="shared" ref="N14:N49" si="1">+L14+M14</f>
        <v>1613985.0700000003</v>
      </c>
    </row>
    <row r="15" spans="1:14">
      <c r="A15" s="20"/>
      <c r="B15" s="21" t="s">
        <v>22</v>
      </c>
      <c r="C15" s="23"/>
      <c r="D15" s="23">
        <f>+INGRESOS!C10</f>
        <v>18942890.609999999</v>
      </c>
      <c r="E15" s="5">
        <f>+INGRESOS!C15</f>
        <v>944560.14</v>
      </c>
      <c r="F15" s="23">
        <f>+INGRESOS!C20</f>
        <v>2270424.5099999998</v>
      </c>
      <c r="G15" s="5">
        <f>+INGRESOS!C25</f>
        <v>111294.3</v>
      </c>
      <c r="H15" s="23"/>
      <c r="I15" s="23"/>
      <c r="J15" s="23">
        <f>SUM(C15:I15)</f>
        <v>22269169.559999999</v>
      </c>
      <c r="L15" s="572">
        <f>+C15</f>
        <v>0</v>
      </c>
      <c r="M15" s="572">
        <f>SUM(D15:I15)</f>
        <v>22269169.559999999</v>
      </c>
      <c r="N15" s="572">
        <f t="shared" si="1"/>
        <v>22269169.559999999</v>
      </c>
    </row>
    <row r="16" spans="1:14">
      <c r="A16" s="20"/>
      <c r="B16" s="21" t="s">
        <v>29</v>
      </c>
      <c r="C16" s="23"/>
      <c r="D16" s="23">
        <f>+INGRESOS!C12</f>
        <v>2170932.69</v>
      </c>
      <c r="E16" s="5">
        <f>+INGRESOS!C17</f>
        <v>516037.55</v>
      </c>
      <c r="F16" s="23">
        <f>+INGRESOS!C22</f>
        <v>258714.36</v>
      </c>
      <c r="G16" s="5">
        <f>+INGRESOS!C26</f>
        <v>91575.8</v>
      </c>
      <c r="H16" s="23"/>
      <c r="I16" s="23">
        <f>+INGRESOS!C30</f>
        <v>444079.77</v>
      </c>
      <c r="J16" s="23">
        <f>SUM(C16:I16)</f>
        <v>3481340.1699999995</v>
      </c>
      <c r="L16" s="572">
        <f>+C16</f>
        <v>0</v>
      </c>
      <c r="M16" s="572">
        <f>SUM(D16:I16)</f>
        <v>3481340.1699999995</v>
      </c>
      <c r="N16" s="572">
        <f t="shared" si="1"/>
        <v>3481340.1699999995</v>
      </c>
    </row>
    <row r="17" spans="1:14">
      <c r="A17" s="20"/>
      <c r="B17" s="21" t="s">
        <v>77</v>
      </c>
      <c r="C17" s="23"/>
      <c r="D17" s="23">
        <f>+INGRESOS!C13</f>
        <v>14176.3</v>
      </c>
      <c r="E17" s="5">
        <f>+INGRESOS!C18</f>
        <v>400</v>
      </c>
      <c r="F17" s="23">
        <f>+INGRESOS!C23</f>
        <v>19185.900000000001</v>
      </c>
      <c r="G17" s="5">
        <f>+INGRESOS!C27</f>
        <v>0</v>
      </c>
      <c r="H17" s="23"/>
      <c r="I17" s="23">
        <f>+INGRESOS!C31</f>
        <v>0</v>
      </c>
      <c r="J17" s="23">
        <f>SUM(C17:I17)</f>
        <v>33762.199999999997</v>
      </c>
      <c r="L17" s="572">
        <f>+C17</f>
        <v>0</v>
      </c>
      <c r="M17" s="572">
        <f>SUM(D17:I17)</f>
        <v>33762.199999999997</v>
      </c>
      <c r="N17" s="572">
        <f t="shared" si="1"/>
        <v>33762.199999999997</v>
      </c>
    </row>
    <row r="18" spans="1:14">
      <c r="A18" s="20"/>
      <c r="B18" s="21"/>
      <c r="C18" s="23"/>
      <c r="D18" s="23"/>
      <c r="F18" s="23"/>
      <c r="H18" s="23"/>
      <c r="I18" s="23"/>
      <c r="J18" s="23"/>
      <c r="L18" s="571"/>
      <c r="M18" s="571"/>
      <c r="N18" s="571"/>
    </row>
    <row r="19" spans="1:14" s="3" customFormat="1">
      <c r="A19" s="18" t="s">
        <v>10</v>
      </c>
      <c r="B19" s="19"/>
      <c r="C19" s="37">
        <f>+INGRESOS!$C$42</f>
        <v>0</v>
      </c>
      <c r="D19" s="37"/>
      <c r="E19" s="38"/>
      <c r="F19" s="37"/>
      <c r="G19" s="38"/>
      <c r="H19" s="37"/>
      <c r="I19" s="37"/>
      <c r="J19" s="37">
        <f>SUM(C19:I19)</f>
        <v>0</v>
      </c>
      <c r="L19" s="571">
        <f>+C19</f>
        <v>0</v>
      </c>
      <c r="M19" s="571">
        <f>SUM(D19:I19)</f>
        <v>0</v>
      </c>
      <c r="N19" s="571">
        <f t="shared" si="1"/>
        <v>0</v>
      </c>
    </row>
    <row r="20" spans="1:14" s="3" customFormat="1">
      <c r="A20" s="18"/>
      <c r="B20" s="19"/>
      <c r="C20" s="37"/>
      <c r="D20" s="37"/>
      <c r="E20" s="38"/>
      <c r="F20" s="37"/>
      <c r="G20" s="38"/>
      <c r="H20" s="37"/>
      <c r="I20" s="37"/>
      <c r="J20" s="37"/>
      <c r="L20" s="571"/>
      <c r="M20" s="571"/>
      <c r="N20" s="571"/>
    </row>
    <row r="21" spans="1:14" s="3" customFormat="1">
      <c r="A21" s="18" t="s">
        <v>1863</v>
      </c>
      <c r="B21" s="19"/>
      <c r="C21" s="37">
        <f>+INGRESOS!C48</f>
        <v>372362.81</v>
      </c>
      <c r="D21" s="37"/>
      <c r="E21" s="38"/>
      <c r="F21" s="37"/>
      <c r="G21" s="38"/>
      <c r="H21" s="37"/>
      <c r="I21" s="37"/>
      <c r="J21" s="37">
        <f>SUM(C21:I21)</f>
        <v>372362.81</v>
      </c>
      <c r="L21" s="571">
        <f>+C21</f>
        <v>372362.81</v>
      </c>
      <c r="M21" s="571">
        <f>SUM(D21:I21)</f>
        <v>0</v>
      </c>
      <c r="N21" s="571">
        <f t="shared" si="1"/>
        <v>372362.81</v>
      </c>
    </row>
    <row r="22" spans="1:14">
      <c r="A22" s="20"/>
      <c r="B22" s="21"/>
      <c r="C22" s="23"/>
      <c r="D22" s="23"/>
      <c r="F22" s="23"/>
      <c r="H22" s="23"/>
      <c r="I22" s="23"/>
      <c r="J22" s="23"/>
      <c r="L22" s="571"/>
      <c r="M22" s="571"/>
      <c r="N22" s="571"/>
    </row>
    <row r="23" spans="1:14">
      <c r="A23" s="18" t="s">
        <v>164</v>
      </c>
      <c r="B23" s="21"/>
      <c r="C23" s="37">
        <f>+INGRESOS!$C$58</f>
        <v>2677183.0699999994</v>
      </c>
      <c r="D23" s="23"/>
      <c r="F23" s="23"/>
      <c r="H23" s="23"/>
      <c r="I23" s="23"/>
      <c r="J23" s="37">
        <f>SUM(C23:I23)</f>
        <v>2677183.0699999994</v>
      </c>
      <c r="L23" s="571">
        <f>+C23</f>
        <v>2677183.0699999994</v>
      </c>
      <c r="M23" s="571">
        <f>SUM(D23:I23)</f>
        <v>0</v>
      </c>
      <c r="N23" s="571">
        <f t="shared" si="1"/>
        <v>2677183.0699999994</v>
      </c>
    </row>
    <row r="24" spans="1:14">
      <c r="A24" s="20"/>
      <c r="B24" s="21"/>
      <c r="C24" s="23"/>
      <c r="D24" s="23"/>
      <c r="F24" s="23"/>
      <c r="H24" s="23"/>
      <c r="I24" s="23"/>
      <c r="J24" s="23"/>
      <c r="L24" s="571"/>
      <c r="M24" s="571"/>
      <c r="N24" s="571"/>
    </row>
    <row r="25" spans="1:14">
      <c r="A25" s="18" t="s">
        <v>1043</v>
      </c>
      <c r="B25" s="21"/>
      <c r="C25" s="23">
        <f>+INGRESOS!C64</f>
        <v>0</v>
      </c>
      <c r="D25" s="23"/>
      <c r="F25" s="23"/>
      <c r="H25" s="23"/>
      <c r="I25" s="23"/>
      <c r="J25" s="37">
        <f>SUM(C25:I25)</f>
        <v>0</v>
      </c>
      <c r="L25" s="571">
        <f>+C25</f>
        <v>0</v>
      </c>
      <c r="M25" s="571">
        <f>SUM(D25:I25)</f>
        <v>0</v>
      </c>
      <c r="N25" s="571">
        <f t="shared" si="1"/>
        <v>0</v>
      </c>
    </row>
    <row r="26" spans="1:14">
      <c r="A26" s="20"/>
      <c r="B26" s="21"/>
      <c r="C26" s="23"/>
      <c r="D26" s="23"/>
      <c r="F26" s="23"/>
      <c r="H26" s="23"/>
      <c r="I26" s="23"/>
      <c r="J26" s="23"/>
      <c r="L26" s="571"/>
      <c r="M26" s="571"/>
      <c r="N26" s="571"/>
    </row>
    <row r="27" spans="1:14" s="3" customFormat="1">
      <c r="A27" s="18" t="s">
        <v>93</v>
      </c>
      <c r="B27" s="19"/>
      <c r="C27" s="37">
        <f>+C23+C19+C13+C25+C21</f>
        <v>3049545.8799999994</v>
      </c>
      <c r="D27" s="37">
        <f t="shared" ref="D27:J27" si="2">+D23+D19+D13+D25+D21</f>
        <v>22348225.960000001</v>
      </c>
      <c r="E27" s="37">
        <f t="shared" si="2"/>
        <v>1460997.69</v>
      </c>
      <c r="F27" s="37">
        <f t="shared" si="2"/>
        <v>2702713.1199999996</v>
      </c>
      <c r="G27" s="37">
        <f t="shared" si="2"/>
        <v>202870.1</v>
      </c>
      <c r="H27" s="37">
        <f t="shared" si="2"/>
        <v>0</v>
      </c>
      <c r="I27" s="37">
        <f t="shared" si="2"/>
        <v>683450.13</v>
      </c>
      <c r="J27" s="37">
        <f t="shared" si="2"/>
        <v>30447802.879999995</v>
      </c>
      <c r="L27" s="571">
        <f>+C27</f>
        <v>3049545.8799999994</v>
      </c>
      <c r="M27" s="571">
        <f>SUM(D27:I27)</f>
        <v>27398257.000000004</v>
      </c>
      <c r="N27" s="571">
        <f t="shared" si="1"/>
        <v>30447802.880000003</v>
      </c>
    </row>
    <row r="28" spans="1:14">
      <c r="A28" s="20"/>
      <c r="B28" s="21"/>
      <c r="C28" s="23"/>
      <c r="D28" s="23"/>
      <c r="F28" s="23"/>
      <c r="H28" s="23"/>
      <c r="I28" s="23"/>
      <c r="J28" s="23"/>
      <c r="L28" s="571"/>
      <c r="M28" s="571"/>
      <c r="N28" s="571"/>
    </row>
    <row r="29" spans="1:14" s="3" customFormat="1">
      <c r="A29" s="18" t="s">
        <v>1786</v>
      </c>
      <c r="B29" s="19"/>
      <c r="C29" s="37">
        <f>SUM(C30:C33)</f>
        <v>8030595.3899999997</v>
      </c>
      <c r="D29" s="37"/>
      <c r="E29" s="38"/>
      <c r="F29" s="37"/>
      <c r="G29" s="38"/>
      <c r="H29" s="37"/>
      <c r="I29" s="37"/>
      <c r="J29" s="37">
        <f>SUM(C29:I29)</f>
        <v>8030595.3899999997</v>
      </c>
      <c r="L29" s="571">
        <f>+C29</f>
        <v>8030595.3899999997</v>
      </c>
      <c r="M29" s="571">
        <f>SUM(D29:I29)</f>
        <v>0</v>
      </c>
      <c r="N29" s="571">
        <f>+L29+M29</f>
        <v>8030595.3899999997</v>
      </c>
    </row>
    <row r="30" spans="1:14">
      <c r="A30" s="20"/>
      <c r="B30" s="21" t="s">
        <v>169</v>
      </c>
      <c r="C30" s="23">
        <f>+EGRESOS!C8</f>
        <v>4375817.34</v>
      </c>
      <c r="D30" s="23"/>
      <c r="F30" s="23"/>
      <c r="H30" s="23"/>
      <c r="I30" s="23"/>
      <c r="J30" s="23">
        <f>SUM(C30:I30)</f>
        <v>4375817.34</v>
      </c>
      <c r="L30" s="572">
        <f>+C30</f>
        <v>4375817.34</v>
      </c>
      <c r="M30" s="572">
        <f>SUM(D30:I30)</f>
        <v>0</v>
      </c>
      <c r="N30" s="572">
        <f t="shared" si="1"/>
        <v>4375817.34</v>
      </c>
    </row>
    <row r="31" spans="1:14">
      <c r="A31" s="20"/>
      <c r="B31" s="21" t="s">
        <v>167</v>
      </c>
      <c r="C31" s="23">
        <f>+EGRESOS!C9</f>
        <v>80737.680000000008</v>
      </c>
      <c r="D31" s="23"/>
      <c r="F31" s="23"/>
      <c r="H31" s="23"/>
      <c r="I31" s="23"/>
      <c r="J31" s="23">
        <f>SUM(C31:I31)</f>
        <v>80737.680000000008</v>
      </c>
      <c r="L31" s="572">
        <f>+C31</f>
        <v>80737.680000000008</v>
      </c>
      <c r="M31" s="572">
        <f>SUM(D31:I31)</f>
        <v>0</v>
      </c>
      <c r="N31" s="572">
        <f t="shared" si="1"/>
        <v>80737.680000000008</v>
      </c>
    </row>
    <row r="32" spans="1:14">
      <c r="A32" s="20"/>
      <c r="B32" s="21" t="s">
        <v>168</v>
      </c>
      <c r="C32" s="23">
        <f>+EGRESOS!C10</f>
        <v>3414512.9</v>
      </c>
      <c r="D32" s="23"/>
      <c r="F32" s="23"/>
      <c r="H32" s="23"/>
      <c r="I32" s="23"/>
      <c r="J32" s="23">
        <f>SUM(C32:I32)</f>
        <v>3414512.9</v>
      </c>
      <c r="L32" s="572">
        <f>+C32</f>
        <v>3414512.9</v>
      </c>
      <c r="M32" s="572">
        <f>SUM(D32:I32)</f>
        <v>0</v>
      </c>
      <c r="N32" s="572">
        <f t="shared" si="1"/>
        <v>3414512.9</v>
      </c>
    </row>
    <row r="33" spans="1:14">
      <c r="A33" s="20"/>
      <c r="B33" s="21" t="s">
        <v>1917</v>
      </c>
      <c r="C33" s="23">
        <f>+EGRESOS!C11</f>
        <v>159527.47</v>
      </c>
      <c r="D33" s="23"/>
      <c r="F33" s="23"/>
      <c r="H33" s="23"/>
      <c r="I33" s="23"/>
      <c r="J33" s="23">
        <f>SUM(C33:I33)</f>
        <v>159527.47</v>
      </c>
      <c r="L33" s="572">
        <f>+C33</f>
        <v>159527.47</v>
      </c>
      <c r="M33" s="572">
        <f>SUM(D33:I33)</f>
        <v>0</v>
      </c>
      <c r="N33" s="572">
        <f t="shared" si="1"/>
        <v>159527.47</v>
      </c>
    </row>
    <row r="34" spans="1:14">
      <c r="A34" s="20"/>
      <c r="B34" s="21"/>
      <c r="C34" s="23"/>
      <c r="D34" s="23"/>
      <c r="F34" s="23"/>
      <c r="H34" s="23"/>
      <c r="I34" s="23"/>
      <c r="J34" s="23"/>
      <c r="L34" s="571"/>
      <c r="M34" s="571"/>
      <c r="N34" s="571"/>
    </row>
    <row r="35" spans="1:14" s="3" customFormat="1">
      <c r="A35" s="18" t="s">
        <v>183</v>
      </c>
      <c r="B35" s="19"/>
      <c r="C35" s="37">
        <f t="shared" ref="C35:J35" si="3">SUM(C36:C37)</f>
        <v>0</v>
      </c>
      <c r="D35" s="37">
        <f t="shared" si="3"/>
        <v>4478452.1399999997</v>
      </c>
      <c r="E35" s="38">
        <f t="shared" si="3"/>
        <v>902721.86</v>
      </c>
      <c r="F35" s="37">
        <f t="shared" si="3"/>
        <v>834646.91</v>
      </c>
      <c r="G35" s="38">
        <f t="shared" si="3"/>
        <v>235376.01</v>
      </c>
      <c r="H35" s="37">
        <f t="shared" si="3"/>
        <v>4800</v>
      </c>
      <c r="I35" s="37">
        <f t="shared" si="3"/>
        <v>533910</v>
      </c>
      <c r="J35" s="37">
        <f t="shared" si="3"/>
        <v>6989906.9199999999</v>
      </c>
      <c r="L35" s="571">
        <f>+C35</f>
        <v>0</v>
      </c>
      <c r="M35" s="571">
        <f>SUM(D35:I35)</f>
        <v>6989906.9199999999</v>
      </c>
      <c r="N35" s="571">
        <f t="shared" si="1"/>
        <v>6989906.9199999999</v>
      </c>
    </row>
    <row r="36" spans="1:14">
      <c r="A36" s="20"/>
      <c r="B36" s="21" t="s">
        <v>167</v>
      </c>
      <c r="C36" s="23"/>
      <c r="D36" s="23">
        <f>+EGRESOS!C17</f>
        <v>117639.26</v>
      </c>
      <c r="E36" s="5">
        <f>+EGRESOS!C21</f>
        <v>22200</v>
      </c>
      <c r="F36" s="23">
        <f>+EGRESOS!C25</f>
        <v>6600</v>
      </c>
      <c r="H36" s="23">
        <f>+EGRESOS!C32</f>
        <v>4800</v>
      </c>
      <c r="I36" s="23">
        <f>+EGRESOS!C36</f>
        <v>9400</v>
      </c>
      <c r="J36" s="23">
        <f>SUM(C36:I36)</f>
        <v>160639.26</v>
      </c>
      <c r="L36" s="572">
        <f>+C36</f>
        <v>0</v>
      </c>
      <c r="M36" s="572">
        <f>SUM(D36:I36)</f>
        <v>160639.26</v>
      </c>
      <c r="N36" s="572">
        <f t="shared" si="1"/>
        <v>160639.26</v>
      </c>
    </row>
    <row r="37" spans="1:14">
      <c r="A37" s="20"/>
      <c r="B37" s="21" t="s">
        <v>168</v>
      </c>
      <c r="C37" s="23"/>
      <c r="D37" s="23">
        <f>+EGRESOS!C18</f>
        <v>4360812.88</v>
      </c>
      <c r="E37" s="5">
        <f>+EGRESOS!C22</f>
        <v>880521.86</v>
      </c>
      <c r="F37" s="23">
        <f>+EGRESOS!C26</f>
        <v>828046.91</v>
      </c>
      <c r="G37" s="5">
        <f>+EGRESOS!C33</f>
        <v>235376.01</v>
      </c>
      <c r="H37" s="23">
        <f>+EGRESOS!C29</f>
        <v>0</v>
      </c>
      <c r="I37" s="23">
        <f>+EGRESOS!C37</f>
        <v>524510</v>
      </c>
      <c r="J37" s="23">
        <f>SUM(C37:I37)</f>
        <v>6829267.6600000001</v>
      </c>
      <c r="L37" s="572">
        <f>+C37</f>
        <v>0</v>
      </c>
      <c r="M37" s="572">
        <f>SUM(D37:I37)</f>
        <v>6829267.6600000001</v>
      </c>
      <c r="N37" s="572">
        <f t="shared" si="1"/>
        <v>6829267.6600000001</v>
      </c>
    </row>
    <row r="38" spans="1:14">
      <c r="A38" s="20"/>
      <c r="B38" s="21"/>
      <c r="C38" s="23"/>
      <c r="D38" s="23"/>
      <c r="F38" s="23"/>
      <c r="H38" s="23"/>
      <c r="I38" s="23"/>
      <c r="J38" s="23"/>
      <c r="L38" s="571"/>
      <c r="M38" s="571"/>
      <c r="N38" s="571"/>
    </row>
    <row r="39" spans="1:14" s="3" customFormat="1">
      <c r="A39" s="18" t="s">
        <v>50</v>
      </c>
      <c r="B39" s="19"/>
      <c r="C39" s="37">
        <f>+'PPTO RESULTADOS'!C23</f>
        <v>0</v>
      </c>
      <c r="D39" s="37"/>
      <c r="E39" s="38"/>
      <c r="F39" s="37"/>
      <c r="G39" s="38"/>
      <c r="H39" s="37"/>
      <c r="I39" s="37"/>
      <c r="J39" s="37">
        <f>SUM(C39:I39)</f>
        <v>0</v>
      </c>
      <c r="L39" s="571">
        <f>+C39</f>
        <v>0</v>
      </c>
      <c r="M39" s="571">
        <f>SUM(D39:I39)</f>
        <v>0</v>
      </c>
      <c r="N39" s="571">
        <f t="shared" si="1"/>
        <v>0</v>
      </c>
    </row>
    <row r="40" spans="1:14" s="3" customFormat="1">
      <c r="A40" s="18"/>
      <c r="B40" s="19"/>
      <c r="C40" s="37"/>
      <c r="D40" s="37"/>
      <c r="E40" s="38"/>
      <c r="F40" s="37"/>
      <c r="G40" s="38"/>
      <c r="H40" s="37"/>
      <c r="I40" s="37"/>
      <c r="J40" s="37"/>
      <c r="L40" s="571"/>
      <c r="M40" s="571"/>
      <c r="N40" s="571"/>
    </row>
    <row r="41" spans="1:14" s="3" customFormat="1">
      <c r="A41" s="18" t="s">
        <v>185</v>
      </c>
      <c r="B41" s="19"/>
      <c r="C41" s="37">
        <f>+EGRESOS!C60-EGRESOS!C57</f>
        <v>74989.439999999944</v>
      </c>
      <c r="D41" s="37"/>
      <c r="E41" s="38"/>
      <c r="F41" s="37"/>
      <c r="G41" s="38"/>
      <c r="H41" s="37"/>
      <c r="I41" s="37"/>
      <c r="J41" s="37">
        <f>SUM(C41:I41)</f>
        <v>74989.439999999944</v>
      </c>
      <c r="L41" s="571">
        <f>+C41</f>
        <v>74989.439999999944</v>
      </c>
      <c r="M41" s="571">
        <f>SUM(D41:I41)</f>
        <v>0</v>
      </c>
      <c r="N41" s="571">
        <f t="shared" si="1"/>
        <v>74989.439999999944</v>
      </c>
    </row>
    <row r="42" spans="1:14" s="3" customFormat="1">
      <c r="A42" s="18"/>
      <c r="B42" s="19"/>
      <c r="C42" s="37"/>
      <c r="D42" s="37"/>
      <c r="E42" s="38"/>
      <c r="F42" s="37"/>
      <c r="G42" s="38"/>
      <c r="H42" s="37"/>
      <c r="I42" s="37"/>
      <c r="J42" s="37"/>
      <c r="L42" s="571"/>
      <c r="M42" s="571"/>
      <c r="N42" s="571"/>
    </row>
    <row r="43" spans="1:14" s="3" customFormat="1">
      <c r="A43" s="18" t="s">
        <v>27</v>
      </c>
      <c r="B43" s="19"/>
      <c r="C43" s="37">
        <f>+EGRESOS!C57</f>
        <v>1372466.92</v>
      </c>
      <c r="D43" s="37"/>
      <c r="E43" s="38"/>
      <c r="F43" s="37"/>
      <c r="G43" s="38"/>
      <c r="H43" s="37"/>
      <c r="I43" s="37"/>
      <c r="J43" s="37">
        <f>SUM(C43:I43)</f>
        <v>1372466.92</v>
      </c>
      <c r="L43" s="571">
        <f>+C43</f>
        <v>1372466.92</v>
      </c>
      <c r="M43" s="571">
        <f>SUM(D43:I43)</f>
        <v>0</v>
      </c>
      <c r="N43" s="571">
        <f t="shared" si="1"/>
        <v>1372466.92</v>
      </c>
    </row>
    <row r="44" spans="1:14">
      <c r="A44" s="20"/>
      <c r="B44" s="21"/>
      <c r="C44" s="23"/>
      <c r="D44" s="23"/>
      <c r="F44" s="23"/>
      <c r="H44" s="23"/>
      <c r="I44" s="23"/>
      <c r="J44" s="23"/>
      <c r="L44" s="571"/>
      <c r="M44" s="571"/>
      <c r="N44" s="571"/>
    </row>
    <row r="45" spans="1:14" s="3" customFormat="1">
      <c r="A45" s="22" t="s">
        <v>184</v>
      </c>
      <c r="B45" s="19"/>
      <c r="C45" s="37">
        <f>+C43+C41+C39+C35+C29</f>
        <v>9478051.75</v>
      </c>
      <c r="D45" s="37">
        <f t="shared" ref="D45:J45" si="4">+D43+D41+D39+D35+D29</f>
        <v>4478452.1399999997</v>
      </c>
      <c r="E45" s="37">
        <f t="shared" si="4"/>
        <v>902721.86</v>
      </c>
      <c r="F45" s="37">
        <f t="shared" si="4"/>
        <v>834646.91</v>
      </c>
      <c r="G45" s="37">
        <f t="shared" si="4"/>
        <v>235376.01</v>
      </c>
      <c r="H45" s="37">
        <f t="shared" si="4"/>
        <v>4800</v>
      </c>
      <c r="I45" s="37">
        <f t="shared" si="4"/>
        <v>533910</v>
      </c>
      <c r="J45" s="37">
        <f t="shared" si="4"/>
        <v>16467958.669999998</v>
      </c>
      <c r="L45" s="571">
        <f>+C45</f>
        <v>9478051.75</v>
      </c>
      <c r="M45" s="571">
        <f>SUM(D45:I45)</f>
        <v>6989906.9199999999</v>
      </c>
      <c r="N45" s="571">
        <f t="shared" si="1"/>
        <v>16467958.67</v>
      </c>
    </row>
    <row r="46" spans="1:14" s="3" customFormat="1">
      <c r="A46" s="18"/>
      <c r="B46" s="19"/>
      <c r="C46" s="37"/>
      <c r="D46" s="37"/>
      <c r="E46" s="38"/>
      <c r="F46" s="37"/>
      <c r="G46" s="38"/>
      <c r="H46" s="37"/>
      <c r="I46" s="37"/>
      <c r="J46" s="37"/>
      <c r="L46" s="571"/>
      <c r="M46" s="571"/>
      <c r="N46" s="571"/>
    </row>
    <row r="47" spans="1:14">
      <c r="A47" s="20"/>
      <c r="B47" s="21"/>
      <c r="C47" s="23"/>
      <c r="D47" s="23"/>
      <c r="F47" s="23"/>
      <c r="H47" s="23"/>
      <c r="I47" s="23"/>
      <c r="J47" s="23"/>
      <c r="L47" s="571"/>
      <c r="M47" s="571"/>
      <c r="N47" s="571"/>
    </row>
    <row r="48" spans="1:14">
      <c r="A48" s="20"/>
      <c r="B48" s="21"/>
      <c r="C48" s="23"/>
      <c r="D48" s="23"/>
      <c r="F48" s="23"/>
      <c r="H48" s="23"/>
      <c r="I48" s="23"/>
      <c r="J48" s="23"/>
      <c r="L48" s="571"/>
      <c r="M48" s="571"/>
      <c r="N48" s="571"/>
    </row>
    <row r="49" spans="1:14" s="3" customFormat="1">
      <c r="A49" s="95" t="s">
        <v>1706</v>
      </c>
      <c r="B49" s="96"/>
      <c r="C49" s="97">
        <f>+C27-C45</f>
        <v>-6428505.870000001</v>
      </c>
      <c r="D49" s="97">
        <f t="shared" ref="D49:I49" si="5">+D27-D45</f>
        <v>17869773.82</v>
      </c>
      <c r="E49" s="97">
        <f t="shared" si="5"/>
        <v>558275.82999999996</v>
      </c>
      <c r="F49" s="97">
        <f t="shared" si="5"/>
        <v>1868066.2099999995</v>
      </c>
      <c r="G49" s="97">
        <f t="shared" si="5"/>
        <v>-32505.910000000003</v>
      </c>
      <c r="H49" s="97">
        <f t="shared" si="5"/>
        <v>-4800</v>
      </c>
      <c r="I49" s="97">
        <f t="shared" si="5"/>
        <v>149540.13</v>
      </c>
      <c r="J49" s="97">
        <f>+J27-J45</f>
        <v>13979844.209999997</v>
      </c>
      <c r="L49" s="573">
        <f>+C49</f>
        <v>-6428505.870000001</v>
      </c>
      <c r="M49" s="573">
        <f>SUM(D49:I49)</f>
        <v>20408350.079999998</v>
      </c>
      <c r="N49" s="573">
        <f t="shared" si="1"/>
        <v>13979844.209999997</v>
      </c>
    </row>
  </sheetData>
  <mergeCells count="3">
    <mergeCell ref="A5:J5"/>
    <mergeCell ref="A6:J6"/>
    <mergeCell ref="A4:J4"/>
  </mergeCells>
  <phoneticPr fontId="0" type="noConversion"/>
  <printOptions horizontalCentered="1"/>
  <pageMargins left="0.43307086614173229" right="0.43307086614173229" top="0.35433070866141736" bottom="0.55118110236220474" header="0.23622047244094491" footer="0.31496062992125984"/>
  <pageSetup scale="76" orientation="landscape" horizontalDpi="4294967292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606B09-B7B1-4423-904F-D1F4E8526419}">
  <dimension ref="B2:H27"/>
  <sheetViews>
    <sheetView topLeftCell="A13" workbookViewId="0">
      <selection activeCell="B25" sqref="B25"/>
    </sheetView>
  </sheetViews>
  <sheetFormatPr baseColWidth="10" defaultColWidth="11.42578125" defaultRowHeight="12"/>
  <cols>
    <col min="1" max="1" width="3.5703125" style="1" customWidth="1"/>
    <col min="2" max="2" width="77.85546875" style="1" customWidth="1"/>
    <col min="3" max="3" width="16" style="1" customWidth="1"/>
    <col min="4" max="4" width="13.5703125" style="1" customWidth="1"/>
    <col min="5" max="5" width="14.5703125" style="1" customWidth="1"/>
    <col min="6" max="6" width="13.85546875" style="1" customWidth="1"/>
    <col min="7" max="7" width="14" style="1" customWidth="1"/>
    <col min="8" max="8" width="12.85546875" style="1" customWidth="1"/>
    <col min="9" max="9" width="13.28515625" style="1" customWidth="1"/>
    <col min="10" max="16384" width="11.42578125" style="1"/>
  </cols>
  <sheetData>
    <row r="2" spans="2:8">
      <c r="B2" s="1761" t="s">
        <v>2992</v>
      </c>
      <c r="C2" s="1762"/>
      <c r="D2" s="1762"/>
      <c r="E2" s="1762"/>
      <c r="F2" s="1762"/>
      <c r="G2" s="1762"/>
      <c r="H2" s="1763"/>
    </row>
    <row r="3" spans="2:8">
      <c r="B3" s="1778" t="s">
        <v>791</v>
      </c>
      <c r="C3" s="1779"/>
      <c r="D3" s="1779"/>
      <c r="E3" s="1779"/>
      <c r="F3" s="1779"/>
      <c r="G3" s="1779"/>
      <c r="H3" s="1780"/>
    </row>
    <row r="4" spans="2:8">
      <c r="B4" s="1766"/>
      <c r="C4" s="1767"/>
      <c r="D4" s="1767"/>
      <c r="E4" s="1767"/>
      <c r="F4" s="1767"/>
      <c r="G4" s="1767"/>
      <c r="H4" s="1768"/>
    </row>
    <row r="5" spans="2:8" s="3" customFormat="1">
      <c r="B5" s="1781" t="s">
        <v>4943</v>
      </c>
      <c r="C5" s="1784" t="s">
        <v>793</v>
      </c>
      <c r="D5" s="1785"/>
      <c r="E5" s="1785"/>
      <c r="F5" s="1785"/>
      <c r="G5" s="1786"/>
      <c r="H5" s="1781" t="s">
        <v>794</v>
      </c>
    </row>
    <row r="6" spans="2:8" ht="24">
      <c r="B6" s="1782"/>
      <c r="C6" s="1061" t="s">
        <v>795</v>
      </c>
      <c r="D6" s="1062" t="s">
        <v>796</v>
      </c>
      <c r="E6" s="1061" t="s">
        <v>797</v>
      </c>
      <c r="F6" s="1061" t="s">
        <v>236</v>
      </c>
      <c r="G6" s="1063" t="s">
        <v>798</v>
      </c>
      <c r="H6" s="1783"/>
    </row>
    <row r="7" spans="2:8">
      <c r="B7" s="1783"/>
      <c r="C7" s="1061" t="s">
        <v>4936</v>
      </c>
      <c r="D7" s="1061" t="s">
        <v>4937</v>
      </c>
      <c r="E7" s="1061" t="s">
        <v>801</v>
      </c>
      <c r="F7" s="1061" t="s">
        <v>4938</v>
      </c>
      <c r="G7" s="1061" t="s">
        <v>4939</v>
      </c>
      <c r="H7" s="1061" t="s">
        <v>4940</v>
      </c>
    </row>
    <row r="8" spans="2:8">
      <c r="B8" s="1064" t="s">
        <v>4944</v>
      </c>
      <c r="C8" s="1065">
        <f>SUM(C9:C16)</f>
        <v>0</v>
      </c>
      <c r="D8" s="1066">
        <f>SUM(D9:D16)</f>
        <v>0</v>
      </c>
      <c r="E8" s="1065">
        <f t="shared" ref="E8:E16" si="0">C8+D8</f>
        <v>0</v>
      </c>
      <c r="F8" s="1065">
        <f>SUM(F9:F16)</f>
        <v>0</v>
      </c>
      <c r="G8" s="1067">
        <f>SUM(G9:G16)</f>
        <v>0</v>
      </c>
      <c r="H8" s="1068">
        <f t="shared" ref="H8:H16" si="1">G8-C8</f>
        <v>0</v>
      </c>
    </row>
    <row r="9" spans="2:8">
      <c r="B9" s="1069" t="s">
        <v>619</v>
      </c>
      <c r="C9" s="1070">
        <v>0</v>
      </c>
      <c r="D9" s="1071">
        <v>0</v>
      </c>
      <c r="E9" s="1072">
        <f t="shared" si="0"/>
        <v>0</v>
      </c>
      <c r="F9" s="1070">
        <v>0</v>
      </c>
      <c r="G9" s="1073">
        <v>0</v>
      </c>
      <c r="H9" s="1074">
        <f t="shared" si="1"/>
        <v>0</v>
      </c>
    </row>
    <row r="10" spans="2:8">
      <c r="B10" s="1075" t="s">
        <v>770</v>
      </c>
      <c r="C10" s="1070">
        <v>0</v>
      </c>
      <c r="D10" s="1071">
        <v>0</v>
      </c>
      <c r="E10" s="1072">
        <f t="shared" si="0"/>
        <v>0</v>
      </c>
      <c r="F10" s="1070">
        <v>0</v>
      </c>
      <c r="G10" s="1073">
        <v>0</v>
      </c>
      <c r="H10" s="1074">
        <f t="shared" si="1"/>
        <v>0</v>
      </c>
    </row>
    <row r="11" spans="2:8">
      <c r="B11" s="1069" t="s">
        <v>622</v>
      </c>
      <c r="C11" s="1070">
        <v>0</v>
      </c>
      <c r="D11" s="1071">
        <v>0</v>
      </c>
      <c r="E11" s="1072">
        <f t="shared" si="0"/>
        <v>0</v>
      </c>
      <c r="F11" s="1070">
        <v>0</v>
      </c>
      <c r="G11" s="1073">
        <v>0</v>
      </c>
      <c r="H11" s="1074">
        <f t="shared" si="1"/>
        <v>0</v>
      </c>
    </row>
    <row r="12" spans="2:8">
      <c r="B12" s="1069" t="s">
        <v>623</v>
      </c>
      <c r="C12" s="1070">
        <v>0</v>
      </c>
      <c r="D12" s="1071">
        <v>0</v>
      </c>
      <c r="E12" s="1072">
        <f t="shared" si="0"/>
        <v>0</v>
      </c>
      <c r="F12" s="1070">
        <v>0</v>
      </c>
      <c r="G12" s="1073">
        <v>0</v>
      </c>
      <c r="H12" s="1074">
        <f t="shared" si="1"/>
        <v>0</v>
      </c>
    </row>
    <row r="13" spans="2:8">
      <c r="B13" s="1076" t="s">
        <v>805</v>
      </c>
      <c r="C13" s="1070">
        <v>0</v>
      </c>
      <c r="D13" s="1071">
        <v>0</v>
      </c>
      <c r="E13" s="1072">
        <f t="shared" si="0"/>
        <v>0</v>
      </c>
      <c r="F13" s="1070">
        <v>0</v>
      </c>
      <c r="G13" s="1073">
        <v>0</v>
      </c>
      <c r="H13" s="1074">
        <f t="shared" si="1"/>
        <v>0</v>
      </c>
    </row>
    <row r="14" spans="2:8">
      <c r="B14" s="1076" t="s">
        <v>808</v>
      </c>
      <c r="C14" s="1070">
        <v>0</v>
      </c>
      <c r="D14" s="1071">
        <v>0</v>
      </c>
      <c r="E14" s="1072">
        <f t="shared" si="0"/>
        <v>0</v>
      </c>
      <c r="F14" s="1070">
        <v>0</v>
      </c>
      <c r="G14" s="1073">
        <v>0</v>
      </c>
      <c r="H14" s="1074">
        <f t="shared" si="1"/>
        <v>0</v>
      </c>
    </row>
    <row r="15" spans="2:8" ht="24">
      <c r="B15" s="1069" t="s">
        <v>4885</v>
      </c>
      <c r="C15" s="1070">
        <v>0</v>
      </c>
      <c r="D15" s="1071">
        <v>0</v>
      </c>
      <c r="E15" s="1072">
        <f t="shared" si="0"/>
        <v>0</v>
      </c>
      <c r="F15" s="1070">
        <v>0</v>
      </c>
      <c r="G15" s="1073">
        <v>0</v>
      </c>
      <c r="H15" s="1074">
        <f t="shared" si="1"/>
        <v>0</v>
      </c>
    </row>
    <row r="16" spans="2:8">
      <c r="B16" s="1069" t="s">
        <v>4886</v>
      </c>
      <c r="C16" s="1070">
        <v>0</v>
      </c>
      <c r="D16" s="1071">
        <v>0</v>
      </c>
      <c r="E16" s="1072">
        <f t="shared" si="0"/>
        <v>0</v>
      </c>
      <c r="F16" s="1070">
        <v>0</v>
      </c>
      <c r="G16" s="1073">
        <v>0</v>
      </c>
      <c r="H16" s="1074">
        <f t="shared" si="1"/>
        <v>0</v>
      </c>
    </row>
    <row r="17" spans="2:8">
      <c r="B17" s="1077"/>
      <c r="C17" s="1072"/>
      <c r="D17" s="1078"/>
      <c r="E17" s="1072"/>
      <c r="F17" s="1072"/>
      <c r="G17" s="1074"/>
      <c r="H17" s="1074"/>
    </row>
    <row r="18" spans="2:8" ht="36">
      <c r="B18" s="1079" t="s">
        <v>4945</v>
      </c>
      <c r="C18" s="1080">
        <f>SUM(C19:C22)</f>
        <v>101100153.74161573</v>
      </c>
      <c r="D18" s="1081">
        <f>SUM(D19:D22)</f>
        <v>0</v>
      </c>
      <c r="E18" s="1080">
        <f>C18+D18</f>
        <v>101100153.74161573</v>
      </c>
      <c r="F18" s="1080">
        <f>SUM(F19:F22)</f>
        <v>27770619.809999999</v>
      </c>
      <c r="G18" s="1068">
        <f>SUM(G19:G22)</f>
        <v>27770619.809999999</v>
      </c>
      <c r="H18" s="1068">
        <f>G18-C18</f>
        <v>-73329533.931615725</v>
      </c>
    </row>
    <row r="19" spans="2:8">
      <c r="B19" s="1069" t="s">
        <v>770</v>
      </c>
      <c r="C19" s="1070">
        <v>0</v>
      </c>
      <c r="D19" s="1071">
        <v>0</v>
      </c>
      <c r="E19" s="1072">
        <f>C19+D19</f>
        <v>0</v>
      </c>
      <c r="F19" s="1070">
        <v>0</v>
      </c>
      <c r="G19" s="1073">
        <v>0</v>
      </c>
      <c r="H19" s="1074">
        <f>G19-C19</f>
        <v>0</v>
      </c>
    </row>
    <row r="20" spans="2:8">
      <c r="B20" s="1069" t="s">
        <v>805</v>
      </c>
      <c r="C20" s="1070">
        <v>0</v>
      </c>
      <c r="D20" s="1071">
        <v>0</v>
      </c>
      <c r="E20" s="1072">
        <f>C20+D20</f>
        <v>0</v>
      </c>
      <c r="F20" s="1070">
        <v>0</v>
      </c>
      <c r="G20" s="1073">
        <v>0</v>
      </c>
      <c r="H20" s="1074">
        <f>G20-C20</f>
        <v>0</v>
      </c>
    </row>
    <row r="21" spans="2:8">
      <c r="B21" s="1069" t="s">
        <v>4941</v>
      </c>
      <c r="C21" s="1070">
        <f>+EAI!E48</f>
        <v>101100153.74161573</v>
      </c>
      <c r="D21" s="1071">
        <f>EAI!F21</f>
        <v>0</v>
      </c>
      <c r="E21" s="1072">
        <f>C21+D21</f>
        <v>101100153.74161573</v>
      </c>
      <c r="F21" s="1070">
        <f>+EAI!H48</f>
        <v>27770619.809999999</v>
      </c>
      <c r="G21" s="1073">
        <f>+EAI!I48</f>
        <v>27770619.809999999</v>
      </c>
      <c r="H21" s="1074">
        <f>G21-C21</f>
        <v>-73329533.931615725</v>
      </c>
    </row>
    <row r="22" spans="2:8">
      <c r="B22" s="1069" t="s">
        <v>4886</v>
      </c>
      <c r="C22" s="1070">
        <v>0</v>
      </c>
      <c r="D22" s="1071">
        <v>0</v>
      </c>
      <c r="E22" s="1072">
        <f>C22+D22</f>
        <v>0</v>
      </c>
      <c r="F22" s="1070">
        <v>0</v>
      </c>
      <c r="G22" s="1073">
        <v>0</v>
      </c>
      <c r="H22" s="1074">
        <f>G22-C22</f>
        <v>0</v>
      </c>
    </row>
    <row r="23" spans="2:8">
      <c r="B23" s="1077"/>
      <c r="C23" s="1072"/>
      <c r="D23" s="1078"/>
      <c r="E23" s="1072"/>
      <c r="F23" s="1072"/>
      <c r="G23" s="1074"/>
      <c r="H23" s="1074"/>
    </row>
    <row r="24" spans="2:8">
      <c r="B24" s="1064" t="s">
        <v>811</v>
      </c>
      <c r="C24" s="1080">
        <f>SUM(C25)</f>
        <v>3609721.7481223745</v>
      </c>
      <c r="D24" s="1081">
        <f>SUM(D25)</f>
        <v>0</v>
      </c>
      <c r="E24" s="1080">
        <f>C24+D24</f>
        <v>3609721.7481223745</v>
      </c>
      <c r="F24" s="1080">
        <f>SUM(F25)</f>
        <v>2649306.3099999996</v>
      </c>
      <c r="G24" s="1068">
        <f>SUM(G25)</f>
        <v>2649306.3099999996</v>
      </c>
      <c r="H24" s="1068">
        <f>G24-C24</f>
        <v>-960415.43812237494</v>
      </c>
    </row>
    <row r="25" spans="2:8">
      <c r="B25" s="1082" t="s">
        <v>811</v>
      </c>
      <c r="C25" s="1070">
        <f>EAI!E24</f>
        <v>3609721.7481223745</v>
      </c>
      <c r="D25" s="1083">
        <f>EAI!F24</f>
        <v>0</v>
      </c>
      <c r="E25" s="1072">
        <f>C25+D25</f>
        <v>3609721.7481223745</v>
      </c>
      <c r="F25" s="1084">
        <f>EAI!H24</f>
        <v>2649306.3099999996</v>
      </c>
      <c r="G25" s="1085">
        <f>EAI!I24</f>
        <v>2649306.3099999996</v>
      </c>
      <c r="H25" s="1074">
        <f>G25-C25</f>
        <v>-960415.43812237494</v>
      </c>
    </row>
    <row r="26" spans="2:8">
      <c r="B26" s="1086" t="s">
        <v>87</v>
      </c>
      <c r="C26" s="1087">
        <f>SUM(C24,C18,C8)</f>
        <v>104709875.48973811</v>
      </c>
      <c r="D26" s="1087">
        <f>SUM(D24,D18,D8)</f>
        <v>0</v>
      </c>
      <c r="E26" s="1087">
        <f>SUM(D26,C26)</f>
        <v>104709875.48973811</v>
      </c>
      <c r="F26" s="1087">
        <f>SUM(F24,F18,F8)</f>
        <v>30419926.119999997</v>
      </c>
      <c r="G26" s="1088">
        <f>SUM(G24,G18,G8)</f>
        <v>30419926.119999997</v>
      </c>
      <c r="H26" s="1774">
        <f>SUM(G26-C26)</f>
        <v>-74289949.369738102</v>
      </c>
    </row>
    <row r="27" spans="2:8">
      <c r="B27" s="905"/>
      <c r="C27" s="1089"/>
      <c r="D27" s="1089"/>
      <c r="E27" s="1089"/>
      <c r="F27" s="1776" t="s">
        <v>4942</v>
      </c>
      <c r="G27" s="1777"/>
      <c r="H27" s="1775"/>
    </row>
  </sheetData>
  <mergeCells count="8">
    <mergeCell ref="H26:H27"/>
    <mergeCell ref="F27:G27"/>
    <mergeCell ref="B2:H2"/>
    <mergeCell ref="B3:H3"/>
    <mergeCell ref="B4:H4"/>
    <mergeCell ref="B5:B7"/>
    <mergeCell ref="C5:G5"/>
    <mergeCell ref="H5:H6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76DA7B-4EEB-4A60-A362-DCB361B2676D}">
  <dimension ref="B2:H38"/>
  <sheetViews>
    <sheetView topLeftCell="A13" workbookViewId="0">
      <selection activeCell="H9" sqref="H9"/>
    </sheetView>
  </sheetViews>
  <sheetFormatPr baseColWidth="10" defaultColWidth="11.42578125" defaultRowHeight="12"/>
  <cols>
    <col min="1" max="1" width="3.5703125" style="1" customWidth="1"/>
    <col min="2" max="2" width="53.140625" style="1" customWidth="1"/>
    <col min="3" max="8" width="13.7109375" style="1" customWidth="1"/>
    <col min="9" max="9" width="4.85546875" style="1" customWidth="1"/>
    <col min="10" max="16384" width="11.42578125" style="1"/>
  </cols>
  <sheetData>
    <row r="2" spans="2:8">
      <c r="B2" s="1761" t="s">
        <v>2992</v>
      </c>
      <c r="C2" s="1762"/>
      <c r="D2" s="1762"/>
      <c r="E2" s="1762"/>
      <c r="F2" s="1762"/>
      <c r="G2" s="1762"/>
      <c r="H2" s="1763"/>
    </row>
    <row r="3" spans="2:8">
      <c r="B3" s="1764" t="s">
        <v>791</v>
      </c>
      <c r="C3" s="1650"/>
      <c r="D3" s="1650"/>
      <c r="E3" s="1650"/>
      <c r="F3" s="1650"/>
      <c r="G3" s="1650"/>
      <c r="H3" s="1765"/>
    </row>
    <row r="4" spans="2:8">
      <c r="B4" s="1766"/>
      <c r="C4" s="1767"/>
      <c r="D4" s="1767"/>
      <c r="E4" s="1767"/>
      <c r="F4" s="1767"/>
      <c r="G4" s="1767"/>
      <c r="H4" s="1768"/>
    </row>
    <row r="5" spans="2:8">
      <c r="B5" s="1772" t="s">
        <v>4946</v>
      </c>
      <c r="C5" s="1792" t="s">
        <v>793</v>
      </c>
      <c r="D5" s="1793"/>
      <c r="E5" s="1793"/>
      <c r="F5" s="1793"/>
      <c r="G5" s="1794"/>
      <c r="H5" s="1795" t="s">
        <v>794</v>
      </c>
    </row>
    <row r="6" spans="2:8" ht="24">
      <c r="B6" s="1764"/>
      <c r="C6" s="1039" t="s">
        <v>795</v>
      </c>
      <c r="D6" s="1040" t="s">
        <v>796</v>
      </c>
      <c r="E6" s="1039" t="s">
        <v>797</v>
      </c>
      <c r="F6" s="1039" t="s">
        <v>236</v>
      </c>
      <c r="G6" s="1039" t="s">
        <v>798</v>
      </c>
      <c r="H6" s="1796"/>
    </row>
    <row r="7" spans="2:8">
      <c r="B7" s="1791"/>
      <c r="C7" s="1090" t="s">
        <v>4936</v>
      </c>
      <c r="D7" s="1090" t="s">
        <v>4937</v>
      </c>
      <c r="E7" s="1039" t="s">
        <v>801</v>
      </c>
      <c r="F7" s="1039" t="s">
        <v>4938</v>
      </c>
      <c r="G7" s="1039" t="s">
        <v>4939</v>
      </c>
      <c r="H7" s="1039" t="s">
        <v>4940</v>
      </c>
    </row>
    <row r="8" spans="2:8" ht="24">
      <c r="B8" s="1091" t="s">
        <v>4948</v>
      </c>
      <c r="C8" s="1092">
        <f>+'13 ri sif'!C14</f>
        <v>101100153.74161573</v>
      </c>
      <c r="D8" s="1045">
        <f>'13 ri sif'!D14</f>
        <v>0</v>
      </c>
      <c r="E8" s="1093">
        <f>SUM(C8:D8)</f>
        <v>101100153.74161573</v>
      </c>
      <c r="F8" s="1092">
        <f>+'13 ri sif'!F14</f>
        <v>27770619.809999999</v>
      </c>
      <c r="G8" s="1045">
        <f>+'13 ri sif'!G14</f>
        <v>27770619.809999999</v>
      </c>
      <c r="H8" s="1046">
        <f>SUM(G8-C8)</f>
        <v>-73329533.931615725</v>
      </c>
    </row>
    <row r="9" spans="2:8">
      <c r="B9" s="1094" t="s">
        <v>811</v>
      </c>
      <c r="C9" s="1095">
        <f>'13 ri sif'!C17</f>
        <v>3609721.7481223745</v>
      </c>
      <c r="D9" s="1042">
        <f>'13 ri sif'!D17</f>
        <v>0</v>
      </c>
      <c r="E9" s="1046">
        <f t="shared" ref="E9:E32" si="0">SUM(C9:D9)</f>
        <v>3609721.7481223745</v>
      </c>
      <c r="F9" s="1095">
        <f>'13 ri sif'!F17</f>
        <v>2649306.3099999996</v>
      </c>
      <c r="G9" s="1042">
        <f>'13 ri sif'!G17</f>
        <v>2649306.3099999996</v>
      </c>
      <c r="H9" s="1046">
        <f t="shared" ref="H9:H33" si="1">SUM(G9-C9)</f>
        <v>-960415.43812237494</v>
      </c>
    </row>
    <row r="10" spans="2:8">
      <c r="B10" s="1096"/>
      <c r="C10" s="1095">
        <v>0</v>
      </c>
      <c r="D10" s="1042">
        <v>0</v>
      </c>
      <c r="E10" s="1046">
        <f t="shared" si="0"/>
        <v>0</v>
      </c>
      <c r="F10" s="1095">
        <v>0</v>
      </c>
      <c r="G10" s="1042">
        <v>0</v>
      </c>
      <c r="H10" s="1046">
        <f t="shared" si="1"/>
        <v>0</v>
      </c>
    </row>
    <row r="11" spans="2:8">
      <c r="B11" s="1096"/>
      <c r="C11" s="1095">
        <v>0</v>
      </c>
      <c r="D11" s="1042">
        <v>0</v>
      </c>
      <c r="E11" s="1046">
        <f t="shared" si="0"/>
        <v>0</v>
      </c>
      <c r="F11" s="1095">
        <v>0</v>
      </c>
      <c r="G11" s="1042">
        <v>0</v>
      </c>
      <c r="H11" s="1046">
        <f t="shared" si="1"/>
        <v>0</v>
      </c>
    </row>
    <row r="12" spans="2:8">
      <c r="B12" s="1096"/>
      <c r="C12" s="1095">
        <v>0</v>
      </c>
      <c r="D12" s="1042">
        <v>0</v>
      </c>
      <c r="E12" s="1046">
        <f t="shared" si="0"/>
        <v>0</v>
      </c>
      <c r="F12" s="1095">
        <v>0</v>
      </c>
      <c r="G12" s="1042">
        <v>0</v>
      </c>
      <c r="H12" s="1046">
        <f t="shared" si="1"/>
        <v>0</v>
      </c>
    </row>
    <row r="13" spans="2:8">
      <c r="B13" s="1096"/>
      <c r="C13" s="1095">
        <v>0</v>
      </c>
      <c r="D13" s="1042">
        <v>0</v>
      </c>
      <c r="E13" s="1046">
        <f t="shared" si="0"/>
        <v>0</v>
      </c>
      <c r="F13" s="1095">
        <v>0</v>
      </c>
      <c r="G13" s="1042">
        <v>0</v>
      </c>
      <c r="H13" s="1046">
        <f t="shared" si="1"/>
        <v>0</v>
      </c>
    </row>
    <row r="14" spans="2:8">
      <c r="B14" s="1096"/>
      <c r="C14" s="1095">
        <v>0</v>
      </c>
      <c r="D14" s="1042">
        <v>0</v>
      </c>
      <c r="E14" s="1046">
        <f t="shared" si="0"/>
        <v>0</v>
      </c>
      <c r="F14" s="1095">
        <v>0</v>
      </c>
      <c r="G14" s="1042">
        <v>0</v>
      </c>
      <c r="H14" s="1046">
        <f t="shared" si="1"/>
        <v>0</v>
      </c>
    </row>
    <row r="15" spans="2:8">
      <c r="B15" s="1096"/>
      <c r="C15" s="1095">
        <v>0</v>
      </c>
      <c r="D15" s="1042">
        <v>0</v>
      </c>
      <c r="E15" s="1046">
        <f t="shared" si="0"/>
        <v>0</v>
      </c>
      <c r="F15" s="1095">
        <v>0</v>
      </c>
      <c r="G15" s="1042">
        <v>0</v>
      </c>
      <c r="H15" s="1046">
        <f t="shared" si="1"/>
        <v>0</v>
      </c>
    </row>
    <row r="16" spans="2:8">
      <c r="B16" s="1096"/>
      <c r="C16" s="1095">
        <v>0</v>
      </c>
      <c r="D16" s="1042">
        <v>0</v>
      </c>
      <c r="E16" s="1046">
        <f t="shared" si="0"/>
        <v>0</v>
      </c>
      <c r="F16" s="1095">
        <v>0</v>
      </c>
      <c r="G16" s="1042">
        <v>0</v>
      </c>
      <c r="H16" s="1046">
        <f t="shared" si="1"/>
        <v>0</v>
      </c>
    </row>
    <row r="17" spans="2:8">
      <c r="B17" s="1096"/>
      <c r="C17" s="1095">
        <v>0</v>
      </c>
      <c r="D17" s="1042">
        <v>0</v>
      </c>
      <c r="E17" s="1046">
        <f t="shared" si="0"/>
        <v>0</v>
      </c>
      <c r="F17" s="1095">
        <v>0</v>
      </c>
      <c r="G17" s="1042">
        <v>0</v>
      </c>
      <c r="H17" s="1046">
        <f t="shared" si="1"/>
        <v>0</v>
      </c>
    </row>
    <row r="18" spans="2:8">
      <c r="B18" s="1096"/>
      <c r="C18" s="1095">
        <v>0</v>
      </c>
      <c r="D18" s="1042">
        <v>0</v>
      </c>
      <c r="E18" s="1046">
        <f t="shared" si="0"/>
        <v>0</v>
      </c>
      <c r="F18" s="1095">
        <v>0</v>
      </c>
      <c r="G18" s="1042">
        <v>0</v>
      </c>
      <c r="H18" s="1046">
        <f t="shared" si="1"/>
        <v>0</v>
      </c>
    </row>
    <row r="19" spans="2:8">
      <c r="B19" s="1096"/>
      <c r="C19" s="1095">
        <v>0</v>
      </c>
      <c r="D19" s="1042">
        <v>0</v>
      </c>
      <c r="E19" s="1046">
        <f t="shared" si="0"/>
        <v>0</v>
      </c>
      <c r="F19" s="1095">
        <v>0</v>
      </c>
      <c r="G19" s="1042">
        <v>0</v>
      </c>
      <c r="H19" s="1046">
        <f t="shared" si="1"/>
        <v>0</v>
      </c>
    </row>
    <row r="20" spans="2:8">
      <c r="B20" s="1096"/>
      <c r="C20" s="1095">
        <v>0</v>
      </c>
      <c r="D20" s="1042">
        <v>0</v>
      </c>
      <c r="E20" s="1046">
        <f t="shared" si="0"/>
        <v>0</v>
      </c>
      <c r="F20" s="1095">
        <v>0</v>
      </c>
      <c r="G20" s="1042">
        <v>0</v>
      </c>
      <c r="H20" s="1046">
        <f t="shared" si="1"/>
        <v>0</v>
      </c>
    </row>
    <row r="21" spans="2:8">
      <c r="B21" s="1096"/>
      <c r="C21" s="1095">
        <v>0</v>
      </c>
      <c r="D21" s="1042">
        <v>0</v>
      </c>
      <c r="E21" s="1046">
        <f t="shared" si="0"/>
        <v>0</v>
      </c>
      <c r="F21" s="1095">
        <v>0</v>
      </c>
      <c r="G21" s="1042">
        <v>0</v>
      </c>
      <c r="H21" s="1046">
        <f t="shared" si="1"/>
        <v>0</v>
      </c>
    </row>
    <row r="22" spans="2:8">
      <c r="B22" s="1096"/>
      <c r="C22" s="1095">
        <v>0</v>
      </c>
      <c r="D22" s="1042">
        <v>0</v>
      </c>
      <c r="E22" s="1046">
        <f t="shared" si="0"/>
        <v>0</v>
      </c>
      <c r="F22" s="1095">
        <v>0</v>
      </c>
      <c r="G22" s="1042">
        <v>0</v>
      </c>
      <c r="H22" s="1046">
        <f t="shared" si="1"/>
        <v>0</v>
      </c>
    </row>
    <row r="23" spans="2:8">
      <c r="B23" s="1096"/>
      <c r="C23" s="1095">
        <v>0</v>
      </c>
      <c r="D23" s="1042">
        <v>0</v>
      </c>
      <c r="E23" s="1046">
        <f t="shared" si="0"/>
        <v>0</v>
      </c>
      <c r="F23" s="1095">
        <v>0</v>
      </c>
      <c r="G23" s="1042">
        <v>0</v>
      </c>
      <c r="H23" s="1046">
        <f t="shared" si="1"/>
        <v>0</v>
      </c>
    </row>
    <row r="24" spans="2:8">
      <c r="B24" s="1096"/>
      <c r="C24" s="1095">
        <v>0</v>
      </c>
      <c r="D24" s="1042">
        <v>0</v>
      </c>
      <c r="E24" s="1046">
        <f t="shared" si="0"/>
        <v>0</v>
      </c>
      <c r="F24" s="1095">
        <v>0</v>
      </c>
      <c r="G24" s="1042">
        <v>0</v>
      </c>
      <c r="H24" s="1046">
        <f t="shared" si="1"/>
        <v>0</v>
      </c>
    </row>
    <row r="25" spans="2:8">
      <c r="B25" s="1096"/>
      <c r="C25" s="1095">
        <v>0</v>
      </c>
      <c r="D25" s="1042">
        <v>0</v>
      </c>
      <c r="E25" s="1046">
        <f t="shared" si="0"/>
        <v>0</v>
      </c>
      <c r="F25" s="1095">
        <v>0</v>
      </c>
      <c r="G25" s="1042">
        <v>0</v>
      </c>
      <c r="H25" s="1046">
        <f t="shared" si="1"/>
        <v>0</v>
      </c>
    </row>
    <row r="26" spans="2:8">
      <c r="B26" s="1096"/>
      <c r="C26" s="1095">
        <v>0</v>
      </c>
      <c r="D26" s="1042">
        <v>0</v>
      </c>
      <c r="E26" s="1046">
        <f t="shared" si="0"/>
        <v>0</v>
      </c>
      <c r="F26" s="1095">
        <v>0</v>
      </c>
      <c r="G26" s="1042">
        <v>0</v>
      </c>
      <c r="H26" s="1046">
        <f t="shared" si="1"/>
        <v>0</v>
      </c>
    </row>
    <row r="27" spans="2:8">
      <c r="B27" s="1096"/>
      <c r="C27" s="1095">
        <v>0</v>
      </c>
      <c r="D27" s="1042">
        <v>0</v>
      </c>
      <c r="E27" s="1046">
        <f t="shared" si="0"/>
        <v>0</v>
      </c>
      <c r="F27" s="1095">
        <v>0</v>
      </c>
      <c r="G27" s="1042">
        <v>0</v>
      </c>
      <c r="H27" s="1046">
        <f t="shared" si="1"/>
        <v>0</v>
      </c>
    </row>
    <row r="28" spans="2:8">
      <c r="B28" s="1096"/>
      <c r="C28" s="1095">
        <v>0</v>
      </c>
      <c r="D28" s="1042">
        <v>0</v>
      </c>
      <c r="E28" s="1046">
        <f t="shared" si="0"/>
        <v>0</v>
      </c>
      <c r="F28" s="1095">
        <v>0</v>
      </c>
      <c r="G28" s="1042">
        <v>0</v>
      </c>
      <c r="H28" s="1046">
        <f t="shared" si="1"/>
        <v>0</v>
      </c>
    </row>
    <row r="29" spans="2:8">
      <c r="B29" s="1096"/>
      <c r="C29" s="1095">
        <v>0</v>
      </c>
      <c r="D29" s="1042">
        <v>0</v>
      </c>
      <c r="E29" s="1046">
        <f t="shared" si="0"/>
        <v>0</v>
      </c>
      <c r="F29" s="1095">
        <v>0</v>
      </c>
      <c r="G29" s="1042">
        <v>0</v>
      </c>
      <c r="H29" s="1046">
        <f t="shared" si="1"/>
        <v>0</v>
      </c>
    </row>
    <row r="30" spans="2:8">
      <c r="B30" s="1096"/>
      <c r="C30" s="1095">
        <v>0</v>
      </c>
      <c r="D30" s="1042">
        <v>0</v>
      </c>
      <c r="E30" s="1046">
        <f t="shared" si="0"/>
        <v>0</v>
      </c>
      <c r="F30" s="1095">
        <v>0</v>
      </c>
      <c r="G30" s="1042">
        <v>0</v>
      </c>
      <c r="H30" s="1046">
        <f t="shared" si="1"/>
        <v>0</v>
      </c>
    </row>
    <row r="31" spans="2:8">
      <c r="B31" s="1096"/>
      <c r="C31" s="1095">
        <v>0</v>
      </c>
      <c r="D31" s="1042">
        <v>0</v>
      </c>
      <c r="E31" s="1046">
        <f t="shared" si="0"/>
        <v>0</v>
      </c>
      <c r="F31" s="1095">
        <v>0</v>
      </c>
      <c r="G31" s="1042">
        <v>0</v>
      </c>
      <c r="H31" s="1046">
        <f t="shared" si="1"/>
        <v>0</v>
      </c>
    </row>
    <row r="32" spans="2:8">
      <c r="B32" s="1096"/>
      <c r="C32" s="1095">
        <v>0</v>
      </c>
      <c r="D32" s="1042">
        <v>0</v>
      </c>
      <c r="E32" s="1046">
        <f t="shared" si="0"/>
        <v>0</v>
      </c>
      <c r="F32" s="1095">
        <v>0</v>
      </c>
      <c r="G32" s="1042">
        <v>0</v>
      </c>
      <c r="H32" s="1046">
        <f t="shared" si="1"/>
        <v>0</v>
      </c>
    </row>
    <row r="33" spans="2:8">
      <c r="B33" s="1097"/>
      <c r="C33" s="1098">
        <v>0</v>
      </c>
      <c r="D33" s="1051">
        <v>0</v>
      </c>
      <c r="E33" s="1099"/>
      <c r="F33" s="1098">
        <v>0</v>
      </c>
      <c r="G33" s="1051">
        <v>0</v>
      </c>
      <c r="H33" s="1100">
        <f t="shared" si="1"/>
        <v>0</v>
      </c>
    </row>
    <row r="34" spans="2:8" ht="15" customHeight="1">
      <c r="B34" s="1101" t="s">
        <v>87</v>
      </c>
      <c r="C34" s="1056">
        <f>SUM(C8:C33)</f>
        <v>104709875.48973811</v>
      </c>
      <c r="D34" s="1056">
        <f>SUM(D8:D33)</f>
        <v>0</v>
      </c>
      <c r="E34" s="1053">
        <f>SUM(C34:D34)</f>
        <v>104709875.48973811</v>
      </c>
      <c r="F34" s="1053">
        <f>SUM(F8:F33)</f>
        <v>30419926.119999997</v>
      </c>
      <c r="G34" s="1053">
        <f>SUM(G8:G33)</f>
        <v>30419926.119999997</v>
      </c>
      <c r="H34" s="1757">
        <f>G34-C34</f>
        <v>-74289949.369738102</v>
      </c>
    </row>
    <row r="35" spans="2:8" ht="12" customHeight="1">
      <c r="B35" s="1102"/>
      <c r="C35" s="1103"/>
      <c r="D35" s="1103"/>
      <c r="E35" s="1103"/>
      <c r="F35" s="1787" t="s">
        <v>4942</v>
      </c>
      <c r="G35" s="1788"/>
      <c r="H35" s="1758"/>
    </row>
    <row r="37" spans="2:8">
      <c r="B37" s="1789"/>
      <c r="C37" s="1789"/>
      <c r="D37" s="1789"/>
      <c r="E37" s="1789"/>
      <c r="F37" s="1789"/>
      <c r="G37" s="1789"/>
      <c r="H37" s="1789"/>
    </row>
    <row r="38" spans="2:8" ht="60" customHeight="1">
      <c r="B38" s="1790" t="s">
        <v>4947</v>
      </c>
      <c r="C38" s="1790"/>
      <c r="D38" s="1790"/>
      <c r="E38" s="1790"/>
      <c r="F38" s="1790"/>
      <c r="G38" s="1790"/>
      <c r="H38" s="1790"/>
    </row>
  </sheetData>
  <mergeCells count="10">
    <mergeCell ref="H34:H35"/>
    <mergeCell ref="F35:G35"/>
    <mergeCell ref="B37:H37"/>
    <mergeCell ref="B38:H38"/>
    <mergeCell ref="B2:H2"/>
    <mergeCell ref="B3:H3"/>
    <mergeCell ref="B4:H4"/>
    <mergeCell ref="B5:B7"/>
    <mergeCell ref="C5:G5"/>
    <mergeCell ref="H5:H6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16D8F7-51D1-419D-93F8-90DA29AB143C}">
  <dimension ref="B1:Q97"/>
  <sheetViews>
    <sheetView topLeftCell="A10" workbookViewId="0">
      <selection activeCell="F35" sqref="F35"/>
    </sheetView>
  </sheetViews>
  <sheetFormatPr baseColWidth="10" defaultColWidth="11.42578125" defaultRowHeight="12"/>
  <cols>
    <col min="1" max="1" width="3.42578125" style="1104" customWidth="1"/>
    <col min="2" max="2" width="55.5703125" style="1288" customWidth="1"/>
    <col min="3" max="3" width="14.42578125" style="1104" bestFit="1" customWidth="1"/>
    <col min="4" max="4" width="16" style="1104" customWidth="1"/>
    <col min="5" max="7" width="14.42578125" style="1104" bestFit="1" customWidth="1"/>
    <col min="8" max="8" width="14.140625" style="1104" customWidth="1"/>
    <col min="9" max="9" width="4.5703125" style="1104" customWidth="1"/>
    <col min="10" max="16384" width="11.42578125" style="1104"/>
  </cols>
  <sheetData>
    <row r="1" spans="2:9" ht="12.75" customHeight="1" thickBot="1">
      <c r="I1" s="1289" t="s">
        <v>5171</v>
      </c>
    </row>
    <row r="2" spans="2:9">
      <c r="B2" s="1798" t="s">
        <v>2992</v>
      </c>
      <c r="C2" s="1799"/>
      <c r="D2" s="1799"/>
      <c r="E2" s="1799"/>
      <c r="F2" s="1799"/>
      <c r="G2" s="1799"/>
      <c r="H2" s="1800"/>
    </row>
    <row r="3" spans="2:9">
      <c r="B3" s="1801" t="s">
        <v>5172</v>
      </c>
      <c r="C3" s="1802"/>
      <c r="D3" s="1802"/>
      <c r="E3" s="1802"/>
      <c r="F3" s="1802"/>
      <c r="G3" s="1802"/>
      <c r="H3" s="1803"/>
    </row>
    <row r="4" spans="2:9">
      <c r="B4" s="1804"/>
      <c r="C4" s="1805"/>
      <c r="D4" s="1805"/>
      <c r="E4" s="1805"/>
      <c r="F4" s="1805"/>
      <c r="G4" s="1805"/>
      <c r="H4" s="1806"/>
    </row>
    <row r="5" spans="2:9" ht="12.75" thickBot="1">
      <c r="B5" s="1807" t="s">
        <v>5022</v>
      </c>
      <c r="C5" s="1808"/>
      <c r="D5" s="1808"/>
      <c r="E5" s="1808"/>
      <c r="F5" s="1808"/>
      <c r="G5" s="1808"/>
      <c r="H5" s="1809"/>
    </row>
    <row r="6" spans="2:9" ht="12.75" thickBot="1">
      <c r="B6" s="1810" t="s">
        <v>5173</v>
      </c>
      <c r="C6" s="1812" t="s">
        <v>793</v>
      </c>
      <c r="D6" s="1813"/>
      <c r="E6" s="1813"/>
      <c r="F6" s="1813"/>
      <c r="G6" s="1814"/>
      <c r="H6" s="1815" t="s">
        <v>5174</v>
      </c>
    </row>
    <row r="7" spans="2:9" ht="30" customHeight="1" thickBot="1">
      <c r="B7" s="1811"/>
      <c r="C7" s="1107" t="s">
        <v>5175</v>
      </c>
      <c r="D7" s="1107" t="s">
        <v>822</v>
      </c>
      <c r="E7" s="1107" t="s">
        <v>797</v>
      </c>
      <c r="F7" s="1107" t="s">
        <v>236</v>
      </c>
      <c r="G7" s="1107" t="s">
        <v>798</v>
      </c>
      <c r="H7" s="1816"/>
    </row>
    <row r="8" spans="2:9" ht="15" customHeight="1">
      <c r="B8" s="1290"/>
      <c r="C8" s="1291"/>
      <c r="D8" s="1291"/>
      <c r="E8" s="1291"/>
      <c r="F8" s="1291"/>
      <c r="G8" s="1291"/>
      <c r="H8" s="1291"/>
    </row>
    <row r="9" spans="2:9">
      <c r="B9" s="1283" t="s">
        <v>5176</v>
      </c>
      <c r="C9" s="1292"/>
      <c r="D9" s="1292"/>
      <c r="E9" s="1293"/>
      <c r="F9" s="1292"/>
      <c r="G9" s="1292"/>
      <c r="H9" s="1293"/>
    </row>
    <row r="10" spans="2:9">
      <c r="B10" s="1294" t="s">
        <v>5177</v>
      </c>
      <c r="C10" s="1295">
        <v>0</v>
      </c>
      <c r="D10" s="1295">
        <v>0</v>
      </c>
      <c r="E10" s="1296">
        <f>SUM(C10:D10)</f>
        <v>0</v>
      </c>
      <c r="F10" s="1295">
        <v>0</v>
      </c>
      <c r="G10" s="1295">
        <v>0</v>
      </c>
      <c r="H10" s="1296">
        <f>SUM(C10-G10)</f>
        <v>0</v>
      </c>
    </row>
    <row r="11" spans="2:9" ht="15" customHeight="1">
      <c r="B11" s="1253" t="s">
        <v>5178</v>
      </c>
      <c r="C11" s="1295">
        <v>0</v>
      </c>
      <c r="D11" s="1295">
        <v>0</v>
      </c>
      <c r="E11" s="1296">
        <f t="shared" ref="E11:E17" si="0">SUM(C11:D11)</f>
        <v>0</v>
      </c>
      <c r="F11" s="1295">
        <v>0</v>
      </c>
      <c r="G11" s="1295">
        <v>0</v>
      </c>
      <c r="H11" s="1296">
        <f t="shared" ref="H11:H41" si="1">SUM(C11-G11)</f>
        <v>0</v>
      </c>
    </row>
    <row r="12" spans="2:9">
      <c r="B12" s="1294" t="s">
        <v>5179</v>
      </c>
      <c r="C12" s="1295">
        <v>0</v>
      </c>
      <c r="D12" s="1295">
        <v>0</v>
      </c>
      <c r="E12" s="1296">
        <f t="shared" si="0"/>
        <v>0</v>
      </c>
      <c r="F12" s="1295">
        <v>0</v>
      </c>
      <c r="G12" s="1295">
        <v>0</v>
      </c>
      <c r="H12" s="1296">
        <f t="shared" si="1"/>
        <v>0</v>
      </c>
    </row>
    <row r="13" spans="2:9">
      <c r="B13" s="1294" t="s">
        <v>5180</v>
      </c>
      <c r="C13" s="1295">
        <v>0</v>
      </c>
      <c r="D13" s="1295">
        <v>0</v>
      </c>
      <c r="E13" s="1296">
        <f t="shared" si="0"/>
        <v>0</v>
      </c>
      <c r="F13" s="1295">
        <v>0</v>
      </c>
      <c r="G13" s="1295">
        <v>0</v>
      </c>
      <c r="H13" s="1296">
        <f t="shared" si="1"/>
        <v>0</v>
      </c>
    </row>
    <row r="14" spans="2:9">
      <c r="B14" s="1294" t="s">
        <v>5181</v>
      </c>
      <c r="C14" s="1295">
        <v>0</v>
      </c>
      <c r="D14" s="1295">
        <v>0</v>
      </c>
      <c r="E14" s="1296">
        <f t="shared" si="0"/>
        <v>0</v>
      </c>
      <c r="F14" s="1295">
        <v>0</v>
      </c>
      <c r="G14" s="1295">
        <v>0</v>
      </c>
      <c r="H14" s="1296">
        <f t="shared" si="1"/>
        <v>0</v>
      </c>
    </row>
    <row r="15" spans="2:9">
      <c r="B15" s="1294" t="s">
        <v>5182</v>
      </c>
      <c r="C15" s="1295">
        <v>0</v>
      </c>
      <c r="D15" s="1295">
        <v>0</v>
      </c>
      <c r="E15" s="1296">
        <f t="shared" si="0"/>
        <v>0</v>
      </c>
      <c r="F15" s="1295">
        <v>0</v>
      </c>
      <c r="G15" s="1295">
        <v>0</v>
      </c>
      <c r="H15" s="1296">
        <f t="shared" si="1"/>
        <v>0</v>
      </c>
    </row>
    <row r="16" spans="2:9" ht="15" customHeight="1">
      <c r="B16" s="1253" t="s">
        <v>5183</v>
      </c>
      <c r="C16" s="1295">
        <f>+EAI!E21</f>
        <v>101100153.74161573</v>
      </c>
      <c r="D16" s="1295">
        <f>+EAI!F21</f>
        <v>0</v>
      </c>
      <c r="E16" s="1296">
        <f t="shared" si="0"/>
        <v>101100153.74161573</v>
      </c>
      <c r="F16" s="1295">
        <f>+EAI!H21</f>
        <v>27770619.809999999</v>
      </c>
      <c r="G16" s="1295">
        <f>+EAI!I21</f>
        <v>27770619.809999999</v>
      </c>
      <c r="H16" s="1296">
        <f t="shared" si="1"/>
        <v>73329533.931615725</v>
      </c>
    </row>
    <row r="17" spans="2:8">
      <c r="B17" s="1294" t="s">
        <v>5184</v>
      </c>
      <c r="C17" s="979">
        <f>SUM(C19:C29)</f>
        <v>0</v>
      </c>
      <c r="D17" s="979">
        <f t="shared" ref="D17:G17" si="2">SUM(D19:D29)</f>
        <v>0</v>
      </c>
      <c r="E17" s="1296">
        <f t="shared" si="0"/>
        <v>0</v>
      </c>
      <c r="F17" s="979">
        <f t="shared" si="2"/>
        <v>0</v>
      </c>
      <c r="G17" s="979">
        <f t="shared" si="2"/>
        <v>0</v>
      </c>
      <c r="H17" s="1296">
        <f t="shared" si="1"/>
        <v>0</v>
      </c>
    </row>
    <row r="18" spans="2:8">
      <c r="B18" s="1294" t="s">
        <v>5185</v>
      </c>
      <c r="C18" s="1285"/>
      <c r="D18" s="1285"/>
      <c r="E18" s="1297"/>
      <c r="F18" s="1285"/>
      <c r="G18" s="1285"/>
      <c r="H18" s="1297"/>
    </row>
    <row r="19" spans="2:8">
      <c r="B19" s="1298" t="s">
        <v>5186</v>
      </c>
      <c r="C19" s="982">
        <v>0</v>
      </c>
      <c r="D19" s="982">
        <v>0</v>
      </c>
      <c r="E19" s="1297">
        <f>SUM(C19:D19)</f>
        <v>0</v>
      </c>
      <c r="F19" s="982">
        <v>0</v>
      </c>
      <c r="G19" s="982">
        <v>0</v>
      </c>
      <c r="H19" s="1297">
        <f t="shared" si="1"/>
        <v>0</v>
      </c>
    </row>
    <row r="20" spans="2:8">
      <c r="B20" s="1298" t="s">
        <v>5187</v>
      </c>
      <c r="C20" s="982">
        <v>0</v>
      </c>
      <c r="D20" s="982">
        <v>0</v>
      </c>
      <c r="E20" s="1297">
        <f t="shared" ref="E20:E41" si="3">SUM(C20:D20)</f>
        <v>0</v>
      </c>
      <c r="F20" s="982">
        <v>0</v>
      </c>
      <c r="G20" s="982">
        <v>0</v>
      </c>
      <c r="H20" s="1297">
        <f t="shared" si="1"/>
        <v>0</v>
      </c>
    </row>
    <row r="21" spans="2:8">
      <c r="B21" s="1298" t="s">
        <v>5188</v>
      </c>
      <c r="C21" s="982">
        <v>0</v>
      </c>
      <c r="D21" s="982">
        <v>0</v>
      </c>
      <c r="E21" s="1297">
        <f t="shared" si="3"/>
        <v>0</v>
      </c>
      <c r="F21" s="982">
        <v>0</v>
      </c>
      <c r="G21" s="982">
        <v>0</v>
      </c>
      <c r="H21" s="1297">
        <f t="shared" si="1"/>
        <v>0</v>
      </c>
    </row>
    <row r="22" spans="2:8">
      <c r="B22" s="1298" t="s">
        <v>5189</v>
      </c>
      <c r="C22" s="982">
        <v>0</v>
      </c>
      <c r="D22" s="982">
        <v>0</v>
      </c>
      <c r="E22" s="1297">
        <f t="shared" si="3"/>
        <v>0</v>
      </c>
      <c r="F22" s="982">
        <v>0</v>
      </c>
      <c r="G22" s="982">
        <v>0</v>
      </c>
      <c r="H22" s="1297">
        <f t="shared" si="1"/>
        <v>0</v>
      </c>
    </row>
    <row r="23" spans="2:8">
      <c r="B23" s="1298" t="s">
        <v>5190</v>
      </c>
      <c r="C23" s="982">
        <v>0</v>
      </c>
      <c r="D23" s="982">
        <v>0</v>
      </c>
      <c r="E23" s="1297">
        <f t="shared" si="3"/>
        <v>0</v>
      </c>
      <c r="F23" s="982">
        <v>0</v>
      </c>
      <c r="G23" s="982">
        <v>0</v>
      </c>
      <c r="H23" s="1297">
        <f t="shared" si="1"/>
        <v>0</v>
      </c>
    </row>
    <row r="24" spans="2:8">
      <c r="B24" s="1298" t="s">
        <v>5191</v>
      </c>
      <c r="C24" s="982">
        <v>0</v>
      </c>
      <c r="D24" s="982">
        <v>0</v>
      </c>
      <c r="E24" s="1297">
        <f t="shared" si="3"/>
        <v>0</v>
      </c>
      <c r="F24" s="982">
        <v>0</v>
      </c>
      <c r="G24" s="982">
        <v>0</v>
      </c>
      <c r="H24" s="1297">
        <f t="shared" si="1"/>
        <v>0</v>
      </c>
    </row>
    <row r="25" spans="2:8">
      <c r="B25" s="1298" t="s">
        <v>5192</v>
      </c>
      <c r="C25" s="982">
        <v>0</v>
      </c>
      <c r="D25" s="982">
        <v>0</v>
      </c>
      <c r="E25" s="1297">
        <f t="shared" si="3"/>
        <v>0</v>
      </c>
      <c r="F25" s="982">
        <v>0</v>
      </c>
      <c r="G25" s="982">
        <v>0</v>
      </c>
      <c r="H25" s="1297">
        <f>SUM(C25-G25)</f>
        <v>0</v>
      </c>
    </row>
    <row r="26" spans="2:8">
      <c r="B26" s="1298" t="s">
        <v>5193</v>
      </c>
      <c r="C26" s="982">
        <v>0</v>
      </c>
      <c r="D26" s="982">
        <v>0</v>
      </c>
      <c r="E26" s="1297">
        <f t="shared" si="3"/>
        <v>0</v>
      </c>
      <c r="F26" s="982">
        <v>0</v>
      </c>
      <c r="G26" s="982">
        <v>0</v>
      </c>
      <c r="H26" s="1297">
        <f t="shared" si="1"/>
        <v>0</v>
      </c>
    </row>
    <row r="27" spans="2:8">
      <c r="B27" s="1298" t="s">
        <v>5194</v>
      </c>
      <c r="C27" s="982">
        <v>0</v>
      </c>
      <c r="D27" s="982">
        <v>0</v>
      </c>
      <c r="E27" s="1297">
        <f t="shared" si="3"/>
        <v>0</v>
      </c>
      <c r="F27" s="982">
        <v>0</v>
      </c>
      <c r="G27" s="982">
        <v>0</v>
      </c>
      <c r="H27" s="1297">
        <f t="shared" si="1"/>
        <v>0</v>
      </c>
    </row>
    <row r="28" spans="2:8">
      <c r="B28" s="1298" t="s">
        <v>5195</v>
      </c>
      <c r="C28" s="982">
        <v>0</v>
      </c>
      <c r="D28" s="982">
        <v>0</v>
      </c>
      <c r="E28" s="1297">
        <f t="shared" si="3"/>
        <v>0</v>
      </c>
      <c r="F28" s="982">
        <v>0</v>
      </c>
      <c r="G28" s="982">
        <v>0</v>
      </c>
      <c r="H28" s="1297">
        <f t="shared" si="1"/>
        <v>0</v>
      </c>
    </row>
    <row r="29" spans="2:8" ht="24">
      <c r="B29" s="1298" t="s">
        <v>5196</v>
      </c>
      <c r="C29" s="982">
        <v>0</v>
      </c>
      <c r="D29" s="982">
        <v>0</v>
      </c>
      <c r="E29" s="1297">
        <f t="shared" si="3"/>
        <v>0</v>
      </c>
      <c r="F29" s="982">
        <v>0</v>
      </c>
      <c r="G29" s="982">
        <v>0</v>
      </c>
      <c r="H29" s="1297">
        <f t="shared" si="1"/>
        <v>0</v>
      </c>
    </row>
    <row r="30" spans="2:8" ht="24.75" customHeight="1">
      <c r="B30" s="1253" t="s">
        <v>5197</v>
      </c>
      <c r="C30" s="979">
        <f>SUM(C31:C35)</f>
        <v>0</v>
      </c>
      <c r="D30" s="979">
        <f t="shared" ref="D30:H30" si="4">SUM(D31:D35)</f>
        <v>0</v>
      </c>
      <c r="E30" s="1296">
        <f t="shared" si="3"/>
        <v>0</v>
      </c>
      <c r="F30" s="979">
        <f t="shared" si="4"/>
        <v>0</v>
      </c>
      <c r="G30" s="979">
        <f t="shared" si="4"/>
        <v>0</v>
      </c>
      <c r="H30" s="1296">
        <f t="shared" si="4"/>
        <v>0</v>
      </c>
    </row>
    <row r="31" spans="2:8">
      <c r="B31" s="1299" t="s">
        <v>5198</v>
      </c>
      <c r="C31" s="982">
        <v>0</v>
      </c>
      <c r="D31" s="982">
        <v>0</v>
      </c>
      <c r="E31" s="1297">
        <f t="shared" si="3"/>
        <v>0</v>
      </c>
      <c r="F31" s="982">
        <v>0</v>
      </c>
      <c r="G31" s="982">
        <v>0</v>
      </c>
      <c r="H31" s="1297">
        <f t="shared" si="1"/>
        <v>0</v>
      </c>
    </row>
    <row r="32" spans="2:8">
      <c r="B32" s="1299" t="s">
        <v>5199</v>
      </c>
      <c r="C32" s="982">
        <v>0</v>
      </c>
      <c r="D32" s="982">
        <v>0</v>
      </c>
      <c r="E32" s="1297">
        <f t="shared" si="3"/>
        <v>0</v>
      </c>
      <c r="F32" s="982">
        <v>0</v>
      </c>
      <c r="G32" s="982">
        <v>0</v>
      </c>
      <c r="H32" s="1297">
        <f t="shared" si="1"/>
        <v>0</v>
      </c>
    </row>
    <row r="33" spans="2:8">
      <c r="B33" s="1299" t="s">
        <v>5200</v>
      </c>
      <c r="C33" s="982">
        <v>0</v>
      </c>
      <c r="D33" s="982">
        <v>0</v>
      </c>
      <c r="E33" s="1297">
        <f t="shared" si="3"/>
        <v>0</v>
      </c>
      <c r="F33" s="982">
        <v>0</v>
      </c>
      <c r="G33" s="982">
        <v>0</v>
      </c>
      <c r="H33" s="1297">
        <f t="shared" si="1"/>
        <v>0</v>
      </c>
    </row>
    <row r="34" spans="2:8">
      <c r="B34" s="1298" t="s">
        <v>5201</v>
      </c>
      <c r="C34" s="982">
        <v>0</v>
      </c>
      <c r="D34" s="982">
        <v>0</v>
      </c>
      <c r="E34" s="1297">
        <f t="shared" si="3"/>
        <v>0</v>
      </c>
      <c r="F34" s="982">
        <v>0</v>
      </c>
      <c r="G34" s="982">
        <v>0</v>
      </c>
      <c r="H34" s="1297">
        <f t="shared" si="1"/>
        <v>0</v>
      </c>
    </row>
    <row r="35" spans="2:8">
      <c r="B35" s="1299" t="s">
        <v>5202</v>
      </c>
      <c r="C35" s="982">
        <v>0</v>
      </c>
      <c r="D35" s="982">
        <v>0</v>
      </c>
      <c r="E35" s="1297">
        <f t="shared" si="3"/>
        <v>0</v>
      </c>
      <c r="F35" s="982">
        <v>0</v>
      </c>
      <c r="G35" s="982">
        <v>0</v>
      </c>
      <c r="H35" s="1297">
        <f t="shared" si="1"/>
        <v>0</v>
      </c>
    </row>
    <row r="36" spans="2:8">
      <c r="B36" s="1294" t="s">
        <v>5203</v>
      </c>
      <c r="C36" s="1295">
        <v>0</v>
      </c>
      <c r="D36" s="1295">
        <v>0</v>
      </c>
      <c r="E36" s="1297">
        <f t="shared" si="3"/>
        <v>0</v>
      </c>
      <c r="F36" s="1295">
        <v>0</v>
      </c>
      <c r="G36" s="1295">
        <v>0</v>
      </c>
      <c r="H36" s="1296">
        <f t="shared" si="1"/>
        <v>0</v>
      </c>
    </row>
    <row r="37" spans="2:8">
      <c r="B37" s="1294" t="s">
        <v>5204</v>
      </c>
      <c r="C37" s="1296">
        <f>C38</f>
        <v>0</v>
      </c>
      <c r="D37" s="979">
        <f t="shared" ref="D37:G37" si="5">D38</f>
        <v>0</v>
      </c>
      <c r="E37" s="1297">
        <f t="shared" si="3"/>
        <v>0</v>
      </c>
      <c r="F37" s="979">
        <f t="shared" si="5"/>
        <v>0</v>
      </c>
      <c r="G37" s="979">
        <f t="shared" si="5"/>
        <v>0</v>
      </c>
      <c r="H37" s="1296">
        <f t="shared" si="1"/>
        <v>0</v>
      </c>
    </row>
    <row r="38" spans="2:8">
      <c r="B38" s="1299" t="s">
        <v>5205</v>
      </c>
      <c r="C38" s="982">
        <v>0</v>
      </c>
      <c r="D38" s="982">
        <v>0</v>
      </c>
      <c r="E38" s="1297">
        <f t="shared" si="3"/>
        <v>0</v>
      </c>
      <c r="F38" s="982">
        <v>0</v>
      </c>
      <c r="G38" s="982">
        <v>0</v>
      </c>
      <c r="H38" s="1297">
        <f t="shared" si="1"/>
        <v>0</v>
      </c>
    </row>
    <row r="39" spans="2:8">
      <c r="B39" s="1294" t="s">
        <v>5206</v>
      </c>
      <c r="C39" s="979">
        <f>SUM(C40:C41)</f>
        <v>3609721.7481223745</v>
      </c>
      <c r="D39" s="979">
        <f t="shared" ref="D39:G39" si="6">SUM(D40:D41)</f>
        <v>0</v>
      </c>
      <c r="E39" s="1297">
        <f t="shared" si="3"/>
        <v>3609721.7481223745</v>
      </c>
      <c r="F39" s="979">
        <f t="shared" si="6"/>
        <v>2649306.3099999996</v>
      </c>
      <c r="G39" s="979">
        <f t="shared" si="6"/>
        <v>2649306.3099999996</v>
      </c>
      <c r="H39" s="1296">
        <f t="shared" si="1"/>
        <v>960415.43812237494</v>
      </c>
    </row>
    <row r="40" spans="2:8">
      <c r="B40" s="1299" t="s">
        <v>5207</v>
      </c>
      <c r="C40" s="982">
        <v>0</v>
      </c>
      <c r="D40" s="982">
        <v>0</v>
      </c>
      <c r="E40" s="1297">
        <f t="shared" si="3"/>
        <v>0</v>
      </c>
      <c r="F40" s="982">
        <v>0</v>
      </c>
      <c r="G40" s="982">
        <v>0</v>
      </c>
      <c r="H40" s="1297">
        <f t="shared" si="1"/>
        <v>0</v>
      </c>
    </row>
    <row r="41" spans="2:8">
      <c r="B41" s="1299" t="s">
        <v>5208</v>
      </c>
      <c r="C41" s="982">
        <f>EAI!E24</f>
        <v>3609721.7481223745</v>
      </c>
      <c r="D41" s="982">
        <f>EAI!F24</f>
        <v>0</v>
      </c>
      <c r="E41" s="1297">
        <f t="shared" si="3"/>
        <v>3609721.7481223745</v>
      </c>
      <c r="F41" s="982">
        <f>EAI!H24</f>
        <v>2649306.3099999996</v>
      </c>
      <c r="G41" s="982">
        <f>EAI!I24</f>
        <v>2649306.3099999996</v>
      </c>
      <c r="H41" s="1297">
        <f t="shared" si="1"/>
        <v>960415.43812237494</v>
      </c>
    </row>
    <row r="42" spans="2:8" ht="15" customHeight="1">
      <c r="B42" s="1294"/>
      <c r="C42" s="1285"/>
      <c r="D42" s="1285"/>
      <c r="E42" s="1297"/>
      <c r="F42" s="1285"/>
      <c r="G42" s="1285"/>
      <c r="H42" s="1297"/>
    </row>
    <row r="43" spans="2:8">
      <c r="B43" s="1283" t="s">
        <v>5209</v>
      </c>
      <c r="C43" s="1817">
        <f>SUM(C10:C17,C30,C36,C37,C39)</f>
        <v>104709875.48973811</v>
      </c>
      <c r="D43" s="1817">
        <f t="shared" ref="D43:H43" si="7">SUM(D10:D17,D30,D36,D37,D39)</f>
        <v>0</v>
      </c>
      <c r="E43" s="1797">
        <f t="shared" si="7"/>
        <v>104709875.48973811</v>
      </c>
      <c r="F43" s="1817">
        <f t="shared" si="7"/>
        <v>30419926.119999997</v>
      </c>
      <c r="G43" s="1817">
        <f t="shared" si="7"/>
        <v>30419926.119999997</v>
      </c>
      <c r="H43" s="1797">
        <f t="shared" si="7"/>
        <v>74289949.369738102</v>
      </c>
    </row>
    <row r="44" spans="2:8">
      <c r="B44" s="1283" t="s">
        <v>5210</v>
      </c>
      <c r="C44" s="1817"/>
      <c r="D44" s="1817"/>
      <c r="E44" s="1797"/>
      <c r="F44" s="1817"/>
      <c r="G44" s="1817"/>
      <c r="H44" s="1797"/>
    </row>
    <row r="45" spans="2:8">
      <c r="B45" s="1283" t="s">
        <v>5211</v>
      </c>
      <c r="C45" s="1286">
        <v>0</v>
      </c>
      <c r="D45" s="1286">
        <v>0</v>
      </c>
      <c r="E45" s="1300">
        <v>0</v>
      </c>
      <c r="F45" s="1286">
        <v>0</v>
      </c>
      <c r="G45" s="1286">
        <v>0</v>
      </c>
      <c r="H45" s="1296">
        <v>0</v>
      </c>
    </row>
    <row r="46" spans="2:8" ht="15" customHeight="1">
      <c r="B46" s="1301"/>
      <c r="C46" s="1302"/>
      <c r="D46" s="1302"/>
      <c r="E46" s="1303"/>
      <c r="F46" s="1302"/>
      <c r="G46" s="1302"/>
      <c r="H46" s="1303"/>
    </row>
    <row r="47" spans="2:8">
      <c r="B47" s="1283" t="s">
        <v>5212</v>
      </c>
      <c r="C47" s="1304"/>
      <c r="D47" s="1302"/>
      <c r="E47" s="1303"/>
      <c r="F47" s="1302"/>
      <c r="G47" s="1302"/>
      <c r="H47" s="1303"/>
    </row>
    <row r="48" spans="2:8">
      <c r="B48" s="1301" t="s">
        <v>5213</v>
      </c>
      <c r="C48" s="979">
        <f>SUM(C49:C56)</f>
        <v>0</v>
      </c>
      <c r="D48" s="979">
        <f t="shared" ref="D48:H48" si="8">SUM(D49:D56)</f>
        <v>0</v>
      </c>
      <c r="E48" s="1296">
        <f>SUM(E49:E56)</f>
        <v>0</v>
      </c>
      <c r="F48" s="979">
        <f t="shared" si="8"/>
        <v>0</v>
      </c>
      <c r="G48" s="979">
        <f t="shared" si="8"/>
        <v>0</v>
      </c>
      <c r="H48" s="1296">
        <f t="shared" si="8"/>
        <v>0</v>
      </c>
    </row>
    <row r="49" spans="2:8" ht="24">
      <c r="B49" s="1253" t="s">
        <v>5214</v>
      </c>
      <c r="C49" s="982">
        <v>0</v>
      </c>
      <c r="D49" s="982">
        <v>0</v>
      </c>
      <c r="E49" s="1297">
        <f>SUM(C49:D49)</f>
        <v>0</v>
      </c>
      <c r="F49" s="982">
        <v>0</v>
      </c>
      <c r="G49" s="982">
        <v>0</v>
      </c>
      <c r="H49" s="1297">
        <f t="shared" ref="H49:H66" si="9">SUM(C49-G49)</f>
        <v>0</v>
      </c>
    </row>
    <row r="50" spans="2:8">
      <c r="B50" s="1253" t="s">
        <v>5215</v>
      </c>
      <c r="C50" s="982">
        <v>0</v>
      </c>
      <c r="D50" s="982">
        <v>0</v>
      </c>
      <c r="E50" s="1297">
        <f t="shared" ref="E50:E56" si="10">SUM(C50:D50)</f>
        <v>0</v>
      </c>
      <c r="F50" s="982">
        <v>0</v>
      </c>
      <c r="G50" s="982">
        <v>0</v>
      </c>
      <c r="H50" s="1297">
        <f t="shared" si="9"/>
        <v>0</v>
      </c>
    </row>
    <row r="51" spans="2:8">
      <c r="B51" s="1253" t="s">
        <v>5216</v>
      </c>
      <c r="C51" s="982">
        <v>0</v>
      </c>
      <c r="D51" s="982">
        <v>0</v>
      </c>
      <c r="E51" s="1297">
        <f t="shared" si="10"/>
        <v>0</v>
      </c>
      <c r="F51" s="982">
        <v>0</v>
      </c>
      <c r="G51" s="982">
        <v>0</v>
      </c>
      <c r="H51" s="1297">
        <f t="shared" si="9"/>
        <v>0</v>
      </c>
    </row>
    <row r="52" spans="2:8" ht="36">
      <c r="B52" s="1253" t="s">
        <v>5217</v>
      </c>
      <c r="C52" s="982">
        <v>0</v>
      </c>
      <c r="D52" s="982">
        <v>0</v>
      </c>
      <c r="E52" s="1297">
        <f t="shared" si="10"/>
        <v>0</v>
      </c>
      <c r="F52" s="982">
        <v>0</v>
      </c>
      <c r="G52" s="982">
        <v>0</v>
      </c>
      <c r="H52" s="1297">
        <f t="shared" si="9"/>
        <v>0</v>
      </c>
    </row>
    <row r="53" spans="2:8">
      <c r="B53" s="1253" t="s">
        <v>5218</v>
      </c>
      <c r="C53" s="982">
        <v>0</v>
      </c>
      <c r="D53" s="982">
        <v>0</v>
      </c>
      <c r="E53" s="1297">
        <f t="shared" si="10"/>
        <v>0</v>
      </c>
      <c r="F53" s="982">
        <v>0</v>
      </c>
      <c r="G53" s="982">
        <v>0</v>
      </c>
      <c r="H53" s="1297">
        <f t="shared" si="9"/>
        <v>0</v>
      </c>
    </row>
    <row r="54" spans="2:8" ht="24">
      <c r="B54" s="1253" t="s">
        <v>5219</v>
      </c>
      <c r="C54" s="982">
        <v>0</v>
      </c>
      <c r="D54" s="982">
        <v>0</v>
      </c>
      <c r="E54" s="1297">
        <f t="shared" si="10"/>
        <v>0</v>
      </c>
      <c r="F54" s="982">
        <v>0</v>
      </c>
      <c r="G54" s="982">
        <v>0</v>
      </c>
      <c r="H54" s="1297">
        <f t="shared" si="9"/>
        <v>0</v>
      </c>
    </row>
    <row r="55" spans="2:8" ht="24">
      <c r="B55" s="1253" t="s">
        <v>5220</v>
      </c>
      <c r="C55" s="982">
        <v>0</v>
      </c>
      <c r="D55" s="982">
        <v>0</v>
      </c>
      <c r="E55" s="1297">
        <f t="shared" si="10"/>
        <v>0</v>
      </c>
      <c r="F55" s="982">
        <v>0</v>
      </c>
      <c r="G55" s="982">
        <v>0</v>
      </c>
      <c r="H55" s="1297">
        <f t="shared" si="9"/>
        <v>0</v>
      </c>
    </row>
    <row r="56" spans="2:8" ht="24">
      <c r="B56" s="1253" t="s">
        <v>5221</v>
      </c>
      <c r="C56" s="982">
        <v>0</v>
      </c>
      <c r="D56" s="982">
        <v>0</v>
      </c>
      <c r="E56" s="1297">
        <f t="shared" si="10"/>
        <v>0</v>
      </c>
      <c r="F56" s="982">
        <v>0</v>
      </c>
      <c r="G56" s="982">
        <v>0</v>
      </c>
      <c r="H56" s="1297">
        <f t="shared" si="9"/>
        <v>0</v>
      </c>
    </row>
    <row r="57" spans="2:8">
      <c r="B57" s="1301" t="s">
        <v>5222</v>
      </c>
      <c r="C57" s="979">
        <f>SUM(C58:C61)</f>
        <v>0</v>
      </c>
      <c r="D57" s="979">
        <f t="shared" ref="D57:H57" si="11">SUM(D58:D61)</f>
        <v>0</v>
      </c>
      <c r="E57" s="1296">
        <f t="shared" si="11"/>
        <v>0</v>
      </c>
      <c r="F57" s="979">
        <f t="shared" si="11"/>
        <v>0</v>
      </c>
      <c r="G57" s="979">
        <f t="shared" si="11"/>
        <v>0</v>
      </c>
      <c r="H57" s="1296">
        <f t="shared" si="11"/>
        <v>0</v>
      </c>
    </row>
    <row r="58" spans="2:8">
      <c r="B58" s="1294" t="s">
        <v>5223</v>
      </c>
      <c r="C58" s="982">
        <v>0</v>
      </c>
      <c r="D58" s="982">
        <v>0</v>
      </c>
      <c r="E58" s="1297">
        <f>SUM(C58:D58)</f>
        <v>0</v>
      </c>
      <c r="F58" s="982">
        <v>0</v>
      </c>
      <c r="G58" s="982">
        <v>0</v>
      </c>
      <c r="H58" s="1297">
        <f t="shared" si="9"/>
        <v>0</v>
      </c>
    </row>
    <row r="59" spans="2:8">
      <c r="B59" s="1294" t="s">
        <v>5224</v>
      </c>
      <c r="C59" s="982">
        <v>0</v>
      </c>
      <c r="D59" s="982">
        <v>0</v>
      </c>
      <c r="E59" s="1297">
        <f t="shared" ref="E59:E64" si="12">SUM(C59:D59)</f>
        <v>0</v>
      </c>
      <c r="F59" s="982">
        <v>0</v>
      </c>
      <c r="G59" s="982">
        <v>0</v>
      </c>
      <c r="H59" s="1297">
        <f t="shared" si="9"/>
        <v>0</v>
      </c>
    </row>
    <row r="60" spans="2:8">
      <c r="B60" s="1294" t="s">
        <v>5225</v>
      </c>
      <c r="C60" s="982">
        <v>0</v>
      </c>
      <c r="D60" s="982">
        <v>0</v>
      </c>
      <c r="E60" s="1297">
        <f t="shared" si="12"/>
        <v>0</v>
      </c>
      <c r="F60" s="982">
        <v>0</v>
      </c>
      <c r="G60" s="982">
        <v>0</v>
      </c>
      <c r="H60" s="1297">
        <f t="shared" si="9"/>
        <v>0</v>
      </c>
    </row>
    <row r="61" spans="2:8">
      <c r="B61" s="1294" t="s">
        <v>5226</v>
      </c>
      <c r="C61" s="982">
        <v>0</v>
      </c>
      <c r="D61" s="982">
        <v>0</v>
      </c>
      <c r="E61" s="1297">
        <f t="shared" si="12"/>
        <v>0</v>
      </c>
      <c r="F61" s="982">
        <v>0</v>
      </c>
      <c r="G61" s="982">
        <v>0</v>
      </c>
      <c r="H61" s="1297">
        <f t="shared" si="9"/>
        <v>0</v>
      </c>
    </row>
    <row r="62" spans="2:8">
      <c r="B62" s="1301" t="s">
        <v>5227</v>
      </c>
      <c r="C62" s="979">
        <f>SUM(C63:C64)</f>
        <v>0</v>
      </c>
      <c r="D62" s="979">
        <f t="shared" ref="D62:H62" si="13">SUM(D63:D64)</f>
        <v>0</v>
      </c>
      <c r="E62" s="1296">
        <f>SUM(E63:E64)</f>
        <v>0</v>
      </c>
      <c r="F62" s="979">
        <f t="shared" si="13"/>
        <v>0</v>
      </c>
      <c r="G62" s="979">
        <f t="shared" si="13"/>
        <v>0</v>
      </c>
      <c r="H62" s="1296">
        <f t="shared" si="13"/>
        <v>0</v>
      </c>
    </row>
    <row r="63" spans="2:8" ht="24">
      <c r="B63" s="1253" t="s">
        <v>5228</v>
      </c>
      <c r="C63" s="982">
        <v>0</v>
      </c>
      <c r="D63" s="982">
        <v>0</v>
      </c>
      <c r="E63" s="1297">
        <f t="shared" si="12"/>
        <v>0</v>
      </c>
      <c r="F63" s="982">
        <v>0</v>
      </c>
      <c r="G63" s="982">
        <v>0</v>
      </c>
      <c r="H63" s="1297">
        <f t="shared" si="9"/>
        <v>0</v>
      </c>
    </row>
    <row r="64" spans="2:8">
      <c r="B64" s="1294" t="s">
        <v>5229</v>
      </c>
      <c r="C64" s="982">
        <v>0</v>
      </c>
      <c r="D64" s="982">
        <v>0</v>
      </c>
      <c r="E64" s="1297">
        <f t="shared" si="12"/>
        <v>0</v>
      </c>
      <c r="F64" s="982">
        <v>0</v>
      </c>
      <c r="G64" s="982">
        <v>0</v>
      </c>
      <c r="H64" s="1297">
        <f t="shared" si="9"/>
        <v>0</v>
      </c>
    </row>
    <row r="65" spans="2:8" ht="21.75" customHeight="1">
      <c r="B65" s="1250" t="s">
        <v>5230</v>
      </c>
      <c r="C65" s="1295">
        <v>0</v>
      </c>
      <c r="D65" s="1295">
        <v>0</v>
      </c>
      <c r="E65" s="1296">
        <f>SUM(D65,C65)</f>
        <v>0</v>
      </c>
      <c r="F65" s="1295">
        <v>0</v>
      </c>
      <c r="G65" s="1295">
        <v>0</v>
      </c>
      <c r="H65" s="1296">
        <f t="shared" si="9"/>
        <v>0</v>
      </c>
    </row>
    <row r="66" spans="2:8">
      <c r="B66" s="1301" t="s">
        <v>5231</v>
      </c>
      <c r="C66" s="1295">
        <v>0</v>
      </c>
      <c r="D66" s="1295">
        <v>0</v>
      </c>
      <c r="E66" s="1296">
        <f>SUM(D66,C66)</f>
        <v>0</v>
      </c>
      <c r="F66" s="1295">
        <v>0</v>
      </c>
      <c r="G66" s="1295">
        <v>0</v>
      </c>
      <c r="H66" s="1296">
        <f t="shared" si="9"/>
        <v>0</v>
      </c>
    </row>
    <row r="67" spans="2:8" ht="15" customHeight="1">
      <c r="B67" s="1301"/>
      <c r="C67" s="1285"/>
      <c r="D67" s="1285"/>
      <c r="E67" s="1297"/>
      <c r="F67" s="1285"/>
      <c r="G67" s="1285"/>
      <c r="H67" s="1297"/>
    </row>
    <row r="68" spans="2:8" ht="24">
      <c r="B68" s="1244" t="s">
        <v>5232</v>
      </c>
      <c r="C68" s="979">
        <f>SUM(C48,C57,C62,C65,C66)</f>
        <v>0</v>
      </c>
      <c r="D68" s="979">
        <f t="shared" ref="D68:H68" si="14">SUM(D48,D57,D62,D65,D66)</f>
        <v>0</v>
      </c>
      <c r="E68" s="1296">
        <f t="shared" si="14"/>
        <v>0</v>
      </c>
      <c r="F68" s="979">
        <f t="shared" si="14"/>
        <v>0</v>
      </c>
      <c r="G68" s="979">
        <f t="shared" si="14"/>
        <v>0</v>
      </c>
      <c r="H68" s="1296">
        <f t="shared" si="14"/>
        <v>0</v>
      </c>
    </row>
    <row r="69" spans="2:8" ht="15" customHeight="1">
      <c r="B69" s="1301"/>
      <c r="C69" s="1285"/>
      <c r="D69" s="1285"/>
      <c r="E69" s="1297"/>
      <c r="F69" s="1285"/>
      <c r="G69" s="1285"/>
      <c r="H69" s="1297"/>
    </row>
    <row r="70" spans="2:8">
      <c r="B70" s="1283" t="s">
        <v>5233</v>
      </c>
      <c r="C70" s="979">
        <f>C71</f>
        <v>0</v>
      </c>
      <c r="D70" s="979">
        <f t="shared" ref="D70:H70" si="15">D71</f>
        <v>0</v>
      </c>
      <c r="E70" s="1296">
        <f t="shared" si="15"/>
        <v>0</v>
      </c>
      <c r="F70" s="979">
        <f t="shared" si="15"/>
        <v>0</v>
      </c>
      <c r="G70" s="979">
        <f t="shared" si="15"/>
        <v>0</v>
      </c>
      <c r="H70" s="1296">
        <f t="shared" si="15"/>
        <v>0</v>
      </c>
    </row>
    <row r="71" spans="2:8">
      <c r="B71" s="1294" t="s">
        <v>5234</v>
      </c>
      <c r="C71" s="1285">
        <v>0</v>
      </c>
      <c r="D71" s="1285">
        <v>0</v>
      </c>
      <c r="E71" s="1297">
        <f t="shared" ref="E71" si="16">SUM(C71:D71)</f>
        <v>0</v>
      </c>
      <c r="F71" s="1285">
        <v>0</v>
      </c>
      <c r="G71" s="1285">
        <v>0</v>
      </c>
      <c r="H71" s="1297">
        <f t="shared" ref="H71" si="17">SUM(C71-G71)</f>
        <v>0</v>
      </c>
    </row>
    <row r="72" spans="2:8" ht="15" customHeight="1">
      <c r="B72" s="1301"/>
      <c r="C72" s="1285"/>
      <c r="D72" s="1285"/>
      <c r="E72" s="1297"/>
      <c r="F72" s="1285"/>
      <c r="G72" s="1285"/>
      <c r="H72" s="1297"/>
    </row>
    <row r="73" spans="2:8">
      <c r="B73" s="1283" t="s">
        <v>5235</v>
      </c>
      <c r="C73" s="979">
        <f>SUM(C43,C68,C70)</f>
        <v>104709875.48973811</v>
      </c>
      <c r="D73" s="979">
        <f t="shared" ref="D73:H73" si="18">SUM(D43,D68,D70)</f>
        <v>0</v>
      </c>
      <c r="E73" s="1296">
        <f t="shared" si="18"/>
        <v>104709875.48973811</v>
      </c>
      <c r="F73" s="979">
        <f t="shared" si="18"/>
        <v>30419926.119999997</v>
      </c>
      <c r="G73" s="979">
        <f t="shared" si="18"/>
        <v>30419926.119999997</v>
      </c>
      <c r="H73" s="1296">
        <f t="shared" si="18"/>
        <v>74289949.369738102</v>
      </c>
    </row>
    <row r="74" spans="2:8" ht="15" customHeight="1">
      <c r="B74" s="1301"/>
      <c r="C74" s="1116"/>
      <c r="D74" s="1116"/>
      <c r="E74" s="1116"/>
      <c r="F74" s="1116"/>
      <c r="G74" s="1116"/>
      <c r="H74" s="1116"/>
    </row>
    <row r="75" spans="2:8">
      <c r="B75" s="1305" t="s">
        <v>5236</v>
      </c>
      <c r="C75" s="979"/>
      <c r="D75" s="979"/>
      <c r="E75" s="1296"/>
      <c r="F75" s="979"/>
      <c r="G75" s="979"/>
      <c r="H75" s="1296"/>
    </row>
    <row r="76" spans="2:8" ht="24" customHeight="1">
      <c r="B76" s="1253" t="s">
        <v>5237</v>
      </c>
      <c r="C76" s="982">
        <v>0</v>
      </c>
      <c r="D76" s="982">
        <v>0</v>
      </c>
      <c r="E76" s="1297">
        <f t="shared" ref="E76:E77" si="19">SUM(C76:D76)</f>
        <v>0</v>
      </c>
      <c r="F76" s="982">
        <v>0</v>
      </c>
      <c r="G76" s="982">
        <v>0</v>
      </c>
      <c r="H76" s="1297">
        <f t="shared" ref="H76:H78" si="20">SUM(C76-G76)</f>
        <v>0</v>
      </c>
    </row>
    <row r="77" spans="2:8" ht="24" customHeight="1">
      <c r="B77" s="1253" t="s">
        <v>5238</v>
      </c>
      <c r="C77" s="982">
        <v>0</v>
      </c>
      <c r="D77" s="982">
        <v>0</v>
      </c>
      <c r="E77" s="1297">
        <f t="shared" si="19"/>
        <v>0</v>
      </c>
      <c r="F77" s="982">
        <v>0</v>
      </c>
      <c r="G77" s="982">
        <v>0</v>
      </c>
      <c r="H77" s="1297">
        <f t="shared" si="20"/>
        <v>0</v>
      </c>
    </row>
    <row r="78" spans="2:8" ht="12.75" thickBot="1">
      <c r="B78" s="1306" t="s">
        <v>5239</v>
      </c>
      <c r="C78" s="1307">
        <f>SUM(C76:C77)</f>
        <v>0</v>
      </c>
      <c r="D78" s="1307">
        <f t="shared" ref="D78:G78" si="21">SUM(D76:D77)</f>
        <v>0</v>
      </c>
      <c r="E78" s="1308">
        <f t="shared" si="21"/>
        <v>0</v>
      </c>
      <c r="F78" s="1307">
        <f t="shared" si="21"/>
        <v>0</v>
      </c>
      <c r="G78" s="1307">
        <f t="shared" si="21"/>
        <v>0</v>
      </c>
      <c r="H78" s="1308">
        <f t="shared" si="20"/>
        <v>0</v>
      </c>
    </row>
    <row r="97" spans="17:17">
      <c r="Q97" s="1289"/>
    </row>
  </sheetData>
  <mergeCells count="13">
    <mergeCell ref="H43:H44"/>
    <mergeCell ref="B2:H2"/>
    <mergeCell ref="B3:H3"/>
    <mergeCell ref="B4:H4"/>
    <mergeCell ref="B5:H5"/>
    <mergeCell ref="B6:B7"/>
    <mergeCell ref="C6:G6"/>
    <mergeCell ref="H6:H7"/>
    <mergeCell ref="C43:C44"/>
    <mergeCell ref="D43:D44"/>
    <mergeCell ref="E43:E44"/>
    <mergeCell ref="F43:F44"/>
    <mergeCell ref="G43:G44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1"/>
  <dimension ref="A1:L37"/>
  <sheetViews>
    <sheetView topLeftCell="A16" workbookViewId="0">
      <selection activeCell="B1" sqref="B1:I1"/>
    </sheetView>
  </sheetViews>
  <sheetFormatPr baseColWidth="10" defaultRowHeight="15"/>
  <cols>
    <col min="1" max="1" width="2.42578125" style="354" customWidth="1"/>
    <col min="2" max="2" width="4.5703125" style="346" customWidth="1"/>
    <col min="3" max="3" width="52.28515625" style="346" customWidth="1"/>
    <col min="4" max="9" width="12.7109375" style="346" customWidth="1"/>
    <col min="10" max="10" width="3.7109375" style="354" customWidth="1"/>
    <col min="11" max="16384" width="11.42578125" style="361"/>
  </cols>
  <sheetData>
    <row r="1" spans="2:12">
      <c r="B1" s="1734"/>
      <c r="C1" s="1735"/>
      <c r="D1" s="1735"/>
      <c r="E1" s="1735"/>
      <c r="F1" s="1735"/>
      <c r="G1" s="1735"/>
      <c r="H1" s="1735"/>
      <c r="I1" s="1736"/>
    </row>
    <row r="2" spans="2:12">
      <c r="B2" s="1737" t="s">
        <v>2992</v>
      </c>
      <c r="C2" s="1738"/>
      <c r="D2" s="1738"/>
      <c r="E2" s="1738"/>
      <c r="F2" s="1738"/>
      <c r="G2" s="1738"/>
      <c r="H2" s="1738"/>
      <c r="I2" s="1739"/>
    </row>
    <row r="3" spans="2:12">
      <c r="B3" s="1737" t="s">
        <v>818</v>
      </c>
      <c r="C3" s="1738"/>
      <c r="D3" s="1738"/>
      <c r="E3" s="1738"/>
      <c r="F3" s="1738"/>
      <c r="G3" s="1738"/>
      <c r="H3" s="1738"/>
      <c r="I3" s="1739"/>
    </row>
    <row r="4" spans="2:12">
      <c r="B4" s="1737" t="s">
        <v>832</v>
      </c>
      <c r="C4" s="1738"/>
      <c r="D4" s="1738"/>
      <c r="E4" s="1738"/>
      <c r="F4" s="1738"/>
      <c r="G4" s="1738"/>
      <c r="H4" s="1738"/>
      <c r="I4" s="1739"/>
    </row>
    <row r="5" spans="2:12">
      <c r="B5" s="1740" t="str">
        <f>+EA!C3</f>
        <v>Del 1 de enero al 30 de abril de 2021</v>
      </c>
      <c r="C5" s="1741"/>
      <c r="D5" s="1741"/>
      <c r="E5" s="1741"/>
      <c r="F5" s="1741"/>
      <c r="G5" s="1741"/>
      <c r="H5" s="1741"/>
      <c r="I5" s="1742"/>
    </row>
    <row r="6" spans="2:12" s="354" customFormat="1" ht="12" customHeight="1">
      <c r="B6" s="317"/>
      <c r="C6" s="452"/>
      <c r="D6" s="317"/>
      <c r="E6" s="317"/>
      <c r="F6" s="317"/>
      <c r="G6" s="317"/>
      <c r="H6" s="317"/>
      <c r="I6" s="317"/>
    </row>
    <row r="7" spans="2:12">
      <c r="B7" s="1819" t="s">
        <v>230</v>
      </c>
      <c r="C7" s="1819"/>
      <c r="D7" s="1820" t="s">
        <v>75</v>
      </c>
      <c r="E7" s="1820"/>
      <c r="F7" s="1820"/>
      <c r="G7" s="1820"/>
      <c r="H7" s="1820"/>
      <c r="I7" s="1820" t="s">
        <v>820</v>
      </c>
    </row>
    <row r="8" spans="2:12" ht="22.5">
      <c r="B8" s="1819"/>
      <c r="C8" s="1819"/>
      <c r="D8" s="653" t="s">
        <v>821</v>
      </c>
      <c r="E8" s="653" t="s">
        <v>822</v>
      </c>
      <c r="F8" s="653" t="s">
        <v>797</v>
      </c>
      <c r="G8" s="653" t="s">
        <v>236</v>
      </c>
      <c r="H8" s="653" t="s">
        <v>823</v>
      </c>
      <c r="I8" s="1820"/>
      <c r="L8" s="553"/>
    </row>
    <row r="9" spans="2:12" ht="11.25" customHeight="1">
      <c r="B9" s="1819"/>
      <c r="C9" s="1819"/>
      <c r="D9" s="653">
        <v>1</v>
      </c>
      <c r="E9" s="653">
        <v>2</v>
      </c>
      <c r="F9" s="653" t="s">
        <v>824</v>
      </c>
      <c r="G9" s="653">
        <v>4</v>
      </c>
      <c r="H9" s="653">
        <v>5</v>
      </c>
      <c r="I9" s="653" t="s">
        <v>825</v>
      </c>
    </row>
    <row r="10" spans="2:12">
      <c r="B10" s="1821" t="s">
        <v>169</v>
      </c>
      <c r="C10" s="1822"/>
      <c r="D10" s="381">
        <f>SUM(D11:D14)</f>
        <v>19299621.387999997</v>
      </c>
      <c r="E10" s="381">
        <f>SUM(E11:E14)</f>
        <v>0</v>
      </c>
      <c r="F10" s="381">
        <f>+D10+E10</f>
        <v>19299621.387999997</v>
      </c>
      <c r="G10" s="381">
        <f>SUM(G11:G14)</f>
        <v>4375817.34</v>
      </c>
      <c r="H10" s="381">
        <f>SUM(H11:H14)</f>
        <v>4375817.34</v>
      </c>
      <c r="I10" s="381">
        <f>+F10-G10</f>
        <v>14923804.047999997</v>
      </c>
    </row>
    <row r="11" spans="2:12">
      <c r="B11" s="382"/>
      <c r="C11" s="383" t="s">
        <v>833</v>
      </c>
      <c r="D11" s="374">
        <v>12896881.199999997</v>
      </c>
      <c r="E11" s="374"/>
      <c r="F11" s="374">
        <f t="shared" ref="F11:F31" si="0">+D11+E11</f>
        <v>12896881.199999997</v>
      </c>
      <c r="G11" s="374">
        <f>+'VARIACIONES EGRESOS'!R10</f>
        <v>3341742</v>
      </c>
      <c r="H11" s="374">
        <f>+G11</f>
        <v>3341742</v>
      </c>
      <c r="I11" s="374">
        <f t="shared" ref="I11:I31" si="1">+F11-G11</f>
        <v>9555139.1999999974</v>
      </c>
    </row>
    <row r="12" spans="2:12">
      <c r="B12" s="382"/>
      <c r="C12" s="383" t="s">
        <v>834</v>
      </c>
      <c r="D12" s="374">
        <v>2102233.952</v>
      </c>
      <c r="E12" s="374"/>
      <c r="F12" s="374">
        <f t="shared" si="0"/>
        <v>2102233.952</v>
      </c>
      <c r="G12" s="374">
        <f>+'VARIACIONES EGRESOS'!R11+'VARIACIONES EGRESOS'!R12+'VARIACIONES EGRESOS'!R13</f>
        <v>15375.2</v>
      </c>
      <c r="H12" s="374">
        <f t="shared" ref="H12:H14" si="2">+G12</f>
        <v>15375.2</v>
      </c>
      <c r="I12" s="374">
        <f t="shared" si="1"/>
        <v>2086858.7520000001</v>
      </c>
      <c r="K12" s="551"/>
    </row>
    <row r="13" spans="2:12">
      <c r="B13" s="382"/>
      <c r="C13" s="383" t="s">
        <v>835</v>
      </c>
      <c r="D13" s="374">
        <v>2553469.804</v>
      </c>
      <c r="E13" s="374"/>
      <c r="F13" s="374">
        <f t="shared" si="0"/>
        <v>2553469.804</v>
      </c>
      <c r="G13" s="374">
        <f>+'VARIACIONES EGRESOS'!R14+'VARIACIONES EGRESOS'!R15+'VARIACIONES EGRESOS'!R16</f>
        <v>513200.01999999996</v>
      </c>
      <c r="H13" s="374">
        <f t="shared" si="2"/>
        <v>513200.01999999996</v>
      </c>
      <c r="I13" s="374">
        <f t="shared" si="1"/>
        <v>2040269.784</v>
      </c>
    </row>
    <row r="14" spans="2:12">
      <c r="B14" s="382"/>
      <c r="C14" s="383" t="s">
        <v>836</v>
      </c>
      <c r="D14" s="374">
        <v>1747036.4319999996</v>
      </c>
      <c r="E14" s="374"/>
      <c r="F14" s="374">
        <f t="shared" si="0"/>
        <v>1747036.4319999996</v>
      </c>
      <c r="G14" s="374">
        <f>+'VARIACIONES EGRESOS'!R18+'VARIACIONES EGRESOS'!R17</f>
        <v>505500.12</v>
      </c>
      <c r="H14" s="374">
        <f t="shared" si="2"/>
        <v>505500.12</v>
      </c>
      <c r="I14" s="374">
        <f t="shared" si="1"/>
        <v>1241536.3119999995</v>
      </c>
    </row>
    <row r="15" spans="2:12">
      <c r="B15" s="1821" t="s">
        <v>167</v>
      </c>
      <c r="C15" s="1822"/>
      <c r="D15" s="381">
        <f>SUM(D16:D19)</f>
        <v>2153010.4640000006</v>
      </c>
      <c r="E15" s="381">
        <f>SUM(E16:E19)</f>
        <v>0</v>
      </c>
      <c r="F15" s="381">
        <f t="shared" si="0"/>
        <v>2153010.4640000006</v>
      </c>
      <c r="G15" s="381">
        <f>SUM(G16:G19)</f>
        <v>241376.94</v>
      </c>
      <c r="H15" s="381">
        <f>SUM(H16:H19)</f>
        <v>241376.94</v>
      </c>
      <c r="I15" s="381">
        <f t="shared" si="1"/>
        <v>1911633.5240000007</v>
      </c>
    </row>
    <row r="16" spans="2:12" ht="22.5">
      <c r="B16" s="382"/>
      <c r="C16" s="383" t="s">
        <v>837</v>
      </c>
      <c r="D16" s="374">
        <v>544100</v>
      </c>
      <c r="E16" s="374"/>
      <c r="F16" s="374">
        <f t="shared" si="0"/>
        <v>544100</v>
      </c>
      <c r="G16" s="374">
        <f>+'VARIACIONES EGRESOS'!R21+'VARIACIONES EGRESOS'!R22+'VARIACIONES EGRESOS'!R23</f>
        <v>57183.07</v>
      </c>
      <c r="H16" s="374">
        <f t="shared" ref="H16:H19" si="3">+G16</f>
        <v>57183.07</v>
      </c>
      <c r="I16" s="374">
        <f t="shared" si="1"/>
        <v>486916.93</v>
      </c>
    </row>
    <row r="17" spans="1:10">
      <c r="B17" s="382"/>
      <c r="C17" s="383" t="s">
        <v>838</v>
      </c>
      <c r="D17" s="374">
        <v>49999.999999999993</v>
      </c>
      <c r="E17" s="374"/>
      <c r="F17" s="374">
        <f t="shared" si="0"/>
        <v>49999.999999999993</v>
      </c>
      <c r="G17" s="374">
        <f>+'VARIACIONES EGRESOS'!R24</f>
        <v>16315.9</v>
      </c>
      <c r="H17" s="374">
        <f t="shared" si="3"/>
        <v>16315.9</v>
      </c>
      <c r="I17" s="374">
        <f t="shared" si="1"/>
        <v>33684.099999999991</v>
      </c>
    </row>
    <row r="18" spans="1:10">
      <c r="B18" s="382"/>
      <c r="C18" s="383" t="s">
        <v>839</v>
      </c>
      <c r="D18" s="374">
        <v>2000</v>
      </c>
      <c r="E18" s="374"/>
      <c r="F18" s="374">
        <f t="shared" si="0"/>
        <v>2000</v>
      </c>
      <c r="G18" s="374">
        <f>+'VARIACIONES EGRESOS'!R25</f>
        <v>0</v>
      </c>
      <c r="H18" s="374">
        <f t="shared" si="3"/>
        <v>0</v>
      </c>
      <c r="I18" s="374">
        <f t="shared" si="1"/>
        <v>2000</v>
      </c>
    </row>
    <row r="19" spans="1:10">
      <c r="B19" s="382"/>
      <c r="C19" s="383" t="s">
        <v>840</v>
      </c>
      <c r="D19" s="374">
        <v>1556910.4640000004</v>
      </c>
      <c r="E19" s="374"/>
      <c r="F19" s="374">
        <f t="shared" si="0"/>
        <v>1556910.4640000004</v>
      </c>
      <c r="G19" s="374">
        <f>+'VARIACIONES EGRESOS'!R26+'VARIACIONES EGRESOS'!R68+'VARIACIONES EGRESOS'!R82+'VARIACIONES EGRESOS'!R94+'VARIACIONES EGRESOS'!R112+'VARIACIONES EGRESOS'!R123</f>
        <v>167877.97</v>
      </c>
      <c r="H19" s="374">
        <f t="shared" si="3"/>
        <v>167877.97</v>
      </c>
      <c r="I19" s="374">
        <f t="shared" si="1"/>
        <v>1389032.4940000004</v>
      </c>
    </row>
    <row r="20" spans="1:10">
      <c r="B20" s="1821" t="s">
        <v>168</v>
      </c>
      <c r="C20" s="1822"/>
      <c r="D20" s="381">
        <f>SUM(D21:D28)</f>
        <v>115790657.28028001</v>
      </c>
      <c r="E20" s="381">
        <f>SUM(E21:E28)</f>
        <v>0</v>
      </c>
      <c r="F20" s="381">
        <f t="shared" si="0"/>
        <v>115790657.28028001</v>
      </c>
      <c r="G20" s="381">
        <f>SUM(G21:G28)</f>
        <v>10243780.560000001</v>
      </c>
      <c r="H20" s="381">
        <f>SUM(H21:H28)</f>
        <v>10243780.560000001</v>
      </c>
      <c r="I20" s="381">
        <f t="shared" si="1"/>
        <v>105546876.72028001</v>
      </c>
    </row>
    <row r="21" spans="1:10">
      <c r="B21" s="382"/>
      <c r="C21" s="383" t="s">
        <v>841</v>
      </c>
      <c r="D21" s="374">
        <v>70325665.868799999</v>
      </c>
      <c r="E21" s="374"/>
      <c r="F21" s="374">
        <f t="shared" si="0"/>
        <v>70325665.868799999</v>
      </c>
      <c r="G21" s="374">
        <f>SUM('VARIACIONES EGRESOS'!R29:R33)+SUM('VARIACIONES EGRESOS'!R71:R72)+SUM('VARIACIONES EGRESOS'!R85:R86)+SUM('VARIACIONES EGRESOS'!R97:R98)+SUM('VARIACIONES EGRESOS'!R115:R116)+'VARIACIONES EGRESOS'!R126</f>
        <v>2647594.69</v>
      </c>
      <c r="H21" s="374">
        <f t="shared" ref="H21:H28" si="4">+G21</f>
        <v>2647594.69</v>
      </c>
      <c r="I21" s="374">
        <f t="shared" si="1"/>
        <v>67678071.178800002</v>
      </c>
    </row>
    <row r="22" spans="1:10">
      <c r="B22" s="382"/>
      <c r="C22" s="383" t="s">
        <v>842</v>
      </c>
      <c r="D22" s="374">
        <v>39600</v>
      </c>
      <c r="E22" s="374"/>
      <c r="F22" s="374">
        <f t="shared" si="0"/>
        <v>39600</v>
      </c>
      <c r="G22" s="374">
        <f>+'VARIACIONES EGRESOS'!R34</f>
        <v>8850</v>
      </c>
      <c r="H22" s="374">
        <f t="shared" si="4"/>
        <v>8850</v>
      </c>
      <c r="I22" s="374">
        <f t="shared" si="1"/>
        <v>30750</v>
      </c>
    </row>
    <row r="23" spans="1:10">
      <c r="B23" s="382"/>
      <c r="C23" s="383" t="s">
        <v>843</v>
      </c>
      <c r="D23" s="374">
        <v>14500600</v>
      </c>
      <c r="E23" s="374"/>
      <c r="F23" s="374">
        <f t="shared" si="0"/>
        <v>14500600</v>
      </c>
      <c r="G23" s="374">
        <f>SUM('VARIACIONES EGRESOS'!R35:R38)+SUM('VARIACIONES EGRESOS'!R73:R73)+'VARIACIONES EGRESOS'!R99+'VARIACIONES EGRESOS'!R127</f>
        <v>2205282.5700000003</v>
      </c>
      <c r="H23" s="374">
        <f t="shared" si="4"/>
        <v>2205282.5700000003</v>
      </c>
      <c r="I23" s="374">
        <f t="shared" si="1"/>
        <v>12295317.43</v>
      </c>
    </row>
    <row r="24" spans="1:10">
      <c r="B24" s="382"/>
      <c r="C24" s="383" t="s">
        <v>844</v>
      </c>
      <c r="D24" s="374">
        <v>570388.0896399999</v>
      </c>
      <c r="E24" s="374"/>
      <c r="F24" s="374">
        <f t="shared" si="0"/>
        <v>570388.0896399999</v>
      </c>
      <c r="G24" s="374">
        <f>SUM('VARIACIONES EGRESOS'!R39:R41)+'VARIACIONES EGRESOS'!R74</f>
        <v>114704.13</v>
      </c>
      <c r="H24" s="374">
        <f t="shared" si="4"/>
        <v>114704.13</v>
      </c>
      <c r="I24" s="374">
        <f t="shared" si="1"/>
        <v>455683.9596399999</v>
      </c>
    </row>
    <row r="25" spans="1:10">
      <c r="B25" s="382"/>
      <c r="C25" s="383" t="s">
        <v>845</v>
      </c>
      <c r="D25" s="374">
        <v>19517941.469999999</v>
      </c>
      <c r="E25" s="374"/>
      <c r="F25" s="374">
        <f t="shared" si="0"/>
        <v>19517941.469999999</v>
      </c>
      <c r="G25" s="374">
        <f>SUM('VARIACIONES EGRESOS'!R42:R45)+SUM('VARIACIONES EGRESOS'!R75:R76)+SUM('VARIACIONES EGRESOS'!R87:R88)+SUM('VARIACIONES EGRESOS'!R100:R101)+SUM('VARIACIONES EGRESOS'!R117:R118)+'VARIACIONES EGRESOS'!R107+'VARIACIONES EGRESOS'!R128</f>
        <v>2434611.6</v>
      </c>
      <c r="H25" s="374">
        <f t="shared" si="4"/>
        <v>2434611.6</v>
      </c>
      <c r="I25" s="374">
        <f t="shared" si="1"/>
        <v>17083329.869999997</v>
      </c>
    </row>
    <row r="26" spans="1:10">
      <c r="B26" s="382"/>
      <c r="C26" s="383" t="s">
        <v>846</v>
      </c>
      <c r="D26" s="374">
        <v>2128000</v>
      </c>
      <c r="E26" s="374"/>
      <c r="F26" s="374">
        <f t="shared" si="0"/>
        <v>2128000</v>
      </c>
      <c r="G26" s="374">
        <f>+SUM('VARIACIONES EGRESOS'!R46:R47)</f>
        <v>23499.5</v>
      </c>
      <c r="H26" s="374">
        <f t="shared" si="4"/>
        <v>23499.5</v>
      </c>
      <c r="I26" s="374">
        <f t="shared" si="1"/>
        <v>2104500.5</v>
      </c>
    </row>
    <row r="27" spans="1:10">
      <c r="B27" s="382"/>
      <c r="C27" s="383" t="s">
        <v>847</v>
      </c>
      <c r="D27" s="374">
        <v>2409000</v>
      </c>
      <c r="E27" s="374"/>
      <c r="F27" s="374">
        <f t="shared" si="0"/>
        <v>2409000</v>
      </c>
      <c r="G27" s="374">
        <f>SUM('VARIACIONES EGRESOS'!R48:R49)</f>
        <v>301006.29000000004</v>
      </c>
      <c r="H27" s="374">
        <f t="shared" si="4"/>
        <v>301006.29000000004</v>
      </c>
      <c r="I27" s="374">
        <f t="shared" si="1"/>
        <v>2107993.71</v>
      </c>
    </row>
    <row r="28" spans="1:10">
      <c r="B28" s="382"/>
      <c r="C28" s="383" t="s">
        <v>137</v>
      </c>
      <c r="D28" s="374">
        <v>6299461.8518399987</v>
      </c>
      <c r="E28" s="374"/>
      <c r="F28" s="374">
        <f t="shared" si="0"/>
        <v>6299461.8518399987</v>
      </c>
      <c r="G28" s="374">
        <f>SUM('VARIACIONES EGRESOS'!R50:R51)</f>
        <v>2508231.7799999998</v>
      </c>
      <c r="H28" s="374">
        <f t="shared" si="4"/>
        <v>2508231.7799999998</v>
      </c>
      <c r="I28" s="374">
        <f t="shared" si="1"/>
        <v>3791230.0718399989</v>
      </c>
    </row>
    <row r="29" spans="1:10">
      <c r="B29" s="1821" t="s">
        <v>810</v>
      </c>
      <c r="C29" s="1822"/>
      <c r="D29" s="381">
        <f>SUM(D30:D31)</f>
        <v>1016994.2842170001</v>
      </c>
      <c r="E29" s="381">
        <f>SUM(E30:E31)</f>
        <v>0</v>
      </c>
      <c r="F29" s="381">
        <f t="shared" si="0"/>
        <v>1016994.2842170001</v>
      </c>
      <c r="G29" s="381">
        <f>SUM(G30:G31)</f>
        <v>159527.47</v>
      </c>
      <c r="H29" s="381">
        <f>SUM(H30:H31)</f>
        <v>159527.47</v>
      </c>
      <c r="I29" s="381">
        <f t="shared" si="1"/>
        <v>857466.81421700015</v>
      </c>
    </row>
    <row r="30" spans="1:10">
      <c r="B30" s="382"/>
      <c r="C30" s="383" t="s">
        <v>627</v>
      </c>
      <c r="D30" s="374">
        <v>240000</v>
      </c>
      <c r="E30" s="374"/>
      <c r="F30" s="374">
        <f t="shared" si="0"/>
        <v>240000</v>
      </c>
      <c r="G30" s="374">
        <f>+'VARIACIONES EGRESOS'!R55</f>
        <v>49735.63</v>
      </c>
      <c r="H30" s="374">
        <f t="shared" ref="H30:H31" si="5">+G30</f>
        <v>49735.63</v>
      </c>
      <c r="I30" s="374">
        <f t="shared" si="1"/>
        <v>190264.37</v>
      </c>
    </row>
    <row r="31" spans="1:10">
      <c r="B31" s="382"/>
      <c r="C31" s="383" t="s">
        <v>634</v>
      </c>
      <c r="D31" s="374">
        <v>776994.28421700012</v>
      </c>
      <c r="E31" s="374"/>
      <c r="F31" s="374">
        <f t="shared" si="0"/>
        <v>776994.28421700012</v>
      </c>
      <c r="G31" s="374">
        <f>+'VARIACIONES EGRESOS'!R56+'VARIACIONES EGRESOS'!R57</f>
        <v>109791.84</v>
      </c>
      <c r="H31" s="374">
        <f t="shared" si="5"/>
        <v>109791.84</v>
      </c>
      <c r="I31" s="374">
        <f t="shared" si="1"/>
        <v>667202.44421700016</v>
      </c>
    </row>
    <row r="32" spans="1:10" s="369" customFormat="1">
      <c r="A32" s="365"/>
      <c r="B32" s="384"/>
      <c r="C32" s="385" t="s">
        <v>826</v>
      </c>
      <c r="D32" s="386">
        <f>+D10+D15+D20+D29</f>
        <v>138260283.41649699</v>
      </c>
      <c r="E32" s="386">
        <f t="shared" ref="E32:I32" si="6">+E10+E15+E20+E29</f>
        <v>0</v>
      </c>
      <c r="F32" s="386">
        <f t="shared" si="6"/>
        <v>138260283.41649699</v>
      </c>
      <c r="G32" s="386">
        <f>+G10+G15+G20+G29</f>
        <v>15020502.310000001</v>
      </c>
      <c r="H32" s="386">
        <f t="shared" si="6"/>
        <v>15020502.310000001</v>
      </c>
      <c r="I32" s="386">
        <f t="shared" si="6"/>
        <v>123239781.106497</v>
      </c>
      <c r="J32" s="365"/>
    </row>
    <row r="34" spans="3:9" ht="15.75">
      <c r="D34" s="387"/>
      <c r="E34" s="387"/>
      <c r="F34" s="387"/>
      <c r="G34" s="387"/>
      <c r="H34" s="387"/>
      <c r="I34" s="387"/>
    </row>
    <row r="35" spans="3:9">
      <c r="C35" s="562"/>
      <c r="F35" s="562"/>
      <c r="G35" s="562"/>
      <c r="H35" s="562"/>
    </row>
    <row r="36" spans="3:9">
      <c r="C36" s="561" t="s">
        <v>2872</v>
      </c>
      <c r="F36" s="1818" t="s">
        <v>758</v>
      </c>
      <c r="G36" s="1818"/>
      <c r="H36" s="1818"/>
    </row>
    <row r="37" spans="3:9">
      <c r="C37" s="561" t="s">
        <v>1769</v>
      </c>
      <c r="F37" s="1818" t="s">
        <v>670</v>
      </c>
      <c r="G37" s="1818"/>
      <c r="H37" s="1818"/>
    </row>
  </sheetData>
  <mergeCells count="14">
    <mergeCell ref="F36:H36"/>
    <mergeCell ref="F37:H37"/>
    <mergeCell ref="B7:C9"/>
    <mergeCell ref="D7:H7"/>
    <mergeCell ref="I7:I8"/>
    <mergeCell ref="B10:C10"/>
    <mergeCell ref="B15:C15"/>
    <mergeCell ref="B20:C20"/>
    <mergeCell ref="B29:C29"/>
    <mergeCell ref="B1:I1"/>
    <mergeCell ref="B2:I2"/>
    <mergeCell ref="B3:I3"/>
    <mergeCell ref="B4:I4"/>
    <mergeCell ref="B5:I5"/>
  </mergeCells>
  <pageMargins left="0.86614173228346458" right="0.55118110236220474" top="0.39370078740157483" bottom="0.23622047244094491" header="0.31496062992125984" footer="0.19685039370078741"/>
  <pageSetup scale="90" fitToHeight="2" orientation="landscape" r:id="rId1"/>
  <ignoredErrors>
    <ignoredError sqref="F10:F15 H15:H31 F20:F29" formula="1"/>
    <ignoredError sqref="G29:G30" formulaRange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E41BA-C29D-4DB3-9B39-8A032741C81E}">
  <dimension ref="B1:I81"/>
  <sheetViews>
    <sheetView topLeftCell="A16" workbookViewId="0">
      <selection activeCell="G11" sqref="G11"/>
    </sheetView>
  </sheetViews>
  <sheetFormatPr baseColWidth="10" defaultColWidth="11.42578125" defaultRowHeight="12"/>
  <cols>
    <col min="1" max="1" width="4.7109375" style="964" customWidth="1"/>
    <col min="2" max="2" width="58.7109375" style="964" customWidth="1"/>
    <col min="3" max="3" width="14.42578125" style="964" bestFit="1" customWidth="1"/>
    <col min="4" max="4" width="13.28515625" style="964" bestFit="1" customWidth="1"/>
    <col min="5" max="8" width="14.42578125" style="964" bestFit="1" customWidth="1"/>
    <col min="9" max="9" width="4.7109375" style="964" customWidth="1"/>
    <col min="10" max="16384" width="11.42578125" style="964"/>
  </cols>
  <sheetData>
    <row r="1" spans="2:9" ht="15" customHeight="1">
      <c r="I1" s="1144" t="s">
        <v>4965</v>
      </c>
    </row>
    <row r="2" spans="2:9" ht="15" customHeight="1">
      <c r="B2" s="1761" t="s">
        <v>2992</v>
      </c>
      <c r="C2" s="1762"/>
      <c r="D2" s="1762"/>
      <c r="E2" s="1762"/>
      <c r="F2" s="1762"/>
      <c r="G2" s="1762"/>
      <c r="H2" s="1763"/>
    </row>
    <row r="3" spans="2:9">
      <c r="B3" s="1801" t="s">
        <v>4949</v>
      </c>
      <c r="C3" s="1802"/>
      <c r="D3" s="1802"/>
      <c r="E3" s="1802"/>
      <c r="F3" s="1802"/>
      <c r="G3" s="1802"/>
      <c r="H3" s="1803"/>
    </row>
    <row r="4" spans="2:9">
      <c r="B4" s="1801" t="s">
        <v>4966</v>
      </c>
      <c r="C4" s="1802"/>
      <c r="D4" s="1802"/>
      <c r="E4" s="1802"/>
      <c r="F4" s="1802"/>
      <c r="G4" s="1802"/>
      <c r="H4" s="1803"/>
    </row>
    <row r="5" spans="2:9" ht="12.75" thickBot="1">
      <c r="B5" s="1766"/>
      <c r="C5" s="1767"/>
      <c r="D5" s="1767"/>
      <c r="E5" s="1767"/>
      <c r="F5" s="1767"/>
      <c r="G5" s="1767"/>
      <c r="H5" s="1768"/>
    </row>
    <row r="6" spans="2:9" ht="12.75" thickBot="1">
      <c r="B6" s="1810" t="s">
        <v>230</v>
      </c>
      <c r="C6" s="1812" t="s">
        <v>75</v>
      </c>
      <c r="D6" s="1813"/>
      <c r="E6" s="1813"/>
      <c r="F6" s="1813"/>
      <c r="G6" s="1814"/>
      <c r="H6" s="1815" t="s">
        <v>4950</v>
      </c>
    </row>
    <row r="7" spans="2:9" ht="24.75" thickBot="1">
      <c r="B7" s="1823"/>
      <c r="C7" s="1105" t="s">
        <v>4951</v>
      </c>
      <c r="D7" s="1105" t="s">
        <v>4952</v>
      </c>
      <c r="E7" s="1105" t="s">
        <v>4953</v>
      </c>
      <c r="F7" s="1105" t="s">
        <v>236</v>
      </c>
      <c r="G7" s="1105" t="s">
        <v>4954</v>
      </c>
      <c r="H7" s="1816"/>
    </row>
    <row r="8" spans="2:9" ht="15.75" customHeight="1" thickBot="1">
      <c r="B8" s="1811"/>
      <c r="C8" s="1106">
        <v>1</v>
      </c>
      <c r="D8" s="1106">
        <v>2</v>
      </c>
      <c r="E8" s="1106" t="s">
        <v>4955</v>
      </c>
      <c r="F8" s="1106">
        <v>4</v>
      </c>
      <c r="G8" s="1106">
        <v>5</v>
      </c>
      <c r="H8" s="1107" t="s">
        <v>4956</v>
      </c>
    </row>
    <row r="9" spans="2:9" ht="24" customHeight="1">
      <c r="B9" s="1145" t="s">
        <v>4967</v>
      </c>
      <c r="C9" s="1146">
        <f>SUM(C10:C16)</f>
        <v>19299621.387999997</v>
      </c>
      <c r="D9" s="1146">
        <f>SUM(D10:D16)</f>
        <v>0</v>
      </c>
      <c r="E9" s="1146">
        <f t="shared" ref="E9:E26" si="0">C9+D9</f>
        <v>19299621.387999997</v>
      </c>
      <c r="F9" s="1146">
        <f>SUM(F10:F16)</f>
        <v>4375817.34</v>
      </c>
      <c r="G9" s="1146">
        <f>SUM(G10:G16)</f>
        <v>4375817.34</v>
      </c>
      <c r="H9" s="1146">
        <f t="shared" ref="H9:H72" si="1">E9-F9</f>
        <v>14923804.047999997</v>
      </c>
    </row>
    <row r="10" spans="2:9" ht="12" customHeight="1">
      <c r="B10" s="1147" t="s">
        <v>833</v>
      </c>
      <c r="C10" s="1148">
        <f>+COG!D11</f>
        <v>12896881.199999997</v>
      </c>
      <c r="D10" s="1149">
        <v>0</v>
      </c>
      <c r="E10" s="1150">
        <f t="shared" si="0"/>
        <v>12896881.199999997</v>
      </c>
      <c r="F10" s="1148">
        <f>+COG!G11</f>
        <v>3341742</v>
      </c>
      <c r="G10" s="1148">
        <f>+COG!H11</f>
        <v>3341742</v>
      </c>
      <c r="H10" s="1151">
        <f t="shared" si="1"/>
        <v>9555139.1999999974</v>
      </c>
    </row>
    <row r="11" spans="2:9" ht="12" customHeight="1">
      <c r="B11" s="1147" t="s">
        <v>4968</v>
      </c>
      <c r="C11" s="1148">
        <v>0</v>
      </c>
      <c r="D11" s="1149">
        <v>0</v>
      </c>
      <c r="E11" s="1150">
        <f t="shared" si="0"/>
        <v>0</v>
      </c>
      <c r="F11" s="1148">
        <v>0</v>
      </c>
      <c r="G11" s="1148">
        <v>0</v>
      </c>
      <c r="H11" s="1151">
        <f t="shared" si="1"/>
        <v>0</v>
      </c>
    </row>
    <row r="12" spans="2:9" ht="12" customHeight="1">
      <c r="B12" s="1147" t="s">
        <v>834</v>
      </c>
      <c r="C12" s="1148">
        <f>+COG!D12</f>
        <v>2102233.952</v>
      </c>
      <c r="D12" s="1149">
        <v>0</v>
      </c>
      <c r="E12" s="1150">
        <f t="shared" si="0"/>
        <v>2102233.952</v>
      </c>
      <c r="F12" s="1148">
        <f>+COG!G12</f>
        <v>15375.2</v>
      </c>
      <c r="G12" s="1148">
        <f>+COG!H12</f>
        <v>15375.2</v>
      </c>
      <c r="H12" s="1151">
        <f t="shared" si="1"/>
        <v>2086858.7520000001</v>
      </c>
    </row>
    <row r="13" spans="2:9" ht="12" customHeight="1">
      <c r="B13" s="1147" t="s">
        <v>835</v>
      </c>
      <c r="C13" s="1148">
        <f>+COG!D13</f>
        <v>2553469.804</v>
      </c>
      <c r="D13" s="1149">
        <v>0</v>
      </c>
      <c r="E13" s="1150">
        <f>C13+D13</f>
        <v>2553469.804</v>
      </c>
      <c r="F13" s="1148">
        <f>+COG!G13</f>
        <v>513200.01999999996</v>
      </c>
      <c r="G13" s="1148">
        <f>+COG!H13</f>
        <v>513200.01999999996</v>
      </c>
      <c r="H13" s="1151">
        <f t="shared" si="1"/>
        <v>2040269.784</v>
      </c>
    </row>
    <row r="14" spans="2:9" ht="12" customHeight="1">
      <c r="B14" s="1147" t="s">
        <v>836</v>
      </c>
      <c r="C14" s="1148">
        <f>+COG!D14</f>
        <v>1747036.4319999996</v>
      </c>
      <c r="D14" s="1149">
        <v>0</v>
      </c>
      <c r="E14" s="1150">
        <f t="shared" si="0"/>
        <v>1747036.4319999996</v>
      </c>
      <c r="F14" s="1148">
        <f>+COG!G14</f>
        <v>505500.12</v>
      </c>
      <c r="G14" s="1148">
        <f>+COG!H14</f>
        <v>505500.12</v>
      </c>
      <c r="H14" s="1151">
        <f t="shared" si="1"/>
        <v>1241536.3119999995</v>
      </c>
    </row>
    <row r="15" spans="2:9" ht="12" customHeight="1">
      <c r="B15" s="1147" t="s">
        <v>4969</v>
      </c>
      <c r="C15" s="1148">
        <v>0</v>
      </c>
      <c r="D15" s="1149">
        <v>0</v>
      </c>
      <c r="E15" s="1150">
        <f t="shared" si="0"/>
        <v>0</v>
      </c>
      <c r="F15" s="1148">
        <v>0</v>
      </c>
      <c r="G15" s="1148">
        <v>0</v>
      </c>
      <c r="H15" s="1151">
        <f t="shared" si="1"/>
        <v>0</v>
      </c>
    </row>
    <row r="16" spans="2:9" ht="12" customHeight="1">
      <c r="B16" s="1147" t="s">
        <v>4970</v>
      </c>
      <c r="C16" s="1148">
        <v>0</v>
      </c>
      <c r="D16" s="1149">
        <v>0</v>
      </c>
      <c r="E16" s="1150">
        <f t="shared" si="0"/>
        <v>0</v>
      </c>
      <c r="F16" s="1148">
        <v>0</v>
      </c>
      <c r="G16" s="1148">
        <v>0</v>
      </c>
      <c r="H16" s="1151">
        <f t="shared" si="1"/>
        <v>0</v>
      </c>
    </row>
    <row r="17" spans="2:8" ht="24" customHeight="1">
      <c r="B17" s="1145" t="s">
        <v>167</v>
      </c>
      <c r="C17" s="1146">
        <f>SUM(C18:C26)</f>
        <v>2153010.4640000006</v>
      </c>
      <c r="D17" s="1146">
        <f>SUM(D18:D26)</f>
        <v>0</v>
      </c>
      <c r="E17" s="1146">
        <f t="shared" si="0"/>
        <v>2153010.4640000006</v>
      </c>
      <c r="F17" s="1146">
        <f>SUM(F18:F26)</f>
        <v>241376.94</v>
      </c>
      <c r="G17" s="1146">
        <f>SUM(G18:G26)</f>
        <v>241376.94</v>
      </c>
      <c r="H17" s="1146">
        <f t="shared" si="1"/>
        <v>1911633.5240000007</v>
      </c>
    </row>
    <row r="18" spans="2:8" ht="24">
      <c r="B18" s="1152" t="s">
        <v>837</v>
      </c>
      <c r="C18" s="1148">
        <f>+COG!D16</f>
        <v>544100</v>
      </c>
      <c r="D18" s="1149">
        <v>0</v>
      </c>
      <c r="E18" s="1150">
        <f t="shared" si="0"/>
        <v>544100</v>
      </c>
      <c r="F18" s="1148">
        <f>+COG!G16</f>
        <v>57183.07</v>
      </c>
      <c r="G18" s="1148">
        <f>+COG!H16</f>
        <v>57183.07</v>
      </c>
      <c r="H18" s="1151">
        <f t="shared" si="1"/>
        <v>486916.93</v>
      </c>
    </row>
    <row r="19" spans="2:8" ht="12" customHeight="1">
      <c r="B19" s="1152" t="s">
        <v>838</v>
      </c>
      <c r="C19" s="1148">
        <f>+COG!D17</f>
        <v>49999.999999999993</v>
      </c>
      <c r="D19" s="1149">
        <v>0</v>
      </c>
      <c r="E19" s="1150">
        <f t="shared" si="0"/>
        <v>49999.999999999993</v>
      </c>
      <c r="F19" s="1148">
        <f>+COG!G17</f>
        <v>16315.9</v>
      </c>
      <c r="G19" s="1148">
        <f>+COG!H17</f>
        <v>16315.9</v>
      </c>
      <c r="H19" s="1151">
        <f t="shared" si="1"/>
        <v>33684.099999999991</v>
      </c>
    </row>
    <row r="20" spans="2:8" ht="12" customHeight="1">
      <c r="B20" s="1152" t="s">
        <v>4971</v>
      </c>
      <c r="C20" s="1148">
        <v>0</v>
      </c>
      <c r="D20" s="1149">
        <v>0</v>
      </c>
      <c r="E20" s="1150">
        <f t="shared" si="0"/>
        <v>0</v>
      </c>
      <c r="F20" s="1148">
        <v>0</v>
      </c>
      <c r="G20" s="1148">
        <v>0</v>
      </c>
      <c r="H20" s="1151">
        <f t="shared" si="1"/>
        <v>0</v>
      </c>
    </row>
    <row r="21" spans="2:8" ht="12" customHeight="1">
      <c r="B21" s="1152" t="s">
        <v>4972</v>
      </c>
      <c r="C21" s="1148">
        <v>0</v>
      </c>
      <c r="D21" s="1149">
        <v>0</v>
      </c>
      <c r="E21" s="1150">
        <f t="shared" si="0"/>
        <v>0</v>
      </c>
      <c r="F21" s="1148">
        <v>0</v>
      </c>
      <c r="G21" s="1148">
        <v>0</v>
      </c>
      <c r="H21" s="1151">
        <f t="shared" si="1"/>
        <v>0</v>
      </c>
    </row>
    <row r="22" spans="2:8" ht="12" customHeight="1">
      <c r="B22" s="1152" t="s">
        <v>839</v>
      </c>
      <c r="C22" s="1148">
        <f>+COG!D18</f>
        <v>2000</v>
      </c>
      <c r="D22" s="1149">
        <v>0</v>
      </c>
      <c r="E22" s="1150">
        <f t="shared" si="0"/>
        <v>2000</v>
      </c>
      <c r="F22" s="1148">
        <f>+COG!G18</f>
        <v>0</v>
      </c>
      <c r="G22" s="1148">
        <f>+COG!H18</f>
        <v>0</v>
      </c>
      <c r="H22" s="1151">
        <f t="shared" si="1"/>
        <v>2000</v>
      </c>
    </row>
    <row r="23" spans="2:8" ht="12" customHeight="1">
      <c r="B23" s="1152" t="s">
        <v>840</v>
      </c>
      <c r="C23" s="1148">
        <f>+COG!D19</f>
        <v>1556910.4640000004</v>
      </c>
      <c r="D23" s="1149">
        <v>0</v>
      </c>
      <c r="E23" s="1150">
        <f t="shared" si="0"/>
        <v>1556910.4640000004</v>
      </c>
      <c r="F23" s="1148">
        <f>+COG!G19</f>
        <v>167877.97</v>
      </c>
      <c r="G23" s="1148">
        <f>+COG!H19</f>
        <v>167877.97</v>
      </c>
      <c r="H23" s="1151">
        <f t="shared" si="1"/>
        <v>1389032.4940000004</v>
      </c>
    </row>
    <row r="24" spans="2:8" ht="12" customHeight="1">
      <c r="B24" s="1152" t="s">
        <v>4973</v>
      </c>
      <c r="C24" s="1148">
        <v>0</v>
      </c>
      <c r="D24" s="1149">
        <v>0</v>
      </c>
      <c r="E24" s="1150">
        <f t="shared" si="0"/>
        <v>0</v>
      </c>
      <c r="F24" s="1148">
        <v>0</v>
      </c>
      <c r="G24" s="1148">
        <v>0</v>
      </c>
      <c r="H24" s="1151">
        <f t="shared" si="1"/>
        <v>0</v>
      </c>
    </row>
    <row r="25" spans="2:8" ht="12" customHeight="1">
      <c r="B25" s="1152" t="s">
        <v>4974</v>
      </c>
      <c r="C25" s="1148">
        <v>0</v>
      </c>
      <c r="D25" s="1149">
        <v>0</v>
      </c>
      <c r="E25" s="1150">
        <f t="shared" si="0"/>
        <v>0</v>
      </c>
      <c r="F25" s="1148">
        <v>0</v>
      </c>
      <c r="G25" s="1148">
        <v>0</v>
      </c>
      <c r="H25" s="1151">
        <f t="shared" si="1"/>
        <v>0</v>
      </c>
    </row>
    <row r="26" spans="2:8" ht="12" customHeight="1">
      <c r="B26" s="1152" t="s">
        <v>4975</v>
      </c>
      <c r="C26" s="1148">
        <v>0</v>
      </c>
      <c r="D26" s="1149">
        <v>0</v>
      </c>
      <c r="E26" s="1150">
        <f t="shared" si="0"/>
        <v>0</v>
      </c>
      <c r="F26" s="1148">
        <v>0</v>
      </c>
      <c r="G26" s="1148">
        <v>0</v>
      </c>
      <c r="H26" s="1151">
        <f t="shared" si="1"/>
        <v>0</v>
      </c>
    </row>
    <row r="27" spans="2:8" ht="20.100000000000001" customHeight="1">
      <c r="B27" s="1145" t="s">
        <v>168</v>
      </c>
      <c r="C27" s="1146">
        <f>SUM(C28:C36)</f>
        <v>115790657.28028001</v>
      </c>
      <c r="D27" s="1146">
        <f>SUM(D28:D36)</f>
        <v>0</v>
      </c>
      <c r="E27" s="1146">
        <f>D27+C27</f>
        <v>115790657.28028001</v>
      </c>
      <c r="F27" s="1146">
        <f>SUM(F28:F36)</f>
        <v>10243780.560000001</v>
      </c>
      <c r="G27" s="1146">
        <f>SUM(G28:G36)</f>
        <v>10243780.560000001</v>
      </c>
      <c r="H27" s="1146">
        <f t="shared" si="1"/>
        <v>105546876.72028001</v>
      </c>
    </row>
    <row r="28" spans="2:8">
      <c r="B28" s="1152" t="s">
        <v>841</v>
      </c>
      <c r="C28" s="1148">
        <f>+COG!D21</f>
        <v>70325665.868799999</v>
      </c>
      <c r="D28" s="1149">
        <v>0</v>
      </c>
      <c r="E28" s="1150">
        <f t="shared" ref="E28:E36" si="2">C28+D28</f>
        <v>70325665.868799999</v>
      </c>
      <c r="F28" s="1148">
        <f>+COG!G21</f>
        <v>2647594.69</v>
      </c>
      <c r="G28" s="1148">
        <f>+COG!H21</f>
        <v>2647594.69</v>
      </c>
      <c r="H28" s="1151">
        <f t="shared" si="1"/>
        <v>67678071.178800002</v>
      </c>
    </row>
    <row r="29" spans="2:8">
      <c r="B29" s="1152" t="s">
        <v>842</v>
      </c>
      <c r="C29" s="1148">
        <f>+COG!D22</f>
        <v>39600</v>
      </c>
      <c r="D29" s="1149">
        <v>0</v>
      </c>
      <c r="E29" s="1150">
        <f t="shared" si="2"/>
        <v>39600</v>
      </c>
      <c r="F29" s="1148">
        <f>+COG!G22</f>
        <v>8850</v>
      </c>
      <c r="G29" s="1148">
        <f>+COG!H22</f>
        <v>8850</v>
      </c>
      <c r="H29" s="1151">
        <f t="shared" si="1"/>
        <v>30750</v>
      </c>
    </row>
    <row r="30" spans="2:8" ht="12" customHeight="1">
      <c r="B30" s="1152" t="s">
        <v>843</v>
      </c>
      <c r="C30" s="1148">
        <f>+COG!D23</f>
        <v>14500600</v>
      </c>
      <c r="D30" s="1149">
        <v>0</v>
      </c>
      <c r="E30" s="1150">
        <f t="shared" si="2"/>
        <v>14500600</v>
      </c>
      <c r="F30" s="1148">
        <f>+COG!G23</f>
        <v>2205282.5700000003</v>
      </c>
      <c r="G30" s="1148">
        <f>+COG!H23</f>
        <v>2205282.5700000003</v>
      </c>
      <c r="H30" s="1151">
        <f t="shared" si="1"/>
        <v>12295317.43</v>
      </c>
    </row>
    <row r="31" spans="2:8">
      <c r="B31" s="1152" t="s">
        <v>844</v>
      </c>
      <c r="C31" s="1148">
        <f>+COG!D24</f>
        <v>570388.0896399999</v>
      </c>
      <c r="D31" s="1149">
        <v>0</v>
      </c>
      <c r="E31" s="1150">
        <f t="shared" si="2"/>
        <v>570388.0896399999</v>
      </c>
      <c r="F31" s="1148">
        <f>+COG!G24</f>
        <v>114704.13</v>
      </c>
      <c r="G31" s="1148">
        <f>+COG!H24</f>
        <v>114704.13</v>
      </c>
      <c r="H31" s="1151">
        <f t="shared" si="1"/>
        <v>455683.9596399999</v>
      </c>
    </row>
    <row r="32" spans="2:8" ht="24">
      <c r="B32" s="1152" t="s">
        <v>845</v>
      </c>
      <c r="C32" s="1148">
        <f>+COG!D25</f>
        <v>19517941.469999999</v>
      </c>
      <c r="D32" s="1149">
        <v>0</v>
      </c>
      <c r="E32" s="1150">
        <f t="shared" si="2"/>
        <v>19517941.469999999</v>
      </c>
      <c r="F32" s="1148">
        <f>+COG!G25</f>
        <v>2434611.6</v>
      </c>
      <c r="G32" s="1148">
        <f>+COG!H25</f>
        <v>2434611.6</v>
      </c>
      <c r="H32" s="1151">
        <f t="shared" si="1"/>
        <v>17083329.869999997</v>
      </c>
    </row>
    <row r="33" spans="2:8">
      <c r="B33" s="1152" t="s">
        <v>4976</v>
      </c>
      <c r="C33" s="1148">
        <v>0</v>
      </c>
      <c r="D33" s="1149">
        <v>0</v>
      </c>
      <c r="E33" s="1150">
        <f t="shared" si="2"/>
        <v>0</v>
      </c>
      <c r="F33" s="1148">
        <v>0</v>
      </c>
      <c r="G33" s="1148">
        <v>0</v>
      </c>
      <c r="H33" s="1151">
        <f t="shared" si="1"/>
        <v>0</v>
      </c>
    </row>
    <row r="34" spans="2:8">
      <c r="B34" s="1152" t="s">
        <v>4977</v>
      </c>
      <c r="C34" s="1148">
        <f>+COG!D26</f>
        <v>2128000</v>
      </c>
      <c r="D34" s="1149">
        <v>0</v>
      </c>
      <c r="E34" s="1150">
        <f t="shared" si="2"/>
        <v>2128000</v>
      </c>
      <c r="F34" s="1148">
        <f>+COG!G26</f>
        <v>23499.5</v>
      </c>
      <c r="G34" s="1148">
        <f>+COG!H26</f>
        <v>23499.5</v>
      </c>
      <c r="H34" s="1151">
        <f t="shared" si="1"/>
        <v>2104500.5</v>
      </c>
    </row>
    <row r="35" spans="2:8">
      <c r="B35" s="1152" t="s">
        <v>847</v>
      </c>
      <c r="C35" s="1148">
        <f>+COG!D27</f>
        <v>2409000</v>
      </c>
      <c r="D35" s="1149">
        <v>0</v>
      </c>
      <c r="E35" s="1150">
        <f t="shared" si="2"/>
        <v>2409000</v>
      </c>
      <c r="F35" s="1148">
        <f>+COG!G27</f>
        <v>301006.29000000004</v>
      </c>
      <c r="G35" s="1148">
        <f>+COG!H27</f>
        <v>301006.29000000004</v>
      </c>
      <c r="H35" s="1151">
        <f t="shared" si="1"/>
        <v>2107993.71</v>
      </c>
    </row>
    <row r="36" spans="2:8">
      <c r="B36" s="1152" t="s">
        <v>137</v>
      </c>
      <c r="C36" s="1148">
        <f>+COG!D28</f>
        <v>6299461.8518399987</v>
      </c>
      <c r="D36" s="1149">
        <v>0</v>
      </c>
      <c r="E36" s="1150">
        <f t="shared" si="2"/>
        <v>6299461.8518399987</v>
      </c>
      <c r="F36" s="1148">
        <f>+COG!G28</f>
        <v>2508231.7799999998</v>
      </c>
      <c r="G36" s="1148">
        <f>+COG!H28</f>
        <v>2508231.7799999998</v>
      </c>
      <c r="H36" s="1151">
        <f t="shared" si="1"/>
        <v>3791230.0718399989</v>
      </c>
    </row>
    <row r="37" spans="2:8" ht="20.100000000000001" customHeight="1">
      <c r="B37" s="1153" t="s">
        <v>4978</v>
      </c>
      <c r="C37" s="1146">
        <f>SUM(C38:C46)</f>
        <v>1016994.2842170001</v>
      </c>
      <c r="D37" s="1146">
        <f>SUM(D38:D46)</f>
        <v>0</v>
      </c>
      <c r="E37" s="1146">
        <f>C37+D37</f>
        <v>1016994.2842170001</v>
      </c>
      <c r="F37" s="1146">
        <f>SUM(F38:F46)</f>
        <v>159527.47</v>
      </c>
      <c r="G37" s="1146">
        <f>SUM(G38:G46)</f>
        <v>159527.47</v>
      </c>
      <c r="H37" s="1146">
        <f t="shared" si="1"/>
        <v>857466.81421700015</v>
      </c>
    </row>
    <row r="38" spans="2:8" ht="12" customHeight="1">
      <c r="B38" s="1152" t="s">
        <v>627</v>
      </c>
      <c r="C38" s="1148">
        <f>+COG!D30</f>
        <v>240000</v>
      </c>
      <c r="D38" s="1149">
        <v>0</v>
      </c>
      <c r="E38" s="1150">
        <f t="shared" ref="E38:E79" si="3">C38+D38</f>
        <v>240000</v>
      </c>
      <c r="F38" s="1148">
        <f>+COG!G30</f>
        <v>49735.63</v>
      </c>
      <c r="G38" s="1148">
        <f>+COG!H30</f>
        <v>49735.63</v>
      </c>
      <c r="H38" s="1151">
        <f t="shared" si="1"/>
        <v>190264.37</v>
      </c>
    </row>
    <row r="39" spans="2:8" ht="12" customHeight="1">
      <c r="B39" s="1152" t="s">
        <v>629</v>
      </c>
      <c r="C39" s="1148">
        <v>0</v>
      </c>
      <c r="D39" s="1149">
        <v>0</v>
      </c>
      <c r="E39" s="1150">
        <f t="shared" si="3"/>
        <v>0</v>
      </c>
      <c r="F39" s="1148">
        <v>0</v>
      </c>
      <c r="G39" s="1148">
        <v>0</v>
      </c>
      <c r="H39" s="1151">
        <f t="shared" si="1"/>
        <v>0</v>
      </c>
    </row>
    <row r="40" spans="2:8" ht="12" customHeight="1">
      <c r="B40" s="1152" t="s">
        <v>631</v>
      </c>
      <c r="C40" s="1148">
        <v>0</v>
      </c>
      <c r="D40" s="1149">
        <v>0</v>
      </c>
      <c r="E40" s="1150">
        <f t="shared" si="3"/>
        <v>0</v>
      </c>
      <c r="F40" s="1148">
        <v>0</v>
      </c>
      <c r="G40" s="1148">
        <v>0</v>
      </c>
      <c r="H40" s="1151">
        <f t="shared" si="1"/>
        <v>0</v>
      </c>
    </row>
    <row r="41" spans="2:8" ht="12" customHeight="1">
      <c r="B41" s="1152" t="s">
        <v>632</v>
      </c>
      <c r="C41" s="1148">
        <v>0</v>
      </c>
      <c r="D41" s="1149">
        <v>0</v>
      </c>
      <c r="E41" s="1150">
        <f t="shared" si="3"/>
        <v>0</v>
      </c>
      <c r="F41" s="1148">
        <v>0</v>
      </c>
      <c r="G41" s="1148">
        <v>0</v>
      </c>
      <c r="H41" s="1151">
        <f t="shared" si="1"/>
        <v>0</v>
      </c>
    </row>
    <row r="42" spans="2:8" ht="12" customHeight="1">
      <c r="B42" s="1152" t="s">
        <v>634</v>
      </c>
      <c r="C42" s="1148">
        <f>+COG!D31</f>
        <v>776994.28421700012</v>
      </c>
      <c r="D42" s="1149">
        <v>0</v>
      </c>
      <c r="E42" s="1150">
        <f t="shared" si="3"/>
        <v>776994.28421700012</v>
      </c>
      <c r="F42" s="1148">
        <f>+COG!G31</f>
        <v>109791.84</v>
      </c>
      <c r="G42" s="1148">
        <f>+COG!H31</f>
        <v>109791.84</v>
      </c>
      <c r="H42" s="1151">
        <f t="shared" si="1"/>
        <v>667202.44421700016</v>
      </c>
    </row>
    <row r="43" spans="2:8" ht="12" customHeight="1">
      <c r="B43" s="1152" t="s">
        <v>4979</v>
      </c>
      <c r="C43" s="1148">
        <v>0</v>
      </c>
      <c r="D43" s="1149">
        <v>0</v>
      </c>
      <c r="E43" s="1150">
        <f t="shared" si="3"/>
        <v>0</v>
      </c>
      <c r="F43" s="1148">
        <v>0</v>
      </c>
      <c r="G43" s="1148">
        <v>0</v>
      </c>
      <c r="H43" s="1151">
        <f t="shared" si="1"/>
        <v>0</v>
      </c>
    </row>
    <row r="44" spans="2:8" ht="12" customHeight="1">
      <c r="B44" s="1152" t="s">
        <v>638</v>
      </c>
      <c r="C44" s="1148">
        <v>0</v>
      </c>
      <c r="D44" s="1149">
        <v>0</v>
      </c>
      <c r="E44" s="1150">
        <f t="shared" si="3"/>
        <v>0</v>
      </c>
      <c r="F44" s="1148">
        <v>0</v>
      </c>
      <c r="G44" s="1148">
        <v>0</v>
      </c>
      <c r="H44" s="1151">
        <f t="shared" si="1"/>
        <v>0</v>
      </c>
    </row>
    <row r="45" spans="2:8" ht="12" customHeight="1">
      <c r="B45" s="1152" t="s">
        <v>639</v>
      </c>
      <c r="C45" s="1148">
        <v>0</v>
      </c>
      <c r="D45" s="1149">
        <v>0</v>
      </c>
      <c r="E45" s="1150">
        <f t="shared" si="3"/>
        <v>0</v>
      </c>
      <c r="F45" s="1148">
        <v>0</v>
      </c>
      <c r="G45" s="1148">
        <v>0</v>
      </c>
      <c r="H45" s="1151">
        <f t="shared" si="1"/>
        <v>0</v>
      </c>
    </row>
    <row r="46" spans="2:8" ht="12" customHeight="1" thickBot="1">
      <c r="B46" s="1154" t="s">
        <v>641</v>
      </c>
      <c r="C46" s="1155">
        <v>0</v>
      </c>
      <c r="D46" s="1156">
        <v>0</v>
      </c>
      <c r="E46" s="1157">
        <f t="shared" si="3"/>
        <v>0</v>
      </c>
      <c r="F46" s="1155">
        <v>0</v>
      </c>
      <c r="G46" s="1155">
        <v>0</v>
      </c>
      <c r="H46" s="1158">
        <f t="shared" si="1"/>
        <v>0</v>
      </c>
    </row>
    <row r="47" spans="2:8" ht="20.100000000000001" customHeight="1">
      <c r="B47" s="1145" t="s">
        <v>4980</v>
      </c>
      <c r="C47" s="1146">
        <f>SUM(C48:C56)</f>
        <v>0</v>
      </c>
      <c r="D47" s="1146">
        <f>SUM(D48:D56)</f>
        <v>0</v>
      </c>
      <c r="E47" s="1146">
        <f t="shared" si="3"/>
        <v>0</v>
      </c>
      <c r="F47" s="1146">
        <f>SUM(F48:F56)</f>
        <v>0</v>
      </c>
      <c r="G47" s="1146">
        <f>SUM(G48:G56)</f>
        <v>0</v>
      </c>
      <c r="H47" s="1146">
        <f t="shared" si="1"/>
        <v>0</v>
      </c>
    </row>
    <row r="48" spans="2:8">
      <c r="B48" s="1152" t="s">
        <v>4981</v>
      </c>
      <c r="C48" s="1148">
        <v>0</v>
      </c>
      <c r="D48" s="1149">
        <v>0</v>
      </c>
      <c r="E48" s="1150">
        <f t="shared" si="3"/>
        <v>0</v>
      </c>
      <c r="F48" s="1148">
        <v>0</v>
      </c>
      <c r="G48" s="1148">
        <v>0</v>
      </c>
      <c r="H48" s="1151">
        <f t="shared" si="1"/>
        <v>0</v>
      </c>
    </row>
    <row r="49" spans="2:8">
      <c r="B49" s="1152" t="s">
        <v>4982</v>
      </c>
      <c r="C49" s="1148">
        <v>0</v>
      </c>
      <c r="D49" s="1149">
        <v>0</v>
      </c>
      <c r="E49" s="1150">
        <f t="shared" si="3"/>
        <v>0</v>
      </c>
      <c r="F49" s="1148">
        <v>0</v>
      </c>
      <c r="G49" s="1148">
        <v>0</v>
      </c>
      <c r="H49" s="1151">
        <f t="shared" si="1"/>
        <v>0</v>
      </c>
    </row>
    <row r="50" spans="2:8">
      <c r="B50" s="1152" t="s">
        <v>4983</v>
      </c>
      <c r="C50" s="1148">
        <v>0</v>
      </c>
      <c r="D50" s="1149">
        <v>0</v>
      </c>
      <c r="E50" s="1150">
        <f t="shared" si="3"/>
        <v>0</v>
      </c>
      <c r="F50" s="1148">
        <v>0</v>
      </c>
      <c r="G50" s="1148">
        <v>0</v>
      </c>
      <c r="H50" s="1151">
        <f t="shared" si="1"/>
        <v>0</v>
      </c>
    </row>
    <row r="51" spans="2:8">
      <c r="B51" s="1152" t="s">
        <v>4984</v>
      </c>
      <c r="C51" s="1148">
        <v>0</v>
      </c>
      <c r="D51" s="1149">
        <v>0</v>
      </c>
      <c r="E51" s="1150">
        <f t="shared" si="3"/>
        <v>0</v>
      </c>
      <c r="F51" s="1148">
        <v>0</v>
      </c>
      <c r="G51" s="1148">
        <v>0</v>
      </c>
      <c r="H51" s="1151">
        <f t="shared" si="1"/>
        <v>0</v>
      </c>
    </row>
    <row r="52" spans="2:8">
      <c r="B52" s="1152" t="s">
        <v>4985</v>
      </c>
      <c r="C52" s="1148">
        <v>0</v>
      </c>
      <c r="D52" s="1149">
        <v>0</v>
      </c>
      <c r="E52" s="1150">
        <f t="shared" si="3"/>
        <v>0</v>
      </c>
      <c r="F52" s="1148">
        <v>0</v>
      </c>
      <c r="G52" s="1148">
        <v>0</v>
      </c>
      <c r="H52" s="1151">
        <f t="shared" si="1"/>
        <v>0</v>
      </c>
    </row>
    <row r="53" spans="2:8">
      <c r="B53" s="1152" t="s">
        <v>4986</v>
      </c>
      <c r="C53" s="1148">
        <v>0</v>
      </c>
      <c r="D53" s="1149">
        <v>0</v>
      </c>
      <c r="E53" s="1150">
        <f t="shared" si="3"/>
        <v>0</v>
      </c>
      <c r="F53" s="1148">
        <v>0</v>
      </c>
      <c r="G53" s="1148">
        <v>0</v>
      </c>
      <c r="H53" s="1151">
        <f t="shared" si="1"/>
        <v>0</v>
      </c>
    </row>
    <row r="54" spans="2:8">
      <c r="B54" s="1152" t="s">
        <v>4987</v>
      </c>
      <c r="C54" s="1148">
        <v>0</v>
      </c>
      <c r="D54" s="1149">
        <v>0</v>
      </c>
      <c r="E54" s="1150">
        <f t="shared" si="3"/>
        <v>0</v>
      </c>
      <c r="F54" s="1148">
        <v>0</v>
      </c>
      <c r="G54" s="1148">
        <v>0</v>
      </c>
      <c r="H54" s="1151">
        <f t="shared" si="1"/>
        <v>0</v>
      </c>
    </row>
    <row r="55" spans="2:8">
      <c r="B55" s="1152" t="s">
        <v>4988</v>
      </c>
      <c r="C55" s="1148">
        <v>0</v>
      </c>
      <c r="D55" s="1149">
        <v>0</v>
      </c>
      <c r="E55" s="1150">
        <f t="shared" si="3"/>
        <v>0</v>
      </c>
      <c r="F55" s="1148">
        <v>0</v>
      </c>
      <c r="G55" s="1148">
        <v>0</v>
      </c>
      <c r="H55" s="1151">
        <f t="shared" si="1"/>
        <v>0</v>
      </c>
    </row>
    <row r="56" spans="2:8">
      <c r="B56" s="1152" t="s">
        <v>702</v>
      </c>
      <c r="C56" s="1148">
        <v>0</v>
      </c>
      <c r="D56" s="1149">
        <v>0</v>
      </c>
      <c r="E56" s="1150">
        <f t="shared" si="3"/>
        <v>0</v>
      </c>
      <c r="F56" s="1148">
        <v>0</v>
      </c>
      <c r="G56" s="1148">
        <v>0</v>
      </c>
      <c r="H56" s="1151">
        <f t="shared" si="1"/>
        <v>0</v>
      </c>
    </row>
    <row r="57" spans="2:8" ht="20.100000000000001" customHeight="1">
      <c r="B57" s="1145" t="s">
        <v>4989</v>
      </c>
      <c r="C57" s="1146">
        <f>SUM(C58:C60)</f>
        <v>0</v>
      </c>
      <c r="D57" s="1146">
        <f>SUM(D58:D60)</f>
        <v>0</v>
      </c>
      <c r="E57" s="1146">
        <f t="shared" si="3"/>
        <v>0</v>
      </c>
      <c r="F57" s="1146">
        <f>SUM(F58:F60)</f>
        <v>0</v>
      </c>
      <c r="G57" s="1146">
        <f>SUM(G58:G60)</f>
        <v>0</v>
      </c>
      <c r="H57" s="1146">
        <f t="shared" si="1"/>
        <v>0</v>
      </c>
    </row>
    <row r="58" spans="2:8">
      <c r="B58" s="1152" t="s">
        <v>4990</v>
      </c>
      <c r="C58" s="1148">
        <v>0</v>
      </c>
      <c r="D58" s="1149">
        <v>0</v>
      </c>
      <c r="E58" s="1150">
        <f t="shared" si="3"/>
        <v>0</v>
      </c>
      <c r="F58" s="1148">
        <v>0</v>
      </c>
      <c r="G58" s="1148">
        <v>0</v>
      </c>
      <c r="H58" s="1151">
        <f t="shared" si="1"/>
        <v>0</v>
      </c>
    </row>
    <row r="59" spans="2:8">
      <c r="B59" s="1152" t="s">
        <v>4991</v>
      </c>
      <c r="C59" s="1148">
        <v>0</v>
      </c>
      <c r="D59" s="1149">
        <v>0</v>
      </c>
      <c r="E59" s="1150">
        <f t="shared" si="3"/>
        <v>0</v>
      </c>
      <c r="F59" s="1148">
        <v>0</v>
      </c>
      <c r="G59" s="1148">
        <v>0</v>
      </c>
      <c r="H59" s="1150">
        <f t="shared" si="1"/>
        <v>0</v>
      </c>
    </row>
    <row r="60" spans="2:8">
      <c r="B60" s="1152" t="s">
        <v>4992</v>
      </c>
      <c r="C60" s="1148">
        <v>0</v>
      </c>
      <c r="D60" s="1149">
        <v>0</v>
      </c>
      <c r="E60" s="1150">
        <f t="shared" si="3"/>
        <v>0</v>
      </c>
      <c r="F60" s="1148">
        <v>0</v>
      </c>
      <c r="G60" s="1148">
        <v>0</v>
      </c>
      <c r="H60" s="1150">
        <f t="shared" si="1"/>
        <v>0</v>
      </c>
    </row>
    <row r="61" spans="2:8" ht="20.100000000000001" customHeight="1">
      <c r="B61" s="1153" t="s">
        <v>4993</v>
      </c>
      <c r="C61" s="1146">
        <f>SUM(C62:C68)</f>
        <v>0</v>
      </c>
      <c r="D61" s="1159">
        <f>SUM(D62:D68)</f>
        <v>0</v>
      </c>
      <c r="E61" s="1159">
        <f t="shared" si="3"/>
        <v>0</v>
      </c>
      <c r="F61" s="1146">
        <f>SUM(F62:F68)</f>
        <v>0</v>
      </c>
      <c r="G61" s="1146">
        <f>SUM(G62:G68)</f>
        <v>0</v>
      </c>
      <c r="H61" s="1159">
        <f t="shared" si="1"/>
        <v>0</v>
      </c>
    </row>
    <row r="62" spans="2:8" ht="12" customHeight="1">
      <c r="B62" s="1152" t="s">
        <v>4994</v>
      </c>
      <c r="C62" s="1148">
        <v>0</v>
      </c>
      <c r="D62" s="1149">
        <v>0</v>
      </c>
      <c r="E62" s="1150">
        <f t="shared" si="3"/>
        <v>0</v>
      </c>
      <c r="F62" s="1148">
        <v>0</v>
      </c>
      <c r="G62" s="1148">
        <v>0</v>
      </c>
      <c r="H62" s="1150">
        <f t="shared" si="1"/>
        <v>0</v>
      </c>
    </row>
    <row r="63" spans="2:8" ht="12" customHeight="1">
      <c r="B63" s="1152" t="s">
        <v>4995</v>
      </c>
      <c r="C63" s="1148">
        <v>0</v>
      </c>
      <c r="D63" s="1149">
        <v>0</v>
      </c>
      <c r="E63" s="1150">
        <f t="shared" si="3"/>
        <v>0</v>
      </c>
      <c r="F63" s="1148">
        <v>0</v>
      </c>
      <c r="G63" s="1148">
        <v>0</v>
      </c>
      <c r="H63" s="1150">
        <f t="shared" si="1"/>
        <v>0</v>
      </c>
    </row>
    <row r="64" spans="2:8" ht="12" customHeight="1">
      <c r="B64" s="1152" t="s">
        <v>4996</v>
      </c>
      <c r="C64" s="1148">
        <v>0</v>
      </c>
      <c r="D64" s="1149">
        <v>0</v>
      </c>
      <c r="E64" s="1150">
        <f t="shared" si="3"/>
        <v>0</v>
      </c>
      <c r="F64" s="1148">
        <v>0</v>
      </c>
      <c r="G64" s="1148">
        <v>0</v>
      </c>
      <c r="H64" s="1150">
        <f t="shared" si="1"/>
        <v>0</v>
      </c>
    </row>
    <row r="65" spans="2:8" ht="12" customHeight="1">
      <c r="B65" s="1152" t="s">
        <v>4997</v>
      </c>
      <c r="C65" s="1148">
        <v>0</v>
      </c>
      <c r="D65" s="1149">
        <v>0</v>
      </c>
      <c r="E65" s="1150">
        <f t="shared" si="3"/>
        <v>0</v>
      </c>
      <c r="F65" s="1148">
        <v>0</v>
      </c>
      <c r="G65" s="1148">
        <v>0</v>
      </c>
      <c r="H65" s="1150">
        <f t="shared" si="1"/>
        <v>0</v>
      </c>
    </row>
    <row r="66" spans="2:8" ht="12" customHeight="1">
      <c r="B66" s="1152" t="s">
        <v>4998</v>
      </c>
      <c r="C66" s="1148">
        <v>0</v>
      </c>
      <c r="D66" s="1149">
        <v>0</v>
      </c>
      <c r="E66" s="1150">
        <f t="shared" si="3"/>
        <v>0</v>
      </c>
      <c r="F66" s="1148">
        <v>0</v>
      </c>
      <c r="G66" s="1148">
        <v>0</v>
      </c>
      <c r="H66" s="1150">
        <f t="shared" si="1"/>
        <v>0</v>
      </c>
    </row>
    <row r="67" spans="2:8" ht="12" customHeight="1">
      <c r="B67" s="1152" t="s">
        <v>4999</v>
      </c>
      <c r="C67" s="1148">
        <v>0</v>
      </c>
      <c r="D67" s="1149">
        <v>0</v>
      </c>
      <c r="E67" s="1150">
        <f t="shared" si="3"/>
        <v>0</v>
      </c>
      <c r="F67" s="1148">
        <v>0</v>
      </c>
      <c r="G67" s="1148">
        <v>0</v>
      </c>
      <c r="H67" s="1150">
        <f t="shared" si="1"/>
        <v>0</v>
      </c>
    </row>
    <row r="68" spans="2:8" ht="12" customHeight="1">
      <c r="B68" s="1152" t="s">
        <v>5000</v>
      </c>
      <c r="C68" s="1148">
        <v>0</v>
      </c>
      <c r="D68" s="1149">
        <v>0</v>
      </c>
      <c r="E68" s="1150">
        <f t="shared" si="3"/>
        <v>0</v>
      </c>
      <c r="F68" s="1148">
        <v>0</v>
      </c>
      <c r="G68" s="1148">
        <v>0</v>
      </c>
      <c r="H68" s="1150">
        <f t="shared" si="1"/>
        <v>0</v>
      </c>
    </row>
    <row r="69" spans="2:8" ht="20.100000000000001" customHeight="1">
      <c r="B69" s="1153" t="s">
        <v>5001</v>
      </c>
      <c r="C69" s="1146">
        <f>SUM(C70:C72)</f>
        <v>0</v>
      </c>
      <c r="D69" s="1159">
        <f>SUM(D70:D72)</f>
        <v>0</v>
      </c>
      <c r="E69" s="1159">
        <f t="shared" si="3"/>
        <v>0</v>
      </c>
      <c r="F69" s="1146">
        <f>SUM(F70:F72)</f>
        <v>0</v>
      </c>
      <c r="G69" s="1159">
        <f>SUM(G70:G72)</f>
        <v>0</v>
      </c>
      <c r="H69" s="1159">
        <f t="shared" si="1"/>
        <v>0</v>
      </c>
    </row>
    <row r="70" spans="2:8">
      <c r="B70" s="1147" t="s">
        <v>645</v>
      </c>
      <c r="C70" s="1148">
        <v>0</v>
      </c>
      <c r="D70" s="1149">
        <v>0</v>
      </c>
      <c r="E70" s="1150">
        <f t="shared" si="3"/>
        <v>0</v>
      </c>
      <c r="F70" s="1148">
        <v>0</v>
      </c>
      <c r="G70" s="1149">
        <v>0</v>
      </c>
      <c r="H70" s="1150">
        <f t="shared" si="1"/>
        <v>0</v>
      </c>
    </row>
    <row r="71" spans="2:8">
      <c r="B71" s="1147" t="s">
        <v>647</v>
      </c>
      <c r="C71" s="1148">
        <v>0</v>
      </c>
      <c r="D71" s="1149">
        <v>0</v>
      </c>
      <c r="E71" s="1150">
        <f t="shared" si="3"/>
        <v>0</v>
      </c>
      <c r="F71" s="1148">
        <v>0</v>
      </c>
      <c r="G71" s="1149">
        <v>0</v>
      </c>
      <c r="H71" s="1150">
        <f t="shared" si="1"/>
        <v>0</v>
      </c>
    </row>
    <row r="72" spans="2:8">
      <c r="B72" s="1147" t="s">
        <v>649</v>
      </c>
      <c r="C72" s="1148">
        <v>0</v>
      </c>
      <c r="D72" s="1149">
        <v>0</v>
      </c>
      <c r="E72" s="1150">
        <f t="shared" si="3"/>
        <v>0</v>
      </c>
      <c r="F72" s="1148">
        <v>0</v>
      </c>
      <c r="G72" s="1149">
        <v>0</v>
      </c>
      <c r="H72" s="1150">
        <f t="shared" si="1"/>
        <v>0</v>
      </c>
    </row>
    <row r="73" spans="2:8" ht="20.100000000000001" customHeight="1">
      <c r="B73" s="1145" t="s">
        <v>5002</v>
      </c>
      <c r="C73" s="1146">
        <f>SUM(C74:C80)</f>
        <v>0</v>
      </c>
      <c r="D73" s="1159">
        <f>SUM(D74:D80)</f>
        <v>0</v>
      </c>
      <c r="E73" s="1159">
        <f t="shared" si="3"/>
        <v>0</v>
      </c>
      <c r="F73" s="1146">
        <f>SUM(F74:F80)</f>
        <v>0</v>
      </c>
      <c r="G73" s="1159">
        <f>SUM(G74:G80)</f>
        <v>0</v>
      </c>
      <c r="H73" s="1159">
        <f t="shared" ref="H73:H81" si="4">E73-F73</f>
        <v>0</v>
      </c>
    </row>
    <row r="74" spans="2:8">
      <c r="B74" s="1152" t="s">
        <v>5003</v>
      </c>
      <c r="C74" s="1148">
        <v>0</v>
      </c>
      <c r="D74" s="1149">
        <v>0</v>
      </c>
      <c r="E74" s="1150">
        <f t="shared" si="3"/>
        <v>0</v>
      </c>
      <c r="F74" s="1148">
        <v>0</v>
      </c>
      <c r="G74" s="1149">
        <v>0</v>
      </c>
      <c r="H74" s="1150">
        <f t="shared" si="4"/>
        <v>0</v>
      </c>
    </row>
    <row r="75" spans="2:8">
      <c r="B75" s="1152" t="s">
        <v>652</v>
      </c>
      <c r="C75" s="1148">
        <v>0</v>
      </c>
      <c r="D75" s="1149">
        <v>0</v>
      </c>
      <c r="E75" s="1150">
        <f t="shared" si="3"/>
        <v>0</v>
      </c>
      <c r="F75" s="1148">
        <v>0</v>
      </c>
      <c r="G75" s="1149">
        <v>0</v>
      </c>
      <c r="H75" s="1150">
        <f t="shared" si="4"/>
        <v>0</v>
      </c>
    </row>
    <row r="76" spans="2:8">
      <c r="B76" s="1152" t="s">
        <v>653</v>
      </c>
      <c r="C76" s="1148">
        <v>0</v>
      </c>
      <c r="D76" s="1149">
        <v>0</v>
      </c>
      <c r="E76" s="1150">
        <f t="shared" si="3"/>
        <v>0</v>
      </c>
      <c r="F76" s="1148">
        <v>0</v>
      </c>
      <c r="G76" s="1149">
        <v>0</v>
      </c>
      <c r="H76" s="1150">
        <f t="shared" si="4"/>
        <v>0</v>
      </c>
    </row>
    <row r="77" spans="2:8">
      <c r="B77" s="1152" t="s">
        <v>654</v>
      </c>
      <c r="C77" s="1148">
        <v>0</v>
      </c>
      <c r="D77" s="1149">
        <v>0</v>
      </c>
      <c r="E77" s="1150">
        <f t="shared" si="3"/>
        <v>0</v>
      </c>
      <c r="F77" s="1148">
        <v>0</v>
      </c>
      <c r="G77" s="1149">
        <v>0</v>
      </c>
      <c r="H77" s="1150">
        <f t="shared" si="4"/>
        <v>0</v>
      </c>
    </row>
    <row r="78" spans="2:8">
      <c r="B78" s="1152" t="s">
        <v>655</v>
      </c>
      <c r="C78" s="1148">
        <v>0</v>
      </c>
      <c r="D78" s="1149">
        <v>0</v>
      </c>
      <c r="E78" s="1150">
        <f t="shared" si="3"/>
        <v>0</v>
      </c>
      <c r="F78" s="1148">
        <v>0</v>
      </c>
      <c r="G78" s="1149">
        <v>0</v>
      </c>
      <c r="H78" s="1150">
        <f t="shared" si="4"/>
        <v>0</v>
      </c>
    </row>
    <row r="79" spans="2:8">
      <c r="B79" s="1152" t="s">
        <v>656</v>
      </c>
      <c r="C79" s="1148">
        <v>0</v>
      </c>
      <c r="D79" s="1149">
        <v>0</v>
      </c>
      <c r="E79" s="1150">
        <f t="shared" si="3"/>
        <v>0</v>
      </c>
      <c r="F79" s="1148">
        <v>0</v>
      </c>
      <c r="G79" s="1149">
        <v>0</v>
      </c>
      <c r="H79" s="1150">
        <f t="shared" si="4"/>
        <v>0</v>
      </c>
    </row>
    <row r="80" spans="2:8" ht="12" customHeight="1" thickBot="1">
      <c r="B80" s="1154" t="s">
        <v>5004</v>
      </c>
      <c r="C80" s="1148">
        <v>0</v>
      </c>
      <c r="D80" s="1149">
        <v>0</v>
      </c>
      <c r="E80" s="1150">
        <v>0</v>
      </c>
      <c r="F80" s="1148">
        <v>0</v>
      </c>
      <c r="G80" s="1149">
        <v>0</v>
      </c>
      <c r="H80" s="1150">
        <f t="shared" si="4"/>
        <v>0</v>
      </c>
    </row>
    <row r="81" spans="2:8" ht="12.75" thickBot="1">
      <c r="B81" s="1160" t="s">
        <v>826</v>
      </c>
      <c r="C81" s="1161">
        <f>SUM(C73,C69,C61,C57,C47,C27,C37,C17,C9)</f>
        <v>138260283.41649699</v>
      </c>
      <c r="D81" s="1161">
        <f>SUM(D73,D69,D61,D57,D47,D37,D27,D17,D9)</f>
        <v>0</v>
      </c>
      <c r="E81" s="1161">
        <f>C81+D81</f>
        <v>138260283.41649699</v>
      </c>
      <c r="F81" s="1161">
        <f>SUM(F73,F69,F61,F57,F47,F37,F17,F27,F9)</f>
        <v>15020502.310000001</v>
      </c>
      <c r="G81" s="1161">
        <f>SUM(G73,G69,G61,G57,G47,G37,G27,G17,G9)</f>
        <v>15020502.310000001</v>
      </c>
      <c r="H81" s="1161">
        <f t="shared" si="4"/>
        <v>123239781.10649699</v>
      </c>
    </row>
  </sheetData>
  <mergeCells count="7">
    <mergeCell ref="B2:H2"/>
    <mergeCell ref="B3:H3"/>
    <mergeCell ref="B4:H4"/>
    <mergeCell ref="B5:H5"/>
    <mergeCell ref="B6:B8"/>
    <mergeCell ref="C6:G6"/>
    <mergeCell ref="H6:H7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BD1DFB-5051-496D-A2BB-46F9993D7071}">
  <dimension ref="B1:R160"/>
  <sheetViews>
    <sheetView workbookViewId="0">
      <selection activeCell="D13" sqref="D13"/>
    </sheetView>
  </sheetViews>
  <sheetFormatPr baseColWidth="10" defaultColWidth="11.42578125" defaultRowHeight="12"/>
  <cols>
    <col min="1" max="1" width="3.5703125" style="964" customWidth="1"/>
    <col min="2" max="2" width="43.140625" style="964" customWidth="1"/>
    <col min="3" max="3" width="14.42578125" style="964" bestFit="1" customWidth="1"/>
    <col min="4" max="4" width="13.5703125" style="964" customWidth="1"/>
    <col min="5" max="8" width="14.42578125" style="964" bestFit="1" customWidth="1"/>
    <col min="9" max="9" width="3.7109375" style="964" customWidth="1"/>
    <col min="10" max="16384" width="11.42578125" style="964"/>
  </cols>
  <sheetData>
    <row r="1" spans="2:9" ht="15" customHeight="1" thickBot="1">
      <c r="I1" s="1144" t="s">
        <v>4965</v>
      </c>
    </row>
    <row r="2" spans="2:9" ht="15" customHeight="1">
      <c r="B2" s="1798" t="s">
        <v>2992</v>
      </c>
      <c r="C2" s="1799"/>
      <c r="D2" s="1799"/>
      <c r="E2" s="1799"/>
      <c r="F2" s="1799"/>
      <c r="G2" s="1799"/>
      <c r="H2" s="1800"/>
    </row>
    <row r="3" spans="2:9">
      <c r="B3" s="1801" t="s">
        <v>5240</v>
      </c>
      <c r="C3" s="1802"/>
      <c r="D3" s="1802"/>
      <c r="E3" s="1802"/>
      <c r="F3" s="1802"/>
      <c r="G3" s="1802"/>
      <c r="H3" s="1803"/>
    </row>
    <row r="4" spans="2:9">
      <c r="B4" s="1801" t="s">
        <v>4966</v>
      </c>
      <c r="C4" s="1802"/>
      <c r="D4" s="1802"/>
      <c r="E4" s="1802"/>
      <c r="F4" s="1802"/>
      <c r="G4" s="1802"/>
      <c r="H4" s="1803"/>
    </row>
    <row r="5" spans="2:9">
      <c r="B5" s="1804"/>
      <c r="C5" s="1805"/>
      <c r="D5" s="1805"/>
      <c r="E5" s="1805"/>
      <c r="F5" s="1805"/>
      <c r="G5" s="1805"/>
      <c r="H5" s="1806"/>
    </row>
    <row r="6" spans="2:9" ht="15.75" customHeight="1" thickBot="1">
      <c r="B6" s="1807" t="s">
        <v>5022</v>
      </c>
      <c r="C6" s="1808"/>
      <c r="D6" s="1808"/>
      <c r="E6" s="1808"/>
      <c r="F6" s="1808"/>
      <c r="G6" s="1808"/>
      <c r="H6" s="1809"/>
    </row>
    <row r="7" spans="2:9" ht="24.75" customHeight="1" thickBot="1">
      <c r="B7" s="1810" t="s">
        <v>5023</v>
      </c>
      <c r="C7" s="1812" t="s">
        <v>75</v>
      </c>
      <c r="D7" s="1813"/>
      <c r="E7" s="1813"/>
      <c r="F7" s="1813"/>
      <c r="G7" s="1814"/>
      <c r="H7" s="1815" t="s">
        <v>5241</v>
      </c>
    </row>
    <row r="8" spans="2:9" ht="24.75" thickBot="1">
      <c r="B8" s="1811"/>
      <c r="C8" s="1105" t="s">
        <v>5137</v>
      </c>
      <c r="D8" s="1105" t="s">
        <v>4952</v>
      </c>
      <c r="E8" s="1105" t="s">
        <v>4953</v>
      </c>
      <c r="F8" s="1105" t="s">
        <v>236</v>
      </c>
      <c r="G8" s="1105" t="s">
        <v>4954</v>
      </c>
      <c r="H8" s="1816"/>
    </row>
    <row r="9" spans="2:9">
      <c r="B9" s="1309"/>
      <c r="C9" s="1166"/>
      <c r="D9" s="1166"/>
      <c r="E9" s="1166"/>
      <c r="F9" s="1166"/>
      <c r="G9" s="1166"/>
      <c r="H9" s="1310"/>
    </row>
    <row r="10" spans="2:9">
      <c r="B10" s="1311" t="s">
        <v>5242</v>
      </c>
      <c r="C10" s="1312">
        <f>SUM(C12,C20,C30,C40,C50,C60,C64,C73,C77)</f>
        <v>138260283.41649699</v>
      </c>
      <c r="D10" s="1313">
        <f>SUM(D12,D20,D30,D40,D50,D60,D64,D73,D77)</f>
        <v>0</v>
      </c>
      <c r="E10" s="1146">
        <f t="shared" ref="E10:H10" si="0">SUM(E12,E20,E30,E40,E50,E60,E64,E73,E77)</f>
        <v>138260283.41649699</v>
      </c>
      <c r="F10" s="1313">
        <f t="shared" si="0"/>
        <v>15020502.310000001</v>
      </c>
      <c r="G10" s="1313">
        <f t="shared" si="0"/>
        <v>15020502.310000001</v>
      </c>
      <c r="H10" s="1146">
        <f t="shared" si="0"/>
        <v>123239781.10649699</v>
      </c>
    </row>
    <row r="11" spans="2:9">
      <c r="B11" s="1311"/>
      <c r="C11" s="1312"/>
      <c r="D11" s="1313"/>
      <c r="E11" s="1146"/>
      <c r="F11" s="1313"/>
      <c r="G11" s="1313"/>
      <c r="H11" s="1146"/>
    </row>
    <row r="12" spans="2:9" s="1314" customFormat="1" ht="14.1" customHeight="1">
      <c r="B12" s="1311" t="s">
        <v>5243</v>
      </c>
      <c r="C12" s="1312">
        <f>SUM(C13:C19)</f>
        <v>19299621.387999997</v>
      </c>
      <c r="D12" s="1312">
        <f>SUM(D13:D19)</f>
        <v>0</v>
      </c>
      <c r="E12" s="1159">
        <f t="shared" ref="E12:H12" si="1">SUM(E13:E19)</f>
        <v>19299621.387999997</v>
      </c>
      <c r="F12" s="1312">
        <f t="shared" si="1"/>
        <v>4375817.34</v>
      </c>
      <c r="G12" s="1312">
        <f t="shared" si="1"/>
        <v>4375817.34</v>
      </c>
      <c r="H12" s="1159">
        <f t="shared" si="1"/>
        <v>14923804.047999997</v>
      </c>
    </row>
    <row r="13" spans="2:9" ht="24">
      <c r="B13" s="1277" t="s">
        <v>5244</v>
      </c>
      <c r="C13" s="1149">
        <f>+COG!D11</f>
        <v>12896881.199999997</v>
      </c>
      <c r="D13" s="1149">
        <v>0</v>
      </c>
      <c r="E13" s="1150">
        <f>SUM(C13:D13)</f>
        <v>12896881.199999997</v>
      </c>
      <c r="F13" s="1149">
        <f>+COG!G11</f>
        <v>3341742</v>
      </c>
      <c r="G13" s="1149">
        <f>+COG!H11</f>
        <v>3341742</v>
      </c>
      <c r="H13" s="1151">
        <f>SUM(E13-F13)</f>
        <v>9555139.1999999974</v>
      </c>
    </row>
    <row r="14" spans="2:9" ht="22.9" customHeight="1">
      <c r="B14" s="1277" t="s">
        <v>5245</v>
      </c>
      <c r="C14" s="1149">
        <v>0</v>
      </c>
      <c r="D14" s="1149">
        <v>0</v>
      </c>
      <c r="E14" s="1150">
        <f t="shared" ref="E14:E79" si="2">SUM(C14:D14)</f>
        <v>0</v>
      </c>
      <c r="F14" s="1149">
        <v>0</v>
      </c>
      <c r="G14" s="1149">
        <v>0</v>
      </c>
      <c r="H14" s="1151">
        <f t="shared" ref="H14:H79" si="3">SUM(E14-F14)</f>
        <v>0</v>
      </c>
    </row>
    <row r="15" spans="2:9">
      <c r="B15" s="1277" t="s">
        <v>5246</v>
      </c>
      <c r="C15" s="1149">
        <f>+COG!D12</f>
        <v>2102233.952</v>
      </c>
      <c r="D15" s="1149">
        <v>0</v>
      </c>
      <c r="E15" s="1150">
        <f t="shared" si="2"/>
        <v>2102233.952</v>
      </c>
      <c r="F15" s="1149">
        <f>+COG!G12</f>
        <v>15375.2</v>
      </c>
      <c r="G15" s="1149">
        <f>+COG!H12</f>
        <v>15375.2</v>
      </c>
      <c r="H15" s="1151">
        <f t="shared" si="3"/>
        <v>2086858.7520000001</v>
      </c>
    </row>
    <row r="16" spans="2:9">
      <c r="B16" s="1277" t="s">
        <v>5247</v>
      </c>
      <c r="C16" s="1149">
        <f>+COG!D13</f>
        <v>2553469.804</v>
      </c>
      <c r="D16" s="1149">
        <v>0</v>
      </c>
      <c r="E16" s="1150">
        <f t="shared" si="2"/>
        <v>2553469.804</v>
      </c>
      <c r="F16" s="1149">
        <f>+COG!G13</f>
        <v>513200.01999999996</v>
      </c>
      <c r="G16" s="1149">
        <f>+COG!H13</f>
        <v>513200.01999999996</v>
      </c>
      <c r="H16" s="1151">
        <f t="shared" si="3"/>
        <v>2040269.784</v>
      </c>
    </row>
    <row r="17" spans="2:8">
      <c r="B17" s="1277" t="s">
        <v>5248</v>
      </c>
      <c r="C17" s="1149">
        <f>+COG!D14</f>
        <v>1747036.4319999996</v>
      </c>
      <c r="D17" s="1149">
        <v>0</v>
      </c>
      <c r="E17" s="1150">
        <f t="shared" si="2"/>
        <v>1747036.4319999996</v>
      </c>
      <c r="F17" s="1149">
        <f>+COG!G14</f>
        <v>505500.12</v>
      </c>
      <c r="G17" s="1149">
        <f>+COG!H14</f>
        <v>505500.12</v>
      </c>
      <c r="H17" s="1151">
        <f t="shared" si="3"/>
        <v>1241536.3119999995</v>
      </c>
    </row>
    <row r="18" spans="2:8">
      <c r="B18" s="1277" t="s">
        <v>5249</v>
      </c>
      <c r="C18" s="1149">
        <v>0</v>
      </c>
      <c r="D18" s="1149">
        <v>0</v>
      </c>
      <c r="E18" s="1150">
        <f t="shared" si="2"/>
        <v>0</v>
      </c>
      <c r="F18" s="1148">
        <v>0</v>
      </c>
      <c r="G18" s="1148">
        <v>0</v>
      </c>
      <c r="H18" s="1151">
        <f t="shared" si="3"/>
        <v>0</v>
      </c>
    </row>
    <row r="19" spans="2:8">
      <c r="B19" s="1277" t="s">
        <v>5250</v>
      </c>
      <c r="C19" s="1149">
        <v>0</v>
      </c>
      <c r="D19" s="1149">
        <v>0</v>
      </c>
      <c r="E19" s="1150">
        <f t="shared" si="2"/>
        <v>0</v>
      </c>
      <c r="F19" s="1148">
        <v>0</v>
      </c>
      <c r="G19" s="1148">
        <v>0</v>
      </c>
      <c r="H19" s="1151">
        <f t="shared" si="3"/>
        <v>0</v>
      </c>
    </row>
    <row r="20" spans="2:8" s="1314" customFormat="1" ht="24">
      <c r="B20" s="1315" t="s">
        <v>5251</v>
      </c>
      <c r="C20" s="1312">
        <f>SUM(C21:C29)</f>
        <v>2153010.4640000006</v>
      </c>
      <c r="D20" s="1312">
        <f t="shared" ref="D20:H20" si="4">SUM(D21:D29)</f>
        <v>0</v>
      </c>
      <c r="E20" s="1159">
        <f t="shared" si="4"/>
        <v>2153010.4640000006</v>
      </c>
      <c r="F20" s="1312">
        <f t="shared" si="4"/>
        <v>241376.94</v>
      </c>
      <c r="G20" s="1312">
        <f t="shared" si="4"/>
        <v>241376.94</v>
      </c>
      <c r="H20" s="1159">
        <f t="shared" si="4"/>
        <v>1911633.5240000004</v>
      </c>
    </row>
    <row r="21" spans="2:8" ht="24">
      <c r="B21" s="1277" t="s">
        <v>5252</v>
      </c>
      <c r="C21" s="1149">
        <f>+COG!D16</f>
        <v>544100</v>
      </c>
      <c r="D21" s="1149">
        <v>0</v>
      </c>
      <c r="E21" s="1150">
        <f t="shared" si="2"/>
        <v>544100</v>
      </c>
      <c r="F21" s="1149">
        <f>+COG!G16</f>
        <v>57183.07</v>
      </c>
      <c r="G21" s="1149">
        <f>+COG!H16</f>
        <v>57183.07</v>
      </c>
      <c r="H21" s="1151">
        <f t="shared" si="3"/>
        <v>486916.93</v>
      </c>
    </row>
    <row r="22" spans="2:8">
      <c r="B22" s="1277" t="s">
        <v>5253</v>
      </c>
      <c r="C22" s="1149">
        <f>+COG!D17</f>
        <v>49999.999999999993</v>
      </c>
      <c r="D22" s="1149">
        <v>0</v>
      </c>
      <c r="E22" s="1150">
        <f t="shared" si="2"/>
        <v>49999.999999999993</v>
      </c>
      <c r="F22" s="1149">
        <f>+COG!G17</f>
        <v>16315.9</v>
      </c>
      <c r="G22" s="1149">
        <f>+COG!H17</f>
        <v>16315.9</v>
      </c>
      <c r="H22" s="1151">
        <f t="shared" si="3"/>
        <v>33684.099999999991</v>
      </c>
    </row>
    <row r="23" spans="2:8" ht="24">
      <c r="B23" s="1277" t="s">
        <v>5254</v>
      </c>
      <c r="C23" s="1149">
        <v>0</v>
      </c>
      <c r="D23" s="1149">
        <v>0</v>
      </c>
      <c r="E23" s="1150">
        <f t="shared" si="2"/>
        <v>0</v>
      </c>
      <c r="F23" s="1149">
        <v>0</v>
      </c>
      <c r="G23" s="1149">
        <v>0</v>
      </c>
      <c r="H23" s="1151">
        <f t="shared" si="3"/>
        <v>0</v>
      </c>
    </row>
    <row r="24" spans="2:8" ht="24">
      <c r="B24" s="1277" t="s">
        <v>5255</v>
      </c>
      <c r="C24" s="1149">
        <v>0</v>
      </c>
      <c r="D24" s="1149">
        <v>0</v>
      </c>
      <c r="E24" s="1150">
        <f t="shared" si="2"/>
        <v>0</v>
      </c>
      <c r="F24" s="1149">
        <v>0</v>
      </c>
      <c r="G24" s="1149">
        <v>0</v>
      </c>
      <c r="H24" s="1151">
        <f t="shared" si="3"/>
        <v>0</v>
      </c>
    </row>
    <row r="25" spans="2:8" ht="23.45" customHeight="1">
      <c r="B25" s="1277" t="s">
        <v>5256</v>
      </c>
      <c r="C25" s="1149">
        <f>+COG!D18</f>
        <v>2000</v>
      </c>
      <c r="D25" s="1149">
        <v>0</v>
      </c>
      <c r="E25" s="1150">
        <f t="shared" si="2"/>
        <v>2000</v>
      </c>
      <c r="F25" s="1149">
        <f>+COG!G18</f>
        <v>0</v>
      </c>
      <c r="G25" s="1149">
        <f>+COG!H18</f>
        <v>0</v>
      </c>
      <c r="H25" s="1151">
        <f t="shared" si="3"/>
        <v>2000</v>
      </c>
    </row>
    <row r="26" spans="2:8">
      <c r="B26" s="1277" t="s">
        <v>5257</v>
      </c>
      <c r="C26" s="1149">
        <f>+COG!D19</f>
        <v>1556910.4640000004</v>
      </c>
      <c r="D26" s="1149">
        <v>0</v>
      </c>
      <c r="E26" s="1150">
        <f t="shared" si="2"/>
        <v>1556910.4640000004</v>
      </c>
      <c r="F26" s="1149">
        <f>+COG!G19</f>
        <v>167877.97</v>
      </c>
      <c r="G26" s="1149">
        <f>+COG!H19</f>
        <v>167877.97</v>
      </c>
      <c r="H26" s="1151">
        <f t="shared" si="3"/>
        <v>1389032.4940000004</v>
      </c>
    </row>
    <row r="27" spans="2:8" ht="24">
      <c r="B27" s="1277" t="s">
        <v>5258</v>
      </c>
      <c r="C27" s="1149">
        <v>0</v>
      </c>
      <c r="D27" s="1149">
        <v>0</v>
      </c>
      <c r="E27" s="1150">
        <f t="shared" si="2"/>
        <v>0</v>
      </c>
      <c r="F27" s="1148">
        <v>0</v>
      </c>
      <c r="G27" s="1148">
        <v>0</v>
      </c>
      <c r="H27" s="1151">
        <f t="shared" si="3"/>
        <v>0</v>
      </c>
    </row>
    <row r="28" spans="2:8" ht="12" customHeight="1">
      <c r="B28" s="1277" t="s">
        <v>5259</v>
      </c>
      <c r="C28" s="1149">
        <v>0</v>
      </c>
      <c r="D28" s="1149">
        <v>0</v>
      </c>
      <c r="E28" s="1150">
        <f t="shared" si="2"/>
        <v>0</v>
      </c>
      <c r="F28" s="1148">
        <v>0</v>
      </c>
      <c r="G28" s="1148">
        <v>0</v>
      </c>
      <c r="H28" s="1151">
        <f t="shared" si="3"/>
        <v>0</v>
      </c>
    </row>
    <row r="29" spans="2:8" ht="25.9" customHeight="1">
      <c r="B29" s="1277" t="s">
        <v>5260</v>
      </c>
      <c r="C29" s="1149">
        <v>0</v>
      </c>
      <c r="D29" s="1149">
        <v>0</v>
      </c>
      <c r="E29" s="1150">
        <f t="shared" si="2"/>
        <v>0</v>
      </c>
      <c r="F29" s="1148">
        <v>0</v>
      </c>
      <c r="G29" s="1148">
        <v>0</v>
      </c>
      <c r="H29" s="1151">
        <f t="shared" si="3"/>
        <v>0</v>
      </c>
    </row>
    <row r="30" spans="2:8" s="1314" customFormat="1" ht="24">
      <c r="B30" s="1315" t="s">
        <v>5261</v>
      </c>
      <c r="C30" s="1312">
        <f>SUM(C31:C39)</f>
        <v>115790657.28028001</v>
      </c>
      <c r="D30" s="1312">
        <f t="shared" ref="D30:H30" si="5">SUM(D31:D39)</f>
        <v>0</v>
      </c>
      <c r="E30" s="1159">
        <f t="shared" si="5"/>
        <v>115790657.28028001</v>
      </c>
      <c r="F30" s="1312">
        <f t="shared" si="5"/>
        <v>10243780.560000001</v>
      </c>
      <c r="G30" s="1312">
        <f t="shared" si="5"/>
        <v>10243780.560000001</v>
      </c>
      <c r="H30" s="1159">
        <f t="shared" si="5"/>
        <v>105546876.72027999</v>
      </c>
    </row>
    <row r="31" spans="2:8">
      <c r="B31" s="1277" t="s">
        <v>5262</v>
      </c>
      <c r="C31" s="1149">
        <f>+COG!D21</f>
        <v>70325665.868799999</v>
      </c>
      <c r="D31" s="1149">
        <v>0</v>
      </c>
      <c r="E31" s="1150">
        <f t="shared" si="2"/>
        <v>70325665.868799999</v>
      </c>
      <c r="F31" s="1149">
        <f>+COG!G21</f>
        <v>2647594.69</v>
      </c>
      <c r="G31" s="1149">
        <f>+COG!H21</f>
        <v>2647594.69</v>
      </c>
      <c r="H31" s="1151">
        <f t="shared" si="3"/>
        <v>67678071.178800002</v>
      </c>
    </row>
    <row r="32" spans="2:8">
      <c r="B32" s="1277" t="s">
        <v>5263</v>
      </c>
      <c r="C32" s="1149">
        <f>+COG!D22</f>
        <v>39600</v>
      </c>
      <c r="D32" s="1149">
        <v>0</v>
      </c>
      <c r="E32" s="1150">
        <f t="shared" si="2"/>
        <v>39600</v>
      </c>
      <c r="F32" s="1149">
        <f>+COG!G22</f>
        <v>8850</v>
      </c>
      <c r="G32" s="1149">
        <f>+COG!H22</f>
        <v>8850</v>
      </c>
      <c r="H32" s="1151">
        <f t="shared" si="3"/>
        <v>30750</v>
      </c>
    </row>
    <row r="33" spans="2:8" ht="24">
      <c r="B33" s="1277" t="s">
        <v>5264</v>
      </c>
      <c r="C33" s="1149">
        <f>+COG!D23</f>
        <v>14500600</v>
      </c>
      <c r="D33" s="1149">
        <v>0</v>
      </c>
      <c r="E33" s="1150">
        <f t="shared" si="2"/>
        <v>14500600</v>
      </c>
      <c r="F33" s="1149">
        <f>+COG!G23</f>
        <v>2205282.5700000003</v>
      </c>
      <c r="G33" s="1149">
        <f>+COG!H23</f>
        <v>2205282.5700000003</v>
      </c>
      <c r="H33" s="1151">
        <f t="shared" si="3"/>
        <v>12295317.43</v>
      </c>
    </row>
    <row r="34" spans="2:8" ht="24">
      <c r="B34" s="1277" t="s">
        <v>5265</v>
      </c>
      <c r="C34" s="1149">
        <f>+COG!D24</f>
        <v>570388.0896399999</v>
      </c>
      <c r="D34" s="1149">
        <v>0</v>
      </c>
      <c r="E34" s="1150">
        <f t="shared" si="2"/>
        <v>570388.0896399999</v>
      </c>
      <c r="F34" s="1149">
        <f>+COG!G24</f>
        <v>114704.13</v>
      </c>
      <c r="G34" s="1149">
        <f>+COG!H24</f>
        <v>114704.13</v>
      </c>
      <c r="H34" s="1151">
        <f t="shared" si="3"/>
        <v>455683.9596399999</v>
      </c>
    </row>
    <row r="35" spans="2:8" ht="24">
      <c r="B35" s="1277" t="s">
        <v>5266</v>
      </c>
      <c r="C35" s="1149">
        <f>+COG!D25</f>
        <v>19517941.469999999</v>
      </c>
      <c r="D35" s="1149">
        <v>0</v>
      </c>
      <c r="E35" s="1150">
        <f t="shared" si="2"/>
        <v>19517941.469999999</v>
      </c>
      <c r="F35" s="1149">
        <f>+COG!G25</f>
        <v>2434611.6</v>
      </c>
      <c r="G35" s="1149">
        <f>+COG!H25</f>
        <v>2434611.6</v>
      </c>
      <c r="H35" s="1151">
        <f t="shared" si="3"/>
        <v>17083329.869999997</v>
      </c>
    </row>
    <row r="36" spans="2:8" ht="24">
      <c r="B36" s="1277" t="s">
        <v>5267</v>
      </c>
      <c r="C36" s="1149">
        <v>0</v>
      </c>
      <c r="D36" s="1149">
        <v>0</v>
      </c>
      <c r="E36" s="1150">
        <f t="shared" si="2"/>
        <v>0</v>
      </c>
      <c r="F36" s="1149">
        <v>0</v>
      </c>
      <c r="G36" s="1149">
        <v>0</v>
      </c>
      <c r="H36" s="1151">
        <f t="shared" si="3"/>
        <v>0</v>
      </c>
    </row>
    <row r="37" spans="2:8">
      <c r="B37" s="1277" t="s">
        <v>5268</v>
      </c>
      <c r="C37" s="1149">
        <f>+COG!D26</f>
        <v>2128000</v>
      </c>
      <c r="D37" s="1149">
        <v>0</v>
      </c>
      <c r="E37" s="1150">
        <f t="shared" si="2"/>
        <v>2128000</v>
      </c>
      <c r="F37" s="1149">
        <f>+COG!G26</f>
        <v>23499.5</v>
      </c>
      <c r="G37" s="1149">
        <f>+COG!H26</f>
        <v>23499.5</v>
      </c>
      <c r="H37" s="1151">
        <f t="shared" si="3"/>
        <v>2104500.5</v>
      </c>
    </row>
    <row r="38" spans="2:8">
      <c r="B38" s="1277" t="s">
        <v>5269</v>
      </c>
      <c r="C38" s="1149">
        <f>+COG!D27</f>
        <v>2409000</v>
      </c>
      <c r="D38" s="1149">
        <v>0</v>
      </c>
      <c r="E38" s="1150">
        <f t="shared" si="2"/>
        <v>2409000</v>
      </c>
      <c r="F38" s="1149">
        <f>+COG!G27</f>
        <v>301006.29000000004</v>
      </c>
      <c r="G38" s="1149">
        <f>+COG!H27</f>
        <v>301006.29000000004</v>
      </c>
      <c r="H38" s="1151">
        <f t="shared" si="3"/>
        <v>2107993.71</v>
      </c>
    </row>
    <row r="39" spans="2:8">
      <c r="B39" s="1277" t="s">
        <v>5270</v>
      </c>
      <c r="C39" s="1149">
        <f>+COG!D28</f>
        <v>6299461.8518399987</v>
      </c>
      <c r="D39" s="1149">
        <v>0</v>
      </c>
      <c r="E39" s="1150">
        <f t="shared" si="2"/>
        <v>6299461.8518399987</v>
      </c>
      <c r="F39" s="1149">
        <f>+COG!G28</f>
        <v>2508231.7799999998</v>
      </c>
      <c r="G39" s="1149">
        <f>+COG!H28</f>
        <v>2508231.7799999998</v>
      </c>
      <c r="H39" s="1151">
        <f t="shared" si="3"/>
        <v>3791230.0718399989</v>
      </c>
    </row>
    <row r="40" spans="2:8" s="1314" customFormat="1" ht="25.5" customHeight="1">
      <c r="B40" s="1315" t="s">
        <v>5271</v>
      </c>
      <c r="C40" s="1312">
        <f>SUM(C41:C49)</f>
        <v>1016994.2842170001</v>
      </c>
      <c r="D40" s="1312">
        <f t="shared" ref="D40:H40" si="6">SUM(D41:D49)</f>
        <v>0</v>
      </c>
      <c r="E40" s="1159">
        <f t="shared" si="6"/>
        <v>1016994.2842170001</v>
      </c>
      <c r="F40" s="1312">
        <f t="shared" si="6"/>
        <v>159527.47</v>
      </c>
      <c r="G40" s="1312">
        <f t="shared" si="6"/>
        <v>159527.47</v>
      </c>
      <c r="H40" s="1159">
        <f t="shared" si="6"/>
        <v>857466.81421700015</v>
      </c>
    </row>
    <row r="41" spans="2:8" ht="24">
      <c r="B41" s="1277" t="s">
        <v>5272</v>
      </c>
      <c r="C41" s="1149">
        <f>+COG!D30</f>
        <v>240000</v>
      </c>
      <c r="D41" s="1149">
        <v>0</v>
      </c>
      <c r="E41" s="1150">
        <f t="shared" si="2"/>
        <v>240000</v>
      </c>
      <c r="F41" s="1149">
        <f>+COG!G30</f>
        <v>49735.63</v>
      </c>
      <c r="G41" s="1149">
        <f>+COG!H30</f>
        <v>49735.63</v>
      </c>
      <c r="H41" s="1151">
        <f t="shared" si="3"/>
        <v>190264.37</v>
      </c>
    </row>
    <row r="42" spans="2:8">
      <c r="B42" s="1277" t="s">
        <v>5273</v>
      </c>
      <c r="C42" s="1149">
        <v>0</v>
      </c>
      <c r="D42" s="1149">
        <v>0</v>
      </c>
      <c r="E42" s="1150">
        <f t="shared" si="2"/>
        <v>0</v>
      </c>
      <c r="F42" s="1149">
        <v>0</v>
      </c>
      <c r="G42" s="1149">
        <v>0</v>
      </c>
      <c r="H42" s="1151">
        <f t="shared" si="3"/>
        <v>0</v>
      </c>
    </row>
    <row r="43" spans="2:8">
      <c r="B43" s="1277" t="s">
        <v>5274</v>
      </c>
      <c r="C43" s="1149">
        <v>0</v>
      </c>
      <c r="D43" s="1149">
        <v>0</v>
      </c>
      <c r="E43" s="1150">
        <f t="shared" si="2"/>
        <v>0</v>
      </c>
      <c r="F43" s="1149">
        <v>0</v>
      </c>
      <c r="G43" s="1149">
        <v>0</v>
      </c>
      <c r="H43" s="1151">
        <f t="shared" si="3"/>
        <v>0</v>
      </c>
    </row>
    <row r="44" spans="2:8">
      <c r="B44" s="1277" t="s">
        <v>5275</v>
      </c>
      <c r="C44" s="1149">
        <v>0</v>
      </c>
      <c r="D44" s="1149">
        <v>0</v>
      </c>
      <c r="E44" s="1150">
        <f t="shared" si="2"/>
        <v>0</v>
      </c>
      <c r="F44" s="1149">
        <v>0</v>
      </c>
      <c r="G44" s="1149">
        <v>0</v>
      </c>
      <c r="H44" s="1151">
        <f t="shared" si="3"/>
        <v>0</v>
      </c>
    </row>
    <row r="45" spans="2:8">
      <c r="B45" s="1277" t="s">
        <v>5276</v>
      </c>
      <c r="C45" s="1149">
        <f>+COG!D31</f>
        <v>776994.28421700012</v>
      </c>
      <c r="D45" s="1149">
        <v>0</v>
      </c>
      <c r="E45" s="1150">
        <f t="shared" si="2"/>
        <v>776994.28421700012</v>
      </c>
      <c r="F45" s="1149">
        <f>+COG!G31</f>
        <v>109791.84</v>
      </c>
      <c r="G45" s="1149">
        <f>+COG!H31</f>
        <v>109791.84</v>
      </c>
      <c r="H45" s="1151">
        <f t="shared" si="3"/>
        <v>667202.44421700016</v>
      </c>
    </row>
    <row r="46" spans="2:8" ht="24">
      <c r="B46" s="1277" t="s">
        <v>5277</v>
      </c>
      <c r="C46" s="1149">
        <v>0</v>
      </c>
      <c r="D46" s="1149">
        <v>0</v>
      </c>
      <c r="E46" s="1150">
        <f t="shared" si="2"/>
        <v>0</v>
      </c>
      <c r="F46" s="1148">
        <v>0</v>
      </c>
      <c r="G46" s="1148">
        <v>0</v>
      </c>
      <c r="H46" s="1151">
        <f t="shared" si="3"/>
        <v>0</v>
      </c>
    </row>
    <row r="47" spans="2:8">
      <c r="B47" s="1277" t="s">
        <v>5278</v>
      </c>
      <c r="C47" s="1149">
        <v>0</v>
      </c>
      <c r="D47" s="1149">
        <v>0</v>
      </c>
      <c r="E47" s="1150">
        <f t="shared" si="2"/>
        <v>0</v>
      </c>
      <c r="F47" s="1148">
        <v>0</v>
      </c>
      <c r="G47" s="1148">
        <v>0</v>
      </c>
      <c r="H47" s="1151">
        <f t="shared" si="3"/>
        <v>0</v>
      </c>
    </row>
    <row r="48" spans="2:8">
      <c r="B48" s="1277" t="s">
        <v>5279</v>
      </c>
      <c r="C48" s="1149">
        <v>0</v>
      </c>
      <c r="D48" s="1149">
        <v>0</v>
      </c>
      <c r="E48" s="1150">
        <f t="shared" si="2"/>
        <v>0</v>
      </c>
      <c r="F48" s="1148">
        <v>0</v>
      </c>
      <c r="G48" s="1148">
        <v>0</v>
      </c>
      <c r="H48" s="1151">
        <f t="shared" si="3"/>
        <v>0</v>
      </c>
    </row>
    <row r="49" spans="2:8">
      <c r="B49" s="1277" t="s">
        <v>5280</v>
      </c>
      <c r="C49" s="1149">
        <v>0</v>
      </c>
      <c r="D49" s="1149">
        <v>0</v>
      </c>
      <c r="E49" s="1150">
        <f t="shared" si="2"/>
        <v>0</v>
      </c>
      <c r="F49" s="1148">
        <v>0</v>
      </c>
      <c r="G49" s="1148">
        <v>0</v>
      </c>
      <c r="H49" s="1151">
        <f t="shared" si="3"/>
        <v>0</v>
      </c>
    </row>
    <row r="50" spans="2:8" s="1314" customFormat="1" ht="25.5" customHeight="1">
      <c r="B50" s="1315" t="s">
        <v>5281</v>
      </c>
      <c r="C50" s="1312">
        <f>SUM(C51:C59)</f>
        <v>0</v>
      </c>
      <c r="D50" s="1312">
        <f t="shared" ref="D50:H50" si="7">SUM(D51:D59)</f>
        <v>0</v>
      </c>
      <c r="E50" s="1159">
        <f t="shared" si="7"/>
        <v>0</v>
      </c>
      <c r="F50" s="1312">
        <f t="shared" si="7"/>
        <v>0</v>
      </c>
      <c r="G50" s="1312">
        <f t="shared" si="7"/>
        <v>0</v>
      </c>
      <c r="H50" s="1159">
        <f t="shared" si="7"/>
        <v>0</v>
      </c>
    </row>
    <row r="51" spans="2:8">
      <c r="B51" s="1277" t="s">
        <v>5282</v>
      </c>
      <c r="C51" s="1149">
        <v>0</v>
      </c>
      <c r="D51" s="1149">
        <v>0</v>
      </c>
      <c r="E51" s="1150">
        <f t="shared" si="2"/>
        <v>0</v>
      </c>
      <c r="F51" s="1148">
        <v>0</v>
      </c>
      <c r="G51" s="1148">
        <v>0</v>
      </c>
      <c r="H51" s="1151">
        <f t="shared" si="3"/>
        <v>0</v>
      </c>
    </row>
    <row r="52" spans="2:8">
      <c r="B52" s="1277" t="s">
        <v>5283</v>
      </c>
      <c r="C52" s="1149">
        <v>0</v>
      </c>
      <c r="D52" s="1149">
        <v>0</v>
      </c>
      <c r="E52" s="1150">
        <f t="shared" si="2"/>
        <v>0</v>
      </c>
      <c r="F52" s="1148">
        <v>0</v>
      </c>
      <c r="G52" s="1148">
        <v>0</v>
      </c>
      <c r="H52" s="1151">
        <f t="shared" si="3"/>
        <v>0</v>
      </c>
    </row>
    <row r="53" spans="2:8" ht="24">
      <c r="B53" s="1277" t="s">
        <v>5284</v>
      </c>
      <c r="C53" s="1149">
        <v>0</v>
      </c>
      <c r="D53" s="1149">
        <v>0</v>
      </c>
      <c r="E53" s="1150">
        <f t="shared" si="2"/>
        <v>0</v>
      </c>
      <c r="F53" s="1148">
        <v>0</v>
      </c>
      <c r="G53" s="1148">
        <v>0</v>
      </c>
      <c r="H53" s="1151">
        <f t="shared" si="3"/>
        <v>0</v>
      </c>
    </row>
    <row r="54" spans="2:8">
      <c r="B54" s="1277" t="s">
        <v>5285</v>
      </c>
      <c r="C54" s="1149">
        <v>0</v>
      </c>
      <c r="D54" s="1149">
        <v>0</v>
      </c>
      <c r="E54" s="1150">
        <f t="shared" si="2"/>
        <v>0</v>
      </c>
      <c r="F54" s="1148">
        <v>0</v>
      </c>
      <c r="G54" s="1148">
        <v>0</v>
      </c>
      <c r="H54" s="1151">
        <f t="shared" si="3"/>
        <v>0</v>
      </c>
    </row>
    <row r="55" spans="2:8">
      <c r="B55" s="1277" t="s">
        <v>5286</v>
      </c>
      <c r="C55" s="1149">
        <v>0</v>
      </c>
      <c r="D55" s="1149">
        <v>0</v>
      </c>
      <c r="E55" s="1150">
        <f t="shared" si="2"/>
        <v>0</v>
      </c>
      <c r="F55" s="1148">
        <v>0</v>
      </c>
      <c r="G55" s="1148">
        <v>0</v>
      </c>
      <c r="H55" s="1151">
        <f t="shared" si="3"/>
        <v>0</v>
      </c>
    </row>
    <row r="56" spans="2:8">
      <c r="B56" s="1277" t="s">
        <v>5287</v>
      </c>
      <c r="C56" s="1149">
        <v>0</v>
      </c>
      <c r="D56" s="1149">
        <v>0</v>
      </c>
      <c r="E56" s="1150">
        <f t="shared" si="2"/>
        <v>0</v>
      </c>
      <c r="F56" s="1148">
        <v>0</v>
      </c>
      <c r="G56" s="1148">
        <v>0</v>
      </c>
      <c r="H56" s="1151">
        <f t="shared" si="3"/>
        <v>0</v>
      </c>
    </row>
    <row r="57" spans="2:8">
      <c r="B57" s="1277" t="s">
        <v>5288</v>
      </c>
      <c r="C57" s="1149">
        <v>0</v>
      </c>
      <c r="D57" s="1149">
        <v>0</v>
      </c>
      <c r="E57" s="1150">
        <f t="shared" si="2"/>
        <v>0</v>
      </c>
      <c r="F57" s="1148">
        <v>0</v>
      </c>
      <c r="G57" s="1148">
        <v>0</v>
      </c>
      <c r="H57" s="1151">
        <f t="shared" si="3"/>
        <v>0</v>
      </c>
    </row>
    <row r="58" spans="2:8">
      <c r="B58" s="1277" t="s">
        <v>5289</v>
      </c>
      <c r="C58" s="1149">
        <v>0</v>
      </c>
      <c r="D58" s="1149">
        <v>0</v>
      </c>
      <c r="E58" s="1150">
        <f t="shared" si="2"/>
        <v>0</v>
      </c>
      <c r="F58" s="1148">
        <v>0</v>
      </c>
      <c r="G58" s="1148">
        <v>0</v>
      </c>
      <c r="H58" s="1151">
        <f t="shared" si="3"/>
        <v>0</v>
      </c>
    </row>
    <row r="59" spans="2:8">
      <c r="B59" s="1277" t="s">
        <v>5290</v>
      </c>
      <c r="C59" s="1149">
        <v>0</v>
      </c>
      <c r="D59" s="1149">
        <v>0</v>
      </c>
      <c r="E59" s="1150">
        <f t="shared" si="2"/>
        <v>0</v>
      </c>
      <c r="F59" s="1148">
        <v>0</v>
      </c>
      <c r="G59" s="1148">
        <v>0</v>
      </c>
      <c r="H59" s="1151">
        <f t="shared" si="3"/>
        <v>0</v>
      </c>
    </row>
    <row r="60" spans="2:8" s="1314" customFormat="1">
      <c r="B60" s="1311" t="s">
        <v>5291</v>
      </c>
      <c r="C60" s="1312">
        <f>SUM(C61:C63)</f>
        <v>0</v>
      </c>
      <c r="D60" s="1312">
        <f t="shared" ref="D60:H60" si="8">SUM(D61:D63)</f>
        <v>0</v>
      </c>
      <c r="E60" s="1159">
        <f t="shared" si="8"/>
        <v>0</v>
      </c>
      <c r="F60" s="1312">
        <f t="shared" si="8"/>
        <v>0</v>
      </c>
      <c r="G60" s="1312">
        <f t="shared" si="8"/>
        <v>0</v>
      </c>
      <c r="H60" s="1159">
        <f t="shared" si="8"/>
        <v>0</v>
      </c>
    </row>
    <row r="61" spans="2:8">
      <c r="B61" s="1277" t="s">
        <v>5292</v>
      </c>
      <c r="C61" s="1149">
        <v>0</v>
      </c>
      <c r="D61" s="1149">
        <v>0</v>
      </c>
      <c r="E61" s="1150">
        <f t="shared" si="2"/>
        <v>0</v>
      </c>
      <c r="F61" s="1148">
        <v>0</v>
      </c>
      <c r="G61" s="1148">
        <v>0</v>
      </c>
      <c r="H61" s="1151">
        <f t="shared" si="3"/>
        <v>0</v>
      </c>
    </row>
    <row r="62" spans="2:8">
      <c r="B62" s="1277" t="s">
        <v>5293</v>
      </c>
      <c r="C62" s="1149">
        <v>0</v>
      </c>
      <c r="D62" s="1149">
        <v>0</v>
      </c>
      <c r="E62" s="1150">
        <f t="shared" si="2"/>
        <v>0</v>
      </c>
      <c r="F62" s="1148">
        <v>0</v>
      </c>
      <c r="G62" s="1148">
        <v>0</v>
      </c>
      <c r="H62" s="1151">
        <f t="shared" si="3"/>
        <v>0</v>
      </c>
    </row>
    <row r="63" spans="2:8" ht="24">
      <c r="B63" s="1277" t="s">
        <v>5294</v>
      </c>
      <c r="C63" s="1149">
        <v>0</v>
      </c>
      <c r="D63" s="1149">
        <v>0</v>
      </c>
      <c r="E63" s="1150">
        <f t="shared" si="2"/>
        <v>0</v>
      </c>
      <c r="F63" s="1148">
        <v>0</v>
      </c>
      <c r="G63" s="1148">
        <v>0</v>
      </c>
      <c r="H63" s="1151">
        <f>SUM(E63-F63)</f>
        <v>0</v>
      </c>
    </row>
    <row r="64" spans="2:8" s="1314" customFormat="1" ht="24.75" customHeight="1">
      <c r="B64" s="1315" t="s">
        <v>5295</v>
      </c>
      <c r="C64" s="1312">
        <f>SUM(C65:C72)</f>
        <v>0</v>
      </c>
      <c r="D64" s="1312">
        <f t="shared" ref="D64:H64" si="9">SUM(D65:D72)</f>
        <v>0</v>
      </c>
      <c r="E64" s="1159">
        <f t="shared" si="9"/>
        <v>0</v>
      </c>
      <c r="F64" s="1312">
        <f t="shared" si="9"/>
        <v>0</v>
      </c>
      <c r="G64" s="1312">
        <f t="shared" si="9"/>
        <v>0</v>
      </c>
      <c r="H64" s="1159">
        <f t="shared" si="9"/>
        <v>0</v>
      </c>
    </row>
    <row r="65" spans="2:8" ht="24">
      <c r="B65" s="1277" t="s">
        <v>5296</v>
      </c>
      <c r="C65" s="1149">
        <v>0</v>
      </c>
      <c r="D65" s="1149">
        <v>0</v>
      </c>
      <c r="E65" s="1150">
        <f t="shared" si="2"/>
        <v>0</v>
      </c>
      <c r="F65" s="1148">
        <v>0</v>
      </c>
      <c r="G65" s="1148">
        <v>0</v>
      </c>
      <c r="H65" s="1151">
        <f t="shared" si="3"/>
        <v>0</v>
      </c>
    </row>
    <row r="66" spans="2:8">
      <c r="B66" s="1277" t="s">
        <v>5297</v>
      </c>
      <c r="C66" s="1149">
        <v>0</v>
      </c>
      <c r="D66" s="1149">
        <v>0</v>
      </c>
      <c r="E66" s="1150">
        <f t="shared" si="2"/>
        <v>0</v>
      </c>
      <c r="F66" s="1148">
        <v>0</v>
      </c>
      <c r="G66" s="1148">
        <v>0</v>
      </c>
      <c r="H66" s="1151">
        <f t="shared" si="3"/>
        <v>0</v>
      </c>
    </row>
    <row r="67" spans="2:8">
      <c r="B67" s="1277" t="s">
        <v>5298</v>
      </c>
      <c r="C67" s="1149">
        <v>0</v>
      </c>
      <c r="D67" s="1149">
        <v>0</v>
      </c>
      <c r="E67" s="1150">
        <f t="shared" si="2"/>
        <v>0</v>
      </c>
      <c r="F67" s="1148">
        <v>0</v>
      </c>
      <c r="G67" s="1148">
        <v>0</v>
      </c>
      <c r="H67" s="1151">
        <f t="shared" si="3"/>
        <v>0</v>
      </c>
    </row>
    <row r="68" spans="2:8">
      <c r="B68" s="1277" t="s">
        <v>5299</v>
      </c>
      <c r="C68" s="1149">
        <v>0</v>
      </c>
      <c r="D68" s="1149">
        <v>0</v>
      </c>
      <c r="E68" s="1150">
        <f t="shared" si="2"/>
        <v>0</v>
      </c>
      <c r="F68" s="1148">
        <v>0</v>
      </c>
      <c r="G68" s="1148">
        <v>0</v>
      </c>
      <c r="H68" s="1151">
        <f t="shared" si="3"/>
        <v>0</v>
      </c>
    </row>
    <row r="69" spans="2:8" ht="24">
      <c r="B69" s="1277" t="s">
        <v>5300</v>
      </c>
      <c r="C69" s="1149">
        <v>0</v>
      </c>
      <c r="D69" s="1149">
        <v>0</v>
      </c>
      <c r="E69" s="1150">
        <f t="shared" si="2"/>
        <v>0</v>
      </c>
      <c r="F69" s="1148">
        <v>0</v>
      </c>
      <c r="G69" s="1148">
        <v>0</v>
      </c>
      <c r="H69" s="1151">
        <f t="shared" si="3"/>
        <v>0</v>
      </c>
    </row>
    <row r="70" spans="2:8" ht="24">
      <c r="B70" s="1277" t="s">
        <v>5301</v>
      </c>
      <c r="C70" s="1149">
        <v>0</v>
      </c>
      <c r="D70" s="1149">
        <v>0</v>
      </c>
      <c r="E70" s="1150">
        <f t="shared" si="2"/>
        <v>0</v>
      </c>
      <c r="F70" s="1148">
        <v>0</v>
      </c>
      <c r="G70" s="1148">
        <v>0</v>
      </c>
      <c r="H70" s="1151">
        <f t="shared" si="3"/>
        <v>0</v>
      </c>
    </row>
    <row r="71" spans="2:8">
      <c r="B71" s="1277" t="s">
        <v>5302</v>
      </c>
      <c r="C71" s="1149">
        <v>0</v>
      </c>
      <c r="D71" s="1149">
        <v>0</v>
      </c>
      <c r="E71" s="1150">
        <f t="shared" si="2"/>
        <v>0</v>
      </c>
      <c r="F71" s="1148">
        <v>0</v>
      </c>
      <c r="G71" s="1148">
        <v>0</v>
      </c>
      <c r="H71" s="1151">
        <f t="shared" si="3"/>
        <v>0</v>
      </c>
    </row>
    <row r="72" spans="2:8" ht="24">
      <c r="B72" s="1277" t="s">
        <v>5303</v>
      </c>
      <c r="C72" s="1149">
        <v>0</v>
      </c>
      <c r="D72" s="1149">
        <v>0</v>
      </c>
      <c r="E72" s="1150">
        <f t="shared" si="2"/>
        <v>0</v>
      </c>
      <c r="F72" s="1148">
        <v>0</v>
      </c>
      <c r="G72" s="1148">
        <v>0</v>
      </c>
      <c r="H72" s="1151">
        <f t="shared" si="3"/>
        <v>0</v>
      </c>
    </row>
    <row r="73" spans="2:8" s="1314" customFormat="1">
      <c r="B73" s="1311" t="s">
        <v>5304</v>
      </c>
      <c r="C73" s="1312">
        <f>SUM(C74:C76)</f>
        <v>0</v>
      </c>
      <c r="D73" s="1312">
        <f t="shared" ref="D73:H73" si="10">SUM(D74:D76)</f>
        <v>0</v>
      </c>
      <c r="E73" s="1159">
        <f t="shared" si="10"/>
        <v>0</v>
      </c>
      <c r="F73" s="1312">
        <f t="shared" si="10"/>
        <v>0</v>
      </c>
      <c r="G73" s="1312">
        <f t="shared" si="10"/>
        <v>0</v>
      </c>
      <c r="H73" s="1159">
        <f t="shared" si="10"/>
        <v>0</v>
      </c>
    </row>
    <row r="74" spans="2:8">
      <c r="B74" s="1316" t="s">
        <v>5305</v>
      </c>
      <c r="C74" s="1149">
        <v>0</v>
      </c>
      <c r="D74" s="1149">
        <v>0</v>
      </c>
      <c r="E74" s="1150">
        <f t="shared" si="2"/>
        <v>0</v>
      </c>
      <c r="F74" s="1148">
        <v>0</v>
      </c>
      <c r="G74" s="1149">
        <v>0</v>
      </c>
      <c r="H74" s="1151">
        <f t="shared" si="3"/>
        <v>0</v>
      </c>
    </row>
    <row r="75" spans="2:8">
      <c r="B75" s="1316" t="s">
        <v>5306</v>
      </c>
      <c r="C75" s="1149">
        <v>0</v>
      </c>
      <c r="D75" s="1149">
        <v>0</v>
      </c>
      <c r="E75" s="1150">
        <f t="shared" si="2"/>
        <v>0</v>
      </c>
      <c r="F75" s="1148">
        <v>0</v>
      </c>
      <c r="G75" s="1149">
        <v>0</v>
      </c>
      <c r="H75" s="1151">
        <f t="shared" si="3"/>
        <v>0</v>
      </c>
    </row>
    <row r="76" spans="2:8">
      <c r="B76" s="1316" t="s">
        <v>5307</v>
      </c>
      <c r="C76" s="1149">
        <v>0</v>
      </c>
      <c r="D76" s="1149">
        <v>0</v>
      </c>
      <c r="E76" s="1150">
        <f t="shared" si="2"/>
        <v>0</v>
      </c>
      <c r="F76" s="1148">
        <v>0</v>
      </c>
      <c r="G76" s="1149">
        <v>0</v>
      </c>
      <c r="H76" s="1151">
        <f t="shared" si="3"/>
        <v>0</v>
      </c>
    </row>
    <row r="77" spans="2:8" s="1314" customFormat="1">
      <c r="B77" s="1311" t="s">
        <v>5308</v>
      </c>
      <c r="C77" s="1312">
        <f>SUM(C78:C84)</f>
        <v>0</v>
      </c>
      <c r="D77" s="1312">
        <f t="shared" ref="D77:H77" si="11">SUM(D78:D84)</f>
        <v>0</v>
      </c>
      <c r="E77" s="1159">
        <f t="shared" si="11"/>
        <v>0</v>
      </c>
      <c r="F77" s="1312">
        <f t="shared" si="11"/>
        <v>0</v>
      </c>
      <c r="G77" s="1312">
        <f t="shared" si="11"/>
        <v>0</v>
      </c>
      <c r="H77" s="1159">
        <f t="shared" si="11"/>
        <v>0</v>
      </c>
    </row>
    <row r="78" spans="2:8">
      <c r="B78" s="1277" t="s">
        <v>5309</v>
      </c>
      <c r="C78" s="1149">
        <v>0</v>
      </c>
      <c r="D78" s="1149">
        <v>0</v>
      </c>
      <c r="E78" s="1150">
        <f t="shared" si="2"/>
        <v>0</v>
      </c>
      <c r="F78" s="1148">
        <v>0</v>
      </c>
      <c r="G78" s="1149">
        <v>0</v>
      </c>
      <c r="H78" s="1151">
        <f t="shared" si="3"/>
        <v>0</v>
      </c>
    </row>
    <row r="79" spans="2:8">
      <c r="B79" s="1277" t="s">
        <v>5310</v>
      </c>
      <c r="C79" s="1149">
        <v>0</v>
      </c>
      <c r="D79" s="1149">
        <v>0</v>
      </c>
      <c r="E79" s="1150">
        <f t="shared" si="2"/>
        <v>0</v>
      </c>
      <c r="F79" s="1148">
        <v>0</v>
      </c>
      <c r="G79" s="1149">
        <v>0</v>
      </c>
      <c r="H79" s="1151">
        <f t="shared" si="3"/>
        <v>0</v>
      </c>
    </row>
    <row r="80" spans="2:8">
      <c r="B80" s="1277" t="s">
        <v>5311</v>
      </c>
      <c r="C80" s="1149">
        <v>0</v>
      </c>
      <c r="D80" s="1149">
        <v>0</v>
      </c>
      <c r="E80" s="1150">
        <f t="shared" ref="E80:E84" si="12">SUM(C80:D80)</f>
        <v>0</v>
      </c>
      <c r="F80" s="1148">
        <v>0</v>
      </c>
      <c r="G80" s="1149">
        <v>0</v>
      </c>
      <c r="H80" s="1151">
        <f t="shared" ref="H80:H84" si="13">SUM(E80-F80)</f>
        <v>0</v>
      </c>
    </row>
    <row r="81" spans="2:8">
      <c r="B81" s="1277" t="s">
        <v>5312</v>
      </c>
      <c r="C81" s="1149">
        <v>0</v>
      </c>
      <c r="D81" s="1149">
        <v>0</v>
      </c>
      <c r="E81" s="1150">
        <f t="shared" si="12"/>
        <v>0</v>
      </c>
      <c r="F81" s="1148">
        <v>0</v>
      </c>
      <c r="G81" s="1149">
        <v>0</v>
      </c>
      <c r="H81" s="1151">
        <f t="shared" si="13"/>
        <v>0</v>
      </c>
    </row>
    <row r="82" spans="2:8">
      <c r="B82" s="1277" t="s">
        <v>5313</v>
      </c>
      <c r="C82" s="1149">
        <v>0</v>
      </c>
      <c r="D82" s="1149">
        <v>0</v>
      </c>
      <c r="E82" s="1150">
        <f t="shared" si="12"/>
        <v>0</v>
      </c>
      <c r="F82" s="1148">
        <v>0</v>
      </c>
      <c r="G82" s="1149">
        <v>0</v>
      </c>
      <c r="H82" s="1151">
        <f t="shared" si="13"/>
        <v>0</v>
      </c>
    </row>
    <row r="83" spans="2:8">
      <c r="B83" s="1277" t="s">
        <v>5314</v>
      </c>
      <c r="C83" s="1149">
        <v>0</v>
      </c>
      <c r="D83" s="1149">
        <v>0</v>
      </c>
      <c r="E83" s="1150">
        <f t="shared" si="12"/>
        <v>0</v>
      </c>
      <c r="F83" s="1148">
        <v>0</v>
      </c>
      <c r="G83" s="1149">
        <v>0</v>
      </c>
      <c r="H83" s="1151">
        <f t="shared" si="13"/>
        <v>0</v>
      </c>
    </row>
    <row r="84" spans="2:8" ht="24.75" thickBot="1">
      <c r="B84" s="1277" t="s">
        <v>5315</v>
      </c>
      <c r="C84" s="1149">
        <v>0</v>
      </c>
      <c r="D84" s="1149">
        <v>0</v>
      </c>
      <c r="E84" s="1150">
        <f t="shared" si="12"/>
        <v>0</v>
      </c>
      <c r="F84" s="1148">
        <v>0</v>
      </c>
      <c r="G84" s="1149">
        <v>0</v>
      </c>
      <c r="H84" s="1151">
        <f t="shared" si="13"/>
        <v>0</v>
      </c>
    </row>
    <row r="85" spans="2:8" ht="24.75" customHeight="1">
      <c r="B85" s="1317" t="s">
        <v>5316</v>
      </c>
      <c r="C85" s="1318">
        <f>SUM(C86,C94,C104,C114,C124,C134,C138,C147,C151)</f>
        <v>0</v>
      </c>
      <c r="D85" s="1318">
        <f t="shared" ref="D85:H85" si="14">SUM(D86,D94,D104,D114,D124,D134,D138,D147,D151)</f>
        <v>0</v>
      </c>
      <c r="E85" s="1319">
        <f t="shared" si="14"/>
        <v>0</v>
      </c>
      <c r="F85" s="1318">
        <f t="shared" si="14"/>
        <v>0</v>
      </c>
      <c r="G85" s="1318">
        <f t="shared" si="14"/>
        <v>0</v>
      </c>
      <c r="H85" s="1319">
        <f t="shared" si="14"/>
        <v>0</v>
      </c>
    </row>
    <row r="86" spans="2:8">
      <c r="B86" s="1320" t="s">
        <v>5243</v>
      </c>
      <c r="C86" s="1312">
        <f>SUM(C87:C93)</f>
        <v>0</v>
      </c>
      <c r="D86" s="1312">
        <f t="shared" ref="D86:H86" si="15">SUM(D87:D93)</f>
        <v>0</v>
      </c>
      <c r="E86" s="1159">
        <f t="shared" si="15"/>
        <v>0</v>
      </c>
      <c r="F86" s="1312">
        <f t="shared" si="15"/>
        <v>0</v>
      </c>
      <c r="G86" s="1312">
        <f t="shared" si="15"/>
        <v>0</v>
      </c>
      <c r="H86" s="1159">
        <f t="shared" si="15"/>
        <v>0</v>
      </c>
    </row>
    <row r="87" spans="2:8" ht="24">
      <c r="B87" s="1277" t="s">
        <v>5244</v>
      </c>
      <c r="C87" s="1149">
        <v>0</v>
      </c>
      <c r="D87" s="1149">
        <v>0</v>
      </c>
      <c r="E87" s="1150">
        <f>SUM(C87:D87)</f>
        <v>0</v>
      </c>
      <c r="F87" s="1148">
        <v>0</v>
      </c>
      <c r="G87" s="1148">
        <v>0</v>
      </c>
      <c r="H87" s="1151">
        <f t="shared" ref="H87:H153" si="16">SUM(E87-F87)</f>
        <v>0</v>
      </c>
    </row>
    <row r="88" spans="2:8" ht="24.6" customHeight="1">
      <c r="B88" s="1277" t="s">
        <v>5245</v>
      </c>
      <c r="C88" s="1149">
        <v>0</v>
      </c>
      <c r="D88" s="1149">
        <v>0</v>
      </c>
      <c r="E88" s="1150">
        <f t="shared" ref="E88:E153" si="17">SUM(C88:D88)</f>
        <v>0</v>
      </c>
      <c r="F88" s="1148">
        <v>0</v>
      </c>
      <c r="G88" s="1148">
        <v>0</v>
      </c>
      <c r="H88" s="1151">
        <f>SUM(E88-F88)</f>
        <v>0</v>
      </c>
    </row>
    <row r="89" spans="2:8">
      <c r="B89" s="1277" t="s">
        <v>5246</v>
      </c>
      <c r="C89" s="1149">
        <v>0</v>
      </c>
      <c r="D89" s="1149">
        <v>0</v>
      </c>
      <c r="E89" s="1150">
        <f t="shared" si="17"/>
        <v>0</v>
      </c>
      <c r="F89" s="1148">
        <v>0</v>
      </c>
      <c r="G89" s="1148">
        <v>0</v>
      </c>
      <c r="H89" s="1151">
        <f t="shared" si="16"/>
        <v>0</v>
      </c>
    </row>
    <row r="90" spans="2:8">
      <c r="B90" s="1277" t="s">
        <v>5247</v>
      </c>
      <c r="C90" s="1149">
        <v>0</v>
      </c>
      <c r="D90" s="1149">
        <v>0</v>
      </c>
      <c r="E90" s="1150">
        <f t="shared" si="17"/>
        <v>0</v>
      </c>
      <c r="F90" s="1148">
        <v>0</v>
      </c>
      <c r="G90" s="1148">
        <v>0</v>
      </c>
      <c r="H90" s="1151">
        <f t="shared" si="16"/>
        <v>0</v>
      </c>
    </row>
    <row r="91" spans="2:8">
      <c r="B91" s="1277" t="s">
        <v>5248</v>
      </c>
      <c r="C91" s="1149">
        <v>0</v>
      </c>
      <c r="D91" s="1149">
        <v>0</v>
      </c>
      <c r="E91" s="1150">
        <f t="shared" si="17"/>
        <v>0</v>
      </c>
      <c r="F91" s="1148">
        <v>0</v>
      </c>
      <c r="G91" s="1148">
        <v>0</v>
      </c>
      <c r="H91" s="1151">
        <f t="shared" si="16"/>
        <v>0</v>
      </c>
    </row>
    <row r="92" spans="2:8">
      <c r="B92" s="1277" t="s">
        <v>5249</v>
      </c>
      <c r="C92" s="1149">
        <v>0</v>
      </c>
      <c r="D92" s="1149">
        <v>0</v>
      </c>
      <c r="E92" s="1150">
        <f t="shared" si="17"/>
        <v>0</v>
      </c>
      <c r="F92" s="1148">
        <v>0</v>
      </c>
      <c r="G92" s="1148">
        <v>0</v>
      </c>
      <c r="H92" s="1151">
        <f t="shared" si="16"/>
        <v>0</v>
      </c>
    </row>
    <row r="93" spans="2:8">
      <c r="B93" s="1277" t="s">
        <v>5250</v>
      </c>
      <c r="C93" s="1149">
        <v>0</v>
      </c>
      <c r="D93" s="1149">
        <v>0</v>
      </c>
      <c r="E93" s="1150">
        <f t="shared" si="17"/>
        <v>0</v>
      </c>
      <c r="F93" s="1148">
        <v>0</v>
      </c>
      <c r="G93" s="1148">
        <v>0</v>
      </c>
      <c r="H93" s="1151">
        <f t="shared" si="16"/>
        <v>0</v>
      </c>
    </row>
    <row r="94" spans="2:8" ht="24">
      <c r="B94" s="1321" t="s">
        <v>5251</v>
      </c>
      <c r="C94" s="1312">
        <f>SUM(C95:C103)</f>
        <v>0</v>
      </c>
      <c r="D94" s="1312">
        <f t="shared" ref="D94:H94" si="18">SUM(D95:D103)</f>
        <v>0</v>
      </c>
      <c r="E94" s="1159">
        <f t="shared" si="18"/>
        <v>0</v>
      </c>
      <c r="F94" s="1312">
        <f t="shared" si="18"/>
        <v>0</v>
      </c>
      <c r="G94" s="1312">
        <f t="shared" si="18"/>
        <v>0</v>
      </c>
      <c r="H94" s="1159">
        <f t="shared" si="18"/>
        <v>0</v>
      </c>
    </row>
    <row r="95" spans="2:8" ht="24">
      <c r="B95" s="1277" t="s">
        <v>5252</v>
      </c>
      <c r="C95" s="1149">
        <v>0</v>
      </c>
      <c r="D95" s="1149">
        <v>0</v>
      </c>
      <c r="E95" s="1150">
        <f t="shared" si="17"/>
        <v>0</v>
      </c>
      <c r="F95" s="1148">
        <v>0</v>
      </c>
      <c r="G95" s="1148">
        <v>0</v>
      </c>
      <c r="H95" s="1151">
        <f t="shared" si="16"/>
        <v>0</v>
      </c>
    </row>
    <row r="96" spans="2:8">
      <c r="B96" s="1277" t="s">
        <v>5253</v>
      </c>
      <c r="C96" s="1149">
        <v>0</v>
      </c>
      <c r="D96" s="1149">
        <v>0</v>
      </c>
      <c r="E96" s="1150">
        <f t="shared" si="17"/>
        <v>0</v>
      </c>
      <c r="F96" s="1148">
        <v>0</v>
      </c>
      <c r="G96" s="1148">
        <v>0</v>
      </c>
      <c r="H96" s="1151">
        <f t="shared" si="16"/>
        <v>0</v>
      </c>
    </row>
    <row r="97" spans="2:18" ht="24">
      <c r="B97" s="1277" t="s">
        <v>5254</v>
      </c>
      <c r="C97" s="1149">
        <v>0</v>
      </c>
      <c r="D97" s="1149">
        <v>0</v>
      </c>
      <c r="E97" s="1150">
        <f t="shared" si="17"/>
        <v>0</v>
      </c>
      <c r="F97" s="1148">
        <v>0</v>
      </c>
      <c r="G97" s="1148">
        <v>0</v>
      </c>
      <c r="H97" s="1151">
        <f t="shared" si="16"/>
        <v>0</v>
      </c>
    </row>
    <row r="98" spans="2:18" ht="24">
      <c r="B98" s="1277" t="s">
        <v>5255</v>
      </c>
      <c r="C98" s="1149">
        <v>0</v>
      </c>
      <c r="D98" s="1149">
        <v>0</v>
      </c>
      <c r="E98" s="1150">
        <f t="shared" si="17"/>
        <v>0</v>
      </c>
      <c r="F98" s="1148">
        <v>0</v>
      </c>
      <c r="G98" s="1148">
        <v>0</v>
      </c>
      <c r="H98" s="1151">
        <f t="shared" si="16"/>
        <v>0</v>
      </c>
    </row>
    <row r="99" spans="2:18" ht="24">
      <c r="B99" s="1277" t="s">
        <v>5256</v>
      </c>
      <c r="C99" s="1149">
        <v>0</v>
      </c>
      <c r="D99" s="1149">
        <v>0</v>
      </c>
      <c r="E99" s="1150">
        <f t="shared" si="17"/>
        <v>0</v>
      </c>
      <c r="F99" s="1148">
        <v>0</v>
      </c>
      <c r="G99" s="1148">
        <v>0</v>
      </c>
      <c r="H99" s="1151">
        <f t="shared" si="16"/>
        <v>0</v>
      </c>
      <c r="J99" s="1322"/>
    </row>
    <row r="100" spans="2:18">
      <c r="B100" s="1277" t="s">
        <v>5257</v>
      </c>
      <c r="C100" s="1149">
        <v>0</v>
      </c>
      <c r="D100" s="1149">
        <v>0</v>
      </c>
      <c r="E100" s="1150">
        <f t="shared" si="17"/>
        <v>0</v>
      </c>
      <c r="F100" s="1148">
        <v>0</v>
      </c>
      <c r="G100" s="1148">
        <v>0</v>
      </c>
      <c r="H100" s="1151">
        <f t="shared" si="16"/>
        <v>0</v>
      </c>
      <c r="R100" s="1144"/>
    </row>
    <row r="101" spans="2:18" ht="24">
      <c r="B101" s="1277" t="s">
        <v>5258</v>
      </c>
      <c r="C101" s="1149">
        <v>0</v>
      </c>
      <c r="D101" s="1149">
        <v>0</v>
      </c>
      <c r="E101" s="1150">
        <f t="shared" si="17"/>
        <v>0</v>
      </c>
      <c r="F101" s="1148">
        <v>0</v>
      </c>
      <c r="G101" s="1148">
        <v>0</v>
      </c>
      <c r="H101" s="1151">
        <f t="shared" si="16"/>
        <v>0</v>
      </c>
    </row>
    <row r="102" spans="2:18" ht="12.6" customHeight="1">
      <c r="B102" s="1277" t="s">
        <v>5259</v>
      </c>
      <c r="C102" s="1149">
        <v>0</v>
      </c>
      <c r="D102" s="1149">
        <v>0</v>
      </c>
      <c r="E102" s="1150">
        <f t="shared" si="17"/>
        <v>0</v>
      </c>
      <c r="F102" s="1148">
        <v>0</v>
      </c>
      <c r="G102" s="1148">
        <v>0</v>
      </c>
      <c r="H102" s="1151">
        <f t="shared" si="16"/>
        <v>0</v>
      </c>
    </row>
    <row r="103" spans="2:18" ht="24.6" customHeight="1">
      <c r="B103" s="1277" t="s">
        <v>5260</v>
      </c>
      <c r="C103" s="1149">
        <v>0</v>
      </c>
      <c r="D103" s="1149">
        <v>0</v>
      </c>
      <c r="E103" s="1150">
        <f t="shared" si="17"/>
        <v>0</v>
      </c>
      <c r="F103" s="1148">
        <v>0</v>
      </c>
      <c r="G103" s="1148">
        <v>0</v>
      </c>
      <c r="H103" s="1151">
        <f t="shared" si="16"/>
        <v>0</v>
      </c>
    </row>
    <row r="104" spans="2:18" ht="24">
      <c r="B104" s="1321" t="s">
        <v>5261</v>
      </c>
      <c r="C104" s="1312">
        <f>SUM(C105:C113)</f>
        <v>0</v>
      </c>
      <c r="D104" s="1312">
        <f t="shared" ref="D104:H104" si="19">SUM(D105:D113)</f>
        <v>0</v>
      </c>
      <c r="E104" s="1159">
        <f t="shared" si="19"/>
        <v>0</v>
      </c>
      <c r="F104" s="1312">
        <f t="shared" si="19"/>
        <v>0</v>
      </c>
      <c r="G104" s="1312">
        <f t="shared" si="19"/>
        <v>0</v>
      </c>
      <c r="H104" s="1159">
        <f t="shared" si="19"/>
        <v>0</v>
      </c>
    </row>
    <row r="105" spans="2:18">
      <c r="B105" s="1277" t="s">
        <v>5262</v>
      </c>
      <c r="C105" s="1149">
        <v>0</v>
      </c>
      <c r="D105" s="1149">
        <v>0</v>
      </c>
      <c r="E105" s="1150">
        <f t="shared" si="17"/>
        <v>0</v>
      </c>
      <c r="F105" s="1148">
        <v>0</v>
      </c>
      <c r="G105" s="1148">
        <v>0</v>
      </c>
      <c r="H105" s="1151">
        <f t="shared" si="16"/>
        <v>0</v>
      </c>
    </row>
    <row r="106" spans="2:18">
      <c r="B106" s="1277" t="s">
        <v>5263</v>
      </c>
      <c r="C106" s="1149">
        <v>0</v>
      </c>
      <c r="D106" s="1149">
        <v>0</v>
      </c>
      <c r="E106" s="1150">
        <f t="shared" si="17"/>
        <v>0</v>
      </c>
      <c r="F106" s="1148">
        <v>0</v>
      </c>
      <c r="G106" s="1148">
        <v>0</v>
      </c>
      <c r="H106" s="1151">
        <f t="shared" si="16"/>
        <v>0</v>
      </c>
    </row>
    <row r="107" spans="2:18" ht="24">
      <c r="B107" s="1277" t="s">
        <v>5264</v>
      </c>
      <c r="C107" s="1149">
        <v>0</v>
      </c>
      <c r="D107" s="1149">
        <v>0</v>
      </c>
      <c r="E107" s="1150">
        <f t="shared" si="17"/>
        <v>0</v>
      </c>
      <c r="F107" s="1148">
        <v>0</v>
      </c>
      <c r="G107" s="1148">
        <v>0</v>
      </c>
      <c r="H107" s="1151">
        <f t="shared" si="16"/>
        <v>0</v>
      </c>
    </row>
    <row r="108" spans="2:18" ht="24">
      <c r="B108" s="1277" t="s">
        <v>5265</v>
      </c>
      <c r="C108" s="1149">
        <v>0</v>
      </c>
      <c r="D108" s="1149">
        <v>0</v>
      </c>
      <c r="E108" s="1150">
        <f t="shared" si="17"/>
        <v>0</v>
      </c>
      <c r="F108" s="1148">
        <v>0</v>
      </c>
      <c r="G108" s="1148">
        <v>0</v>
      </c>
      <c r="H108" s="1151">
        <f t="shared" si="16"/>
        <v>0</v>
      </c>
    </row>
    <row r="109" spans="2:18" ht="24">
      <c r="B109" s="1277" t="s">
        <v>5266</v>
      </c>
      <c r="C109" s="1149">
        <v>0</v>
      </c>
      <c r="D109" s="1149">
        <v>0</v>
      </c>
      <c r="E109" s="1150">
        <f t="shared" si="17"/>
        <v>0</v>
      </c>
      <c r="F109" s="1148">
        <v>0</v>
      </c>
      <c r="G109" s="1148">
        <v>0</v>
      </c>
      <c r="H109" s="1151">
        <f t="shared" si="16"/>
        <v>0</v>
      </c>
    </row>
    <row r="110" spans="2:18" ht="24">
      <c r="B110" s="1277" t="s">
        <v>5267</v>
      </c>
      <c r="C110" s="1149">
        <v>0</v>
      </c>
      <c r="D110" s="1149">
        <v>0</v>
      </c>
      <c r="E110" s="1150">
        <f t="shared" si="17"/>
        <v>0</v>
      </c>
      <c r="F110" s="1148">
        <v>0</v>
      </c>
      <c r="G110" s="1148">
        <v>0</v>
      </c>
      <c r="H110" s="1151">
        <f t="shared" si="16"/>
        <v>0</v>
      </c>
    </row>
    <row r="111" spans="2:18">
      <c r="B111" s="1277" t="s">
        <v>5268</v>
      </c>
      <c r="C111" s="1149">
        <v>0</v>
      </c>
      <c r="D111" s="1149">
        <v>0</v>
      </c>
      <c r="E111" s="1150">
        <f t="shared" si="17"/>
        <v>0</v>
      </c>
      <c r="F111" s="1148">
        <v>0</v>
      </c>
      <c r="G111" s="1148">
        <v>0</v>
      </c>
      <c r="H111" s="1151">
        <f t="shared" si="16"/>
        <v>0</v>
      </c>
    </row>
    <row r="112" spans="2:18">
      <c r="B112" s="1277" t="s">
        <v>5269</v>
      </c>
      <c r="C112" s="1149">
        <v>0</v>
      </c>
      <c r="D112" s="1149">
        <v>0</v>
      </c>
      <c r="E112" s="1150">
        <f t="shared" si="17"/>
        <v>0</v>
      </c>
      <c r="F112" s="1148">
        <v>0</v>
      </c>
      <c r="G112" s="1148">
        <v>0</v>
      </c>
      <c r="H112" s="1151">
        <f t="shared" si="16"/>
        <v>0</v>
      </c>
      <c r="J112" s="1322"/>
    </row>
    <row r="113" spans="2:8">
      <c r="B113" s="1277" t="s">
        <v>5270</v>
      </c>
      <c r="C113" s="1149">
        <v>0</v>
      </c>
      <c r="D113" s="1149">
        <v>0</v>
      </c>
      <c r="E113" s="1150">
        <f t="shared" si="17"/>
        <v>0</v>
      </c>
      <c r="F113" s="1148">
        <v>0</v>
      </c>
      <c r="G113" s="1148">
        <v>0</v>
      </c>
      <c r="H113" s="1151">
        <f t="shared" si="16"/>
        <v>0</v>
      </c>
    </row>
    <row r="114" spans="2:8" ht="29.25" customHeight="1">
      <c r="B114" s="1321" t="s">
        <v>5271</v>
      </c>
      <c r="C114" s="1312">
        <f>SUM(C115:C123)</f>
        <v>0</v>
      </c>
      <c r="D114" s="1312">
        <f t="shared" ref="D114:H114" si="20">SUM(D115:D123)</f>
        <v>0</v>
      </c>
      <c r="E114" s="1159">
        <f t="shared" si="20"/>
        <v>0</v>
      </c>
      <c r="F114" s="1312">
        <f t="shared" si="20"/>
        <v>0</v>
      </c>
      <c r="G114" s="1312">
        <f t="shared" si="20"/>
        <v>0</v>
      </c>
      <c r="H114" s="1159">
        <f t="shared" si="20"/>
        <v>0</v>
      </c>
    </row>
    <row r="115" spans="2:8" ht="24">
      <c r="B115" s="1277" t="s">
        <v>5272</v>
      </c>
      <c r="C115" s="1149">
        <v>0</v>
      </c>
      <c r="D115" s="1149">
        <v>0</v>
      </c>
      <c r="E115" s="1150">
        <f t="shared" si="17"/>
        <v>0</v>
      </c>
      <c r="F115" s="1148">
        <v>0</v>
      </c>
      <c r="G115" s="1148">
        <v>0</v>
      </c>
      <c r="H115" s="1151">
        <f t="shared" si="16"/>
        <v>0</v>
      </c>
    </row>
    <row r="116" spans="2:8">
      <c r="B116" s="1277" t="s">
        <v>5273</v>
      </c>
      <c r="C116" s="1149">
        <v>0</v>
      </c>
      <c r="D116" s="1149">
        <v>0</v>
      </c>
      <c r="E116" s="1150">
        <f t="shared" si="17"/>
        <v>0</v>
      </c>
      <c r="F116" s="1148">
        <v>0</v>
      </c>
      <c r="G116" s="1148">
        <v>0</v>
      </c>
      <c r="H116" s="1151">
        <f t="shared" si="16"/>
        <v>0</v>
      </c>
    </row>
    <row r="117" spans="2:8">
      <c r="B117" s="1277" t="s">
        <v>5274</v>
      </c>
      <c r="C117" s="1149">
        <v>0</v>
      </c>
      <c r="D117" s="1149">
        <v>0</v>
      </c>
      <c r="E117" s="1150">
        <f t="shared" si="17"/>
        <v>0</v>
      </c>
      <c r="F117" s="1148">
        <v>0</v>
      </c>
      <c r="G117" s="1148">
        <v>0</v>
      </c>
      <c r="H117" s="1151">
        <f t="shared" si="16"/>
        <v>0</v>
      </c>
    </row>
    <row r="118" spans="2:8">
      <c r="B118" s="1277" t="s">
        <v>5275</v>
      </c>
      <c r="C118" s="1149">
        <v>0</v>
      </c>
      <c r="D118" s="1149">
        <v>0</v>
      </c>
      <c r="E118" s="1150">
        <f t="shared" si="17"/>
        <v>0</v>
      </c>
      <c r="F118" s="1148">
        <v>0</v>
      </c>
      <c r="G118" s="1148">
        <v>0</v>
      </c>
      <c r="H118" s="1151">
        <f t="shared" si="16"/>
        <v>0</v>
      </c>
    </row>
    <row r="119" spans="2:8">
      <c r="B119" s="1277" t="s">
        <v>5276</v>
      </c>
      <c r="C119" s="1149">
        <v>0</v>
      </c>
      <c r="D119" s="1149">
        <v>0</v>
      </c>
      <c r="E119" s="1150">
        <f t="shared" si="17"/>
        <v>0</v>
      </c>
      <c r="F119" s="1148">
        <v>0</v>
      </c>
      <c r="G119" s="1148">
        <v>0</v>
      </c>
      <c r="H119" s="1151">
        <f t="shared" si="16"/>
        <v>0</v>
      </c>
    </row>
    <row r="120" spans="2:8" ht="24">
      <c r="B120" s="1277" t="s">
        <v>5277</v>
      </c>
      <c r="C120" s="1149">
        <v>0</v>
      </c>
      <c r="D120" s="1149">
        <v>0</v>
      </c>
      <c r="E120" s="1150">
        <f t="shared" si="17"/>
        <v>0</v>
      </c>
      <c r="F120" s="1148">
        <v>0</v>
      </c>
      <c r="G120" s="1148">
        <v>0</v>
      </c>
      <c r="H120" s="1151">
        <f t="shared" si="16"/>
        <v>0</v>
      </c>
    </row>
    <row r="121" spans="2:8">
      <c r="B121" s="1277" t="s">
        <v>5278</v>
      </c>
      <c r="C121" s="1149">
        <v>0</v>
      </c>
      <c r="D121" s="1149">
        <v>0</v>
      </c>
      <c r="E121" s="1150">
        <f t="shared" si="17"/>
        <v>0</v>
      </c>
      <c r="F121" s="1148">
        <v>0</v>
      </c>
      <c r="G121" s="1148">
        <v>0</v>
      </c>
      <c r="H121" s="1151">
        <f t="shared" si="16"/>
        <v>0</v>
      </c>
    </row>
    <row r="122" spans="2:8">
      <c r="B122" s="1277" t="s">
        <v>5279</v>
      </c>
      <c r="C122" s="1149">
        <v>0</v>
      </c>
      <c r="D122" s="1149">
        <v>0</v>
      </c>
      <c r="E122" s="1150">
        <f t="shared" si="17"/>
        <v>0</v>
      </c>
      <c r="F122" s="1148">
        <v>0</v>
      </c>
      <c r="G122" s="1148">
        <v>0</v>
      </c>
      <c r="H122" s="1151">
        <f t="shared" si="16"/>
        <v>0</v>
      </c>
    </row>
    <row r="123" spans="2:8">
      <c r="B123" s="1277" t="s">
        <v>5280</v>
      </c>
      <c r="C123" s="1149">
        <v>0</v>
      </c>
      <c r="D123" s="1149">
        <v>0</v>
      </c>
      <c r="E123" s="1150">
        <f t="shared" si="17"/>
        <v>0</v>
      </c>
      <c r="F123" s="1148">
        <v>0</v>
      </c>
      <c r="G123" s="1148">
        <v>0</v>
      </c>
      <c r="H123" s="1151">
        <f t="shared" si="16"/>
        <v>0</v>
      </c>
    </row>
    <row r="124" spans="2:8" ht="24" customHeight="1">
      <c r="B124" s="1321" t="s">
        <v>5281</v>
      </c>
      <c r="C124" s="1312">
        <f>SUM(C125:C133)</f>
        <v>0</v>
      </c>
      <c r="D124" s="1312">
        <f t="shared" ref="D124:H124" si="21">SUM(D125:D133)</f>
        <v>0</v>
      </c>
      <c r="E124" s="1159">
        <f t="shared" si="21"/>
        <v>0</v>
      </c>
      <c r="F124" s="1312">
        <f t="shared" si="21"/>
        <v>0</v>
      </c>
      <c r="G124" s="1312">
        <f t="shared" si="21"/>
        <v>0</v>
      </c>
      <c r="H124" s="1159">
        <f t="shared" si="21"/>
        <v>0</v>
      </c>
    </row>
    <row r="125" spans="2:8">
      <c r="B125" s="1277" t="s">
        <v>5282</v>
      </c>
      <c r="C125" s="1149">
        <v>0</v>
      </c>
      <c r="D125" s="1149">
        <v>0</v>
      </c>
      <c r="E125" s="1150">
        <f t="shared" si="17"/>
        <v>0</v>
      </c>
      <c r="F125" s="1148">
        <v>0</v>
      </c>
      <c r="G125" s="1148">
        <v>0</v>
      </c>
      <c r="H125" s="1151">
        <f t="shared" si="16"/>
        <v>0</v>
      </c>
    </row>
    <row r="126" spans="2:8">
      <c r="B126" s="1277" t="s">
        <v>5283</v>
      </c>
      <c r="C126" s="1149">
        <v>0</v>
      </c>
      <c r="D126" s="1149">
        <v>0</v>
      </c>
      <c r="E126" s="1150">
        <f t="shared" si="17"/>
        <v>0</v>
      </c>
      <c r="F126" s="1148">
        <v>0</v>
      </c>
      <c r="G126" s="1148">
        <v>0</v>
      </c>
      <c r="H126" s="1151">
        <f t="shared" si="16"/>
        <v>0</v>
      </c>
    </row>
    <row r="127" spans="2:8" ht="24">
      <c r="B127" s="1277" t="s">
        <v>5284</v>
      </c>
      <c r="C127" s="1149">
        <v>0</v>
      </c>
      <c r="D127" s="1149">
        <v>0</v>
      </c>
      <c r="E127" s="1150">
        <f t="shared" si="17"/>
        <v>0</v>
      </c>
      <c r="F127" s="1148">
        <v>0</v>
      </c>
      <c r="G127" s="1148">
        <v>0</v>
      </c>
      <c r="H127" s="1151">
        <f t="shared" si="16"/>
        <v>0</v>
      </c>
    </row>
    <row r="128" spans="2:8">
      <c r="B128" s="1277" t="s">
        <v>5285</v>
      </c>
      <c r="C128" s="1149">
        <v>0</v>
      </c>
      <c r="D128" s="1149">
        <v>0</v>
      </c>
      <c r="E128" s="1150">
        <f t="shared" si="17"/>
        <v>0</v>
      </c>
      <c r="F128" s="1148">
        <v>0</v>
      </c>
      <c r="G128" s="1148">
        <v>0</v>
      </c>
      <c r="H128" s="1151">
        <f t="shared" si="16"/>
        <v>0</v>
      </c>
    </row>
    <row r="129" spans="2:8">
      <c r="B129" s="1277" t="s">
        <v>5286</v>
      </c>
      <c r="C129" s="1149">
        <v>0</v>
      </c>
      <c r="D129" s="1149">
        <v>0</v>
      </c>
      <c r="E129" s="1150">
        <f t="shared" si="17"/>
        <v>0</v>
      </c>
      <c r="F129" s="1148">
        <v>0</v>
      </c>
      <c r="G129" s="1148">
        <v>0</v>
      </c>
      <c r="H129" s="1151">
        <f t="shared" si="16"/>
        <v>0</v>
      </c>
    </row>
    <row r="130" spans="2:8">
      <c r="B130" s="1277" t="s">
        <v>5287</v>
      </c>
      <c r="C130" s="1149">
        <v>0</v>
      </c>
      <c r="D130" s="1149">
        <v>0</v>
      </c>
      <c r="E130" s="1150">
        <f t="shared" si="17"/>
        <v>0</v>
      </c>
      <c r="F130" s="1148">
        <v>0</v>
      </c>
      <c r="G130" s="1148">
        <v>0</v>
      </c>
      <c r="H130" s="1151">
        <f t="shared" si="16"/>
        <v>0</v>
      </c>
    </row>
    <row r="131" spans="2:8">
      <c r="B131" s="1277" t="s">
        <v>5288</v>
      </c>
      <c r="C131" s="1149">
        <v>0</v>
      </c>
      <c r="D131" s="1149">
        <v>0</v>
      </c>
      <c r="E131" s="1150">
        <f t="shared" si="17"/>
        <v>0</v>
      </c>
      <c r="F131" s="1148">
        <v>0</v>
      </c>
      <c r="G131" s="1149">
        <v>0</v>
      </c>
      <c r="H131" s="1151">
        <f t="shared" si="16"/>
        <v>0</v>
      </c>
    </row>
    <row r="132" spans="2:8">
      <c r="B132" s="1277" t="s">
        <v>5289</v>
      </c>
      <c r="C132" s="1149">
        <v>0</v>
      </c>
      <c r="D132" s="1149">
        <v>0</v>
      </c>
      <c r="E132" s="1150">
        <f t="shared" si="17"/>
        <v>0</v>
      </c>
      <c r="F132" s="1148">
        <v>0</v>
      </c>
      <c r="G132" s="1149">
        <v>0</v>
      </c>
      <c r="H132" s="1151">
        <f t="shared" si="16"/>
        <v>0</v>
      </c>
    </row>
    <row r="133" spans="2:8">
      <c r="B133" s="1277" t="s">
        <v>5290</v>
      </c>
      <c r="C133" s="1149">
        <v>0</v>
      </c>
      <c r="D133" s="1149">
        <v>0</v>
      </c>
      <c r="E133" s="1150">
        <f t="shared" si="17"/>
        <v>0</v>
      </c>
      <c r="F133" s="1148">
        <v>0</v>
      </c>
      <c r="G133" s="1149">
        <v>0</v>
      </c>
      <c r="H133" s="1151">
        <f t="shared" si="16"/>
        <v>0</v>
      </c>
    </row>
    <row r="134" spans="2:8">
      <c r="B134" s="1320" t="s">
        <v>5291</v>
      </c>
      <c r="C134" s="1312">
        <f>SUM(C135:C137)</f>
        <v>0</v>
      </c>
      <c r="D134" s="1312">
        <f t="shared" ref="D134:H134" si="22">SUM(D135:D137)</f>
        <v>0</v>
      </c>
      <c r="E134" s="1159">
        <f t="shared" si="22"/>
        <v>0</v>
      </c>
      <c r="F134" s="1312">
        <f t="shared" si="22"/>
        <v>0</v>
      </c>
      <c r="G134" s="1312">
        <f t="shared" si="22"/>
        <v>0</v>
      </c>
      <c r="H134" s="1159">
        <f t="shared" si="22"/>
        <v>0</v>
      </c>
    </row>
    <row r="135" spans="2:8">
      <c r="B135" s="1277" t="s">
        <v>5292</v>
      </c>
      <c r="C135" s="1149">
        <v>0</v>
      </c>
      <c r="D135" s="1148">
        <v>0</v>
      </c>
      <c r="E135" s="1150">
        <f t="shared" si="17"/>
        <v>0</v>
      </c>
      <c r="F135" s="1148">
        <v>0</v>
      </c>
      <c r="G135" s="1148">
        <v>0</v>
      </c>
      <c r="H135" s="1151">
        <f t="shared" si="16"/>
        <v>0</v>
      </c>
    </row>
    <row r="136" spans="2:8">
      <c r="B136" s="1277" t="s">
        <v>5293</v>
      </c>
      <c r="C136" s="1149">
        <v>0</v>
      </c>
      <c r="D136" s="1148">
        <v>0</v>
      </c>
      <c r="E136" s="1150">
        <f t="shared" si="17"/>
        <v>0</v>
      </c>
      <c r="F136" s="1148">
        <v>0</v>
      </c>
      <c r="G136" s="1148">
        <v>0</v>
      </c>
      <c r="H136" s="1151">
        <f t="shared" si="16"/>
        <v>0</v>
      </c>
    </row>
    <row r="137" spans="2:8" ht="24">
      <c r="B137" s="1277" t="s">
        <v>5294</v>
      </c>
      <c r="C137" s="1149">
        <v>0</v>
      </c>
      <c r="D137" s="1148">
        <v>0</v>
      </c>
      <c r="E137" s="1150">
        <f t="shared" si="17"/>
        <v>0</v>
      </c>
      <c r="F137" s="1148">
        <v>0</v>
      </c>
      <c r="G137" s="1148">
        <v>0</v>
      </c>
      <c r="H137" s="1151">
        <f t="shared" si="16"/>
        <v>0</v>
      </c>
    </row>
    <row r="138" spans="2:8" ht="12" customHeight="1">
      <c r="B138" s="1321" t="s">
        <v>5295</v>
      </c>
      <c r="C138" s="1312">
        <f>SUM(C139:C146)</f>
        <v>0</v>
      </c>
      <c r="D138" s="1312">
        <f t="shared" ref="D138:H138" si="23">SUM(D139:D146)</f>
        <v>0</v>
      </c>
      <c r="E138" s="1159">
        <f t="shared" si="23"/>
        <v>0</v>
      </c>
      <c r="F138" s="1312">
        <f t="shared" si="23"/>
        <v>0</v>
      </c>
      <c r="G138" s="1312">
        <f t="shared" si="23"/>
        <v>0</v>
      </c>
      <c r="H138" s="1159">
        <f t="shared" si="23"/>
        <v>0</v>
      </c>
    </row>
    <row r="139" spans="2:8" ht="24">
      <c r="B139" s="1277" t="s">
        <v>5296</v>
      </c>
      <c r="C139" s="1149">
        <v>0</v>
      </c>
      <c r="D139" s="1148">
        <v>0</v>
      </c>
      <c r="E139" s="1150">
        <f t="shared" si="17"/>
        <v>0</v>
      </c>
      <c r="F139" s="1148">
        <v>0</v>
      </c>
      <c r="G139" s="1148">
        <v>0</v>
      </c>
      <c r="H139" s="1151">
        <f t="shared" si="16"/>
        <v>0</v>
      </c>
    </row>
    <row r="140" spans="2:8">
      <c r="B140" s="1277" t="s">
        <v>5297</v>
      </c>
      <c r="C140" s="1149">
        <v>0</v>
      </c>
      <c r="D140" s="1148">
        <v>0</v>
      </c>
      <c r="E140" s="1150">
        <f t="shared" si="17"/>
        <v>0</v>
      </c>
      <c r="F140" s="1148">
        <v>0</v>
      </c>
      <c r="G140" s="1148">
        <v>0</v>
      </c>
      <c r="H140" s="1151">
        <f t="shared" si="16"/>
        <v>0</v>
      </c>
    </row>
    <row r="141" spans="2:8">
      <c r="B141" s="1277" t="s">
        <v>5298</v>
      </c>
      <c r="C141" s="1149">
        <v>0</v>
      </c>
      <c r="D141" s="1148">
        <v>0</v>
      </c>
      <c r="E141" s="1150">
        <f t="shared" si="17"/>
        <v>0</v>
      </c>
      <c r="F141" s="1148">
        <v>0</v>
      </c>
      <c r="G141" s="1148">
        <v>0</v>
      </c>
      <c r="H141" s="1151">
        <f t="shared" si="16"/>
        <v>0</v>
      </c>
    </row>
    <row r="142" spans="2:8">
      <c r="B142" s="1277" t="s">
        <v>5299</v>
      </c>
      <c r="C142" s="1149">
        <v>0</v>
      </c>
      <c r="D142" s="1148">
        <v>0</v>
      </c>
      <c r="E142" s="1150">
        <f t="shared" si="17"/>
        <v>0</v>
      </c>
      <c r="F142" s="1148">
        <v>0</v>
      </c>
      <c r="G142" s="1148">
        <v>0</v>
      </c>
      <c r="H142" s="1151">
        <f t="shared" si="16"/>
        <v>0</v>
      </c>
    </row>
    <row r="143" spans="2:8" ht="24">
      <c r="B143" s="1277" t="s">
        <v>5300</v>
      </c>
      <c r="C143" s="1149">
        <v>0</v>
      </c>
      <c r="D143" s="1148">
        <v>0</v>
      </c>
      <c r="E143" s="1150">
        <f t="shared" si="17"/>
        <v>0</v>
      </c>
      <c r="F143" s="1148">
        <v>0</v>
      </c>
      <c r="G143" s="1148">
        <v>0</v>
      </c>
      <c r="H143" s="1151">
        <f t="shared" si="16"/>
        <v>0</v>
      </c>
    </row>
    <row r="144" spans="2:8" ht="24">
      <c r="B144" s="1277" t="s">
        <v>5301</v>
      </c>
      <c r="C144" s="1149">
        <v>0</v>
      </c>
      <c r="D144" s="1148">
        <v>0</v>
      </c>
      <c r="E144" s="1150">
        <f t="shared" si="17"/>
        <v>0</v>
      </c>
      <c r="F144" s="1148">
        <v>0</v>
      </c>
      <c r="G144" s="1148">
        <v>0</v>
      </c>
      <c r="H144" s="1151">
        <f t="shared" si="16"/>
        <v>0</v>
      </c>
    </row>
    <row r="145" spans="2:8">
      <c r="B145" s="1277" t="s">
        <v>5302</v>
      </c>
      <c r="C145" s="1149">
        <v>0</v>
      </c>
      <c r="D145" s="1148">
        <v>0</v>
      </c>
      <c r="E145" s="1150">
        <f t="shared" si="17"/>
        <v>0</v>
      </c>
      <c r="F145" s="1148">
        <v>0</v>
      </c>
      <c r="G145" s="1148">
        <v>0</v>
      </c>
      <c r="H145" s="1151">
        <f t="shared" si="16"/>
        <v>0</v>
      </c>
    </row>
    <row r="146" spans="2:8" ht="24">
      <c r="B146" s="1277" t="s">
        <v>5303</v>
      </c>
      <c r="C146" s="1149">
        <v>0</v>
      </c>
      <c r="D146" s="1148">
        <v>0</v>
      </c>
      <c r="E146" s="1150">
        <f t="shared" si="17"/>
        <v>0</v>
      </c>
      <c r="F146" s="1148">
        <v>0</v>
      </c>
      <c r="G146" s="1148">
        <v>0</v>
      </c>
      <c r="H146" s="1151">
        <f t="shared" si="16"/>
        <v>0</v>
      </c>
    </row>
    <row r="147" spans="2:8">
      <c r="B147" s="1320" t="s">
        <v>5304</v>
      </c>
      <c r="C147" s="1312">
        <f>SUM(C148:C150)</f>
        <v>0</v>
      </c>
      <c r="D147" s="1312">
        <f t="shared" ref="D147:H147" si="24">SUM(D148:D150)</f>
        <v>0</v>
      </c>
      <c r="E147" s="1159">
        <f t="shared" si="24"/>
        <v>0</v>
      </c>
      <c r="F147" s="1312">
        <f t="shared" si="24"/>
        <v>0</v>
      </c>
      <c r="G147" s="1312">
        <f t="shared" si="24"/>
        <v>0</v>
      </c>
      <c r="H147" s="1159">
        <f t="shared" si="24"/>
        <v>0</v>
      </c>
    </row>
    <row r="148" spans="2:8">
      <c r="B148" s="1316" t="s">
        <v>5305</v>
      </c>
      <c r="C148" s="1149">
        <v>0</v>
      </c>
      <c r="D148" s="1148">
        <v>0</v>
      </c>
      <c r="E148" s="1150">
        <f t="shared" si="17"/>
        <v>0</v>
      </c>
      <c r="F148" s="1148">
        <v>0</v>
      </c>
      <c r="G148" s="1148">
        <v>0</v>
      </c>
      <c r="H148" s="1151">
        <f t="shared" si="16"/>
        <v>0</v>
      </c>
    </row>
    <row r="149" spans="2:8">
      <c r="B149" s="1316" t="s">
        <v>5306</v>
      </c>
      <c r="C149" s="1149">
        <v>0</v>
      </c>
      <c r="D149" s="1148">
        <v>0</v>
      </c>
      <c r="E149" s="1150">
        <f t="shared" si="17"/>
        <v>0</v>
      </c>
      <c r="F149" s="1148">
        <v>0</v>
      </c>
      <c r="G149" s="1148">
        <v>0</v>
      </c>
      <c r="H149" s="1151">
        <f t="shared" si="16"/>
        <v>0</v>
      </c>
    </row>
    <row r="150" spans="2:8">
      <c r="B150" s="1316" t="s">
        <v>5307</v>
      </c>
      <c r="C150" s="1149">
        <v>0</v>
      </c>
      <c r="D150" s="1148">
        <v>0</v>
      </c>
      <c r="E150" s="1150">
        <f t="shared" si="17"/>
        <v>0</v>
      </c>
      <c r="F150" s="1148">
        <v>0</v>
      </c>
      <c r="G150" s="1148">
        <v>0</v>
      </c>
      <c r="H150" s="1151">
        <f t="shared" si="16"/>
        <v>0</v>
      </c>
    </row>
    <row r="151" spans="2:8">
      <c r="B151" s="1320" t="s">
        <v>5308</v>
      </c>
      <c r="C151" s="1312">
        <f>SUM(C152:C158)</f>
        <v>0</v>
      </c>
      <c r="D151" s="1312">
        <f t="shared" ref="D151:H151" si="25">SUM(D152:D158)</f>
        <v>0</v>
      </c>
      <c r="E151" s="1159">
        <f t="shared" si="25"/>
        <v>0</v>
      </c>
      <c r="F151" s="1312">
        <f t="shared" si="25"/>
        <v>0</v>
      </c>
      <c r="G151" s="1312">
        <f t="shared" si="25"/>
        <v>0</v>
      </c>
      <c r="H151" s="1159">
        <f t="shared" si="25"/>
        <v>0</v>
      </c>
    </row>
    <row r="152" spans="2:8">
      <c r="B152" s="1277" t="s">
        <v>5309</v>
      </c>
      <c r="C152" s="1149">
        <v>0</v>
      </c>
      <c r="D152" s="1148">
        <v>0</v>
      </c>
      <c r="E152" s="1150">
        <f t="shared" si="17"/>
        <v>0</v>
      </c>
      <c r="F152" s="1148">
        <v>0</v>
      </c>
      <c r="G152" s="1148">
        <v>0</v>
      </c>
      <c r="H152" s="1151">
        <f t="shared" si="16"/>
        <v>0</v>
      </c>
    </row>
    <row r="153" spans="2:8">
      <c r="B153" s="1277" t="s">
        <v>5310</v>
      </c>
      <c r="C153" s="1149">
        <v>0</v>
      </c>
      <c r="D153" s="1148">
        <v>0</v>
      </c>
      <c r="E153" s="1150">
        <f t="shared" si="17"/>
        <v>0</v>
      </c>
      <c r="F153" s="1148">
        <v>0</v>
      </c>
      <c r="G153" s="1148">
        <v>0</v>
      </c>
      <c r="H153" s="1151">
        <f t="shared" si="16"/>
        <v>0</v>
      </c>
    </row>
    <row r="154" spans="2:8">
      <c r="B154" s="1277" t="s">
        <v>5311</v>
      </c>
      <c r="C154" s="1149">
        <v>0</v>
      </c>
      <c r="D154" s="1148">
        <v>0</v>
      </c>
      <c r="E154" s="1150">
        <f t="shared" ref="E154:E158" si="26">SUM(C154:D154)</f>
        <v>0</v>
      </c>
      <c r="F154" s="1148">
        <v>0</v>
      </c>
      <c r="G154" s="1148">
        <v>0</v>
      </c>
      <c r="H154" s="1151">
        <f t="shared" ref="H154:H158" si="27">SUM(E154-F154)</f>
        <v>0</v>
      </c>
    </row>
    <row r="155" spans="2:8">
      <c r="B155" s="1277" t="s">
        <v>5312</v>
      </c>
      <c r="C155" s="1149">
        <v>0</v>
      </c>
      <c r="D155" s="1148">
        <v>0</v>
      </c>
      <c r="E155" s="1150">
        <f t="shared" si="26"/>
        <v>0</v>
      </c>
      <c r="F155" s="1148">
        <v>0</v>
      </c>
      <c r="G155" s="1148">
        <v>0</v>
      </c>
      <c r="H155" s="1151">
        <f t="shared" si="27"/>
        <v>0</v>
      </c>
    </row>
    <row r="156" spans="2:8">
      <c r="B156" s="1277" t="s">
        <v>5313</v>
      </c>
      <c r="C156" s="1149">
        <v>0</v>
      </c>
      <c r="D156" s="1148">
        <v>0</v>
      </c>
      <c r="E156" s="1150">
        <f t="shared" si="26"/>
        <v>0</v>
      </c>
      <c r="F156" s="1148">
        <v>0</v>
      </c>
      <c r="G156" s="1148">
        <v>0</v>
      </c>
      <c r="H156" s="1151">
        <f t="shared" si="27"/>
        <v>0</v>
      </c>
    </row>
    <row r="157" spans="2:8">
      <c r="B157" s="1277" t="s">
        <v>5314</v>
      </c>
      <c r="C157" s="1149">
        <v>0</v>
      </c>
      <c r="D157" s="1148">
        <v>0</v>
      </c>
      <c r="E157" s="1150">
        <f t="shared" si="26"/>
        <v>0</v>
      </c>
      <c r="F157" s="1148">
        <v>0</v>
      </c>
      <c r="G157" s="1148">
        <v>0</v>
      </c>
      <c r="H157" s="1151">
        <f t="shared" si="27"/>
        <v>0</v>
      </c>
    </row>
    <row r="158" spans="2:8" ht="25.15" customHeight="1">
      <c r="B158" s="1277" t="s">
        <v>5315</v>
      </c>
      <c r="C158" s="1149">
        <v>0</v>
      </c>
      <c r="D158" s="1148">
        <v>0</v>
      </c>
      <c r="E158" s="1150">
        <f t="shared" si="26"/>
        <v>0</v>
      </c>
      <c r="F158" s="1148">
        <v>0</v>
      </c>
      <c r="G158" s="1148">
        <v>0</v>
      </c>
      <c r="H158" s="1151">
        <f t="shared" si="27"/>
        <v>0</v>
      </c>
    </row>
    <row r="159" spans="2:8" ht="12" customHeight="1">
      <c r="B159" s="1125"/>
      <c r="C159" s="1323"/>
      <c r="D159" s="1323"/>
      <c r="E159" s="1150"/>
      <c r="F159" s="1323"/>
      <c r="G159" s="1323"/>
      <c r="H159" s="1150"/>
    </row>
    <row r="160" spans="2:8" ht="12.75" thickBot="1">
      <c r="B160" s="1324" t="s">
        <v>5317</v>
      </c>
      <c r="C160" s="1325">
        <f>SUM(C10,C85)</f>
        <v>138260283.41649699</v>
      </c>
      <c r="D160" s="1325">
        <f t="shared" ref="D160:G160" si="28">SUM(D10,D85)</f>
        <v>0</v>
      </c>
      <c r="E160" s="1326">
        <f>SUM(E10,E85)</f>
        <v>138260283.41649699</v>
      </c>
      <c r="F160" s="1325">
        <f t="shared" si="28"/>
        <v>15020502.310000001</v>
      </c>
      <c r="G160" s="1325">
        <f t="shared" si="28"/>
        <v>15020502.310000001</v>
      </c>
      <c r="H160" s="1326">
        <f>SUM(H10,H85)</f>
        <v>123239781.10649699</v>
      </c>
    </row>
  </sheetData>
  <mergeCells count="8">
    <mergeCell ref="B7:B8"/>
    <mergeCell ref="C7:G7"/>
    <mergeCell ref="H7:H8"/>
    <mergeCell ref="B2:H2"/>
    <mergeCell ref="B3:H3"/>
    <mergeCell ref="B4:H4"/>
    <mergeCell ref="B5:H5"/>
    <mergeCell ref="B6:H6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6191C1-BA5B-43E8-8E6D-1C9EA41C6842}">
  <dimension ref="B1:S98"/>
  <sheetViews>
    <sheetView workbookViewId="0">
      <selection activeCell="F10" sqref="F10"/>
    </sheetView>
  </sheetViews>
  <sheetFormatPr baseColWidth="10" defaultRowHeight="12.75"/>
  <cols>
    <col min="1" max="1" width="3.7109375" customWidth="1"/>
    <col min="2" max="2" width="35" customWidth="1"/>
    <col min="3" max="8" width="15.7109375" customWidth="1"/>
    <col min="9" max="9" width="3.7109375" customWidth="1"/>
  </cols>
  <sheetData>
    <row r="1" spans="2:9" ht="15" customHeight="1" thickBot="1"/>
    <row r="2" spans="2:9" ht="15">
      <c r="B2" s="1798" t="s">
        <v>2992</v>
      </c>
      <c r="C2" s="1799"/>
      <c r="D2" s="1799"/>
      <c r="E2" s="1799"/>
      <c r="F2" s="1799"/>
      <c r="G2" s="1799"/>
      <c r="H2" s="1827"/>
      <c r="I2" s="901" t="s">
        <v>5364</v>
      </c>
    </row>
    <row r="3" spans="2:9">
      <c r="B3" s="1801" t="s">
        <v>5240</v>
      </c>
      <c r="C3" s="1802"/>
      <c r="D3" s="1802"/>
      <c r="E3" s="1802"/>
      <c r="F3" s="1802"/>
      <c r="G3" s="1802"/>
      <c r="H3" s="1828"/>
    </row>
    <row r="4" spans="2:9">
      <c r="B4" s="1801" t="s">
        <v>5365</v>
      </c>
      <c r="C4" s="1802"/>
      <c r="D4" s="1802"/>
      <c r="E4" s="1802"/>
      <c r="F4" s="1802"/>
      <c r="G4" s="1802"/>
      <c r="H4" s="1828"/>
    </row>
    <row r="5" spans="2:9">
      <c r="B5" s="1804"/>
      <c r="C5" s="1805"/>
      <c r="D5" s="1805"/>
      <c r="E5" s="1805"/>
      <c r="F5" s="1805"/>
      <c r="G5" s="1805"/>
      <c r="H5" s="1829"/>
    </row>
    <row r="6" spans="2:9" ht="13.5" thickBot="1">
      <c r="B6" s="1807" t="s">
        <v>5022</v>
      </c>
      <c r="C6" s="1808"/>
      <c r="D6" s="1808"/>
      <c r="E6" s="1808"/>
      <c r="F6" s="1808"/>
      <c r="G6" s="1808"/>
      <c r="H6" s="1830"/>
    </row>
    <row r="7" spans="2:9" ht="13.5" thickBot="1">
      <c r="B7" s="1810" t="s">
        <v>5023</v>
      </c>
      <c r="C7" s="1824" t="s">
        <v>75</v>
      </c>
      <c r="D7" s="1825"/>
      <c r="E7" s="1825"/>
      <c r="F7" s="1825"/>
      <c r="G7" s="1826"/>
      <c r="H7" s="1815" t="s">
        <v>5241</v>
      </c>
    </row>
    <row r="8" spans="2:9" ht="24.75" thickBot="1">
      <c r="B8" s="1811"/>
      <c r="C8" s="1105" t="s">
        <v>5137</v>
      </c>
      <c r="D8" s="1105" t="s">
        <v>4952</v>
      </c>
      <c r="E8" s="1105" t="s">
        <v>4953</v>
      </c>
      <c r="F8" s="1105" t="s">
        <v>5366</v>
      </c>
      <c r="G8" s="1105" t="s">
        <v>823</v>
      </c>
      <c r="H8" s="1816"/>
    </row>
    <row r="9" spans="2:9">
      <c r="B9" s="1133" t="s">
        <v>5367</v>
      </c>
      <c r="C9" s="1344">
        <f>SUM(C10:C12,C15,C16,C19)</f>
        <v>19299621.387999997</v>
      </c>
      <c r="D9" s="1344">
        <f t="shared" ref="D9:H9" si="0">SUM(D10:D12,D15,D16,D19)</f>
        <v>0</v>
      </c>
      <c r="E9" s="1345">
        <f t="shared" si="0"/>
        <v>19299621.387999997</v>
      </c>
      <c r="F9" s="1344">
        <f t="shared" si="0"/>
        <v>4375817.34</v>
      </c>
      <c r="G9" s="1344">
        <f t="shared" si="0"/>
        <v>4375817.34</v>
      </c>
      <c r="H9" s="1345">
        <f t="shared" si="0"/>
        <v>14923804.047999997</v>
      </c>
    </row>
    <row r="10" spans="2:9" ht="24">
      <c r="B10" s="1346" t="s">
        <v>5368</v>
      </c>
      <c r="C10" s="1347">
        <f>+COG!D10</f>
        <v>19299621.387999997</v>
      </c>
      <c r="D10" s="1347">
        <f>+COG!E10</f>
        <v>0</v>
      </c>
      <c r="E10" s="1348">
        <f>C10+D10</f>
        <v>19299621.387999997</v>
      </c>
      <c r="F10" s="1347">
        <f>+COG!G10</f>
        <v>4375817.34</v>
      </c>
      <c r="G10" s="1347">
        <f>+COG!H10</f>
        <v>4375817.34</v>
      </c>
      <c r="H10" s="1348">
        <f>E10-F10</f>
        <v>14923804.047999997</v>
      </c>
    </row>
    <row r="11" spans="2:9">
      <c r="B11" s="1346" t="s">
        <v>5369</v>
      </c>
      <c r="C11" s="1347">
        <v>0</v>
      </c>
      <c r="D11" s="1347">
        <v>0</v>
      </c>
      <c r="E11" s="1348">
        <f t="shared" ref="E11:E15" si="1">C11+D11</f>
        <v>0</v>
      </c>
      <c r="F11" s="1347">
        <v>0</v>
      </c>
      <c r="G11" s="1347">
        <v>0</v>
      </c>
      <c r="H11" s="1348">
        <f>E11-F11</f>
        <v>0</v>
      </c>
    </row>
    <row r="12" spans="2:9">
      <c r="B12" s="1346" t="s">
        <v>5370</v>
      </c>
      <c r="C12" s="1349">
        <f>SUM(C13:C14)</f>
        <v>0</v>
      </c>
      <c r="D12" s="1349">
        <f t="shared" ref="D12:H12" si="2">SUM(D13:D14)</f>
        <v>0</v>
      </c>
      <c r="E12" s="1348">
        <f>E13+E14</f>
        <v>0</v>
      </c>
      <c r="F12" s="1349">
        <f t="shared" si="2"/>
        <v>0</v>
      </c>
      <c r="G12" s="1349">
        <f t="shared" si="2"/>
        <v>0</v>
      </c>
      <c r="H12" s="1348">
        <f t="shared" si="2"/>
        <v>0</v>
      </c>
    </row>
    <row r="13" spans="2:9">
      <c r="B13" s="1350" t="s">
        <v>5371</v>
      </c>
      <c r="C13" s="1347">
        <v>0</v>
      </c>
      <c r="D13" s="1347">
        <v>0</v>
      </c>
      <c r="E13" s="1348">
        <f t="shared" si="1"/>
        <v>0</v>
      </c>
      <c r="F13" s="1347">
        <v>0</v>
      </c>
      <c r="G13" s="1347">
        <v>0</v>
      </c>
      <c r="H13" s="1348">
        <f>E13-F13</f>
        <v>0</v>
      </c>
    </row>
    <row r="14" spans="2:9" ht="24">
      <c r="B14" s="1350" t="s">
        <v>5372</v>
      </c>
      <c r="C14" s="1347">
        <v>0</v>
      </c>
      <c r="D14" s="1347">
        <v>0</v>
      </c>
      <c r="E14" s="1348">
        <f t="shared" si="1"/>
        <v>0</v>
      </c>
      <c r="F14" s="1347">
        <v>0</v>
      </c>
      <c r="G14" s="1347">
        <v>0</v>
      </c>
      <c r="H14" s="1348">
        <f t="shared" ref="H14:H15" si="3">E14-F14</f>
        <v>0</v>
      </c>
    </row>
    <row r="15" spans="2:9">
      <c r="B15" s="1346" t="s">
        <v>5373</v>
      </c>
      <c r="C15" s="1347">
        <v>0</v>
      </c>
      <c r="D15" s="1347">
        <v>0</v>
      </c>
      <c r="E15" s="1348">
        <f t="shared" si="1"/>
        <v>0</v>
      </c>
      <c r="F15" s="1347">
        <v>0</v>
      </c>
      <c r="G15" s="1347">
        <v>0</v>
      </c>
      <c r="H15" s="1348">
        <f t="shared" si="3"/>
        <v>0</v>
      </c>
    </row>
    <row r="16" spans="2:9" ht="48">
      <c r="B16" s="1346" t="s">
        <v>5374</v>
      </c>
      <c r="C16" s="1349">
        <f>SUM(C17:C18)</f>
        <v>0</v>
      </c>
      <c r="D16" s="1349">
        <f t="shared" ref="D16:G16" si="4">SUM(D17:D18)</f>
        <v>0</v>
      </c>
      <c r="E16" s="1348">
        <f t="shared" si="4"/>
        <v>0</v>
      </c>
      <c r="F16" s="1349">
        <f t="shared" si="4"/>
        <v>0</v>
      </c>
      <c r="G16" s="1349">
        <f t="shared" si="4"/>
        <v>0</v>
      </c>
      <c r="H16" s="1348">
        <f>SUM(H17:H18)</f>
        <v>0</v>
      </c>
    </row>
    <row r="17" spans="2:8">
      <c r="B17" s="1351" t="s">
        <v>5375</v>
      </c>
      <c r="C17" s="1347">
        <v>0</v>
      </c>
      <c r="D17" s="1347">
        <v>0</v>
      </c>
      <c r="E17" s="1348">
        <f>C17+D17</f>
        <v>0</v>
      </c>
      <c r="F17" s="1347">
        <v>0</v>
      </c>
      <c r="G17" s="1347">
        <v>0</v>
      </c>
      <c r="H17" s="1348">
        <f>E17-F17</f>
        <v>0</v>
      </c>
    </row>
    <row r="18" spans="2:8">
      <c r="B18" s="1351" t="s">
        <v>5376</v>
      </c>
      <c r="C18" s="1347">
        <v>0</v>
      </c>
      <c r="D18" s="1347">
        <v>0</v>
      </c>
      <c r="E18" s="1348">
        <f t="shared" ref="E18:E19" si="5">C18+D18</f>
        <v>0</v>
      </c>
      <c r="F18" s="1347">
        <v>0</v>
      </c>
      <c r="G18" s="1347">
        <v>0</v>
      </c>
      <c r="H18" s="1348">
        <f>E18-F18</f>
        <v>0</v>
      </c>
    </row>
    <row r="19" spans="2:8">
      <c r="B19" s="1346" t="s">
        <v>5377</v>
      </c>
      <c r="C19" s="1347">
        <v>0</v>
      </c>
      <c r="D19" s="1347">
        <v>0</v>
      </c>
      <c r="E19" s="1348">
        <f t="shared" si="5"/>
        <v>0</v>
      </c>
      <c r="F19" s="1347">
        <v>0</v>
      </c>
      <c r="G19" s="1347">
        <v>0</v>
      </c>
      <c r="H19" s="1348">
        <f>E19-F19</f>
        <v>0</v>
      </c>
    </row>
    <row r="20" spans="2:8" ht="15" customHeight="1">
      <c r="B20" s="1138"/>
      <c r="C20" s="1344"/>
      <c r="D20" s="1352"/>
      <c r="E20" s="1353"/>
      <c r="F20" s="1352"/>
      <c r="G20" s="1352"/>
      <c r="H20" s="1353"/>
    </row>
    <row r="21" spans="2:8">
      <c r="B21" s="1133" t="s">
        <v>5378</v>
      </c>
      <c r="C21" s="1344">
        <f>SUM(C22:C24,C27,C28,C31)</f>
        <v>0</v>
      </c>
      <c r="D21" s="1344">
        <f t="shared" ref="D21:H21" si="6">SUM(D22:D24,D27,D28,D31)</f>
        <v>0</v>
      </c>
      <c r="E21" s="1345">
        <f t="shared" si="6"/>
        <v>0</v>
      </c>
      <c r="F21" s="1344">
        <f t="shared" si="6"/>
        <v>0</v>
      </c>
      <c r="G21" s="1344">
        <f t="shared" si="6"/>
        <v>0</v>
      </c>
      <c r="H21" s="1345">
        <f t="shared" si="6"/>
        <v>0</v>
      </c>
    </row>
    <row r="22" spans="2:8" ht="24">
      <c r="B22" s="1346" t="s">
        <v>5368</v>
      </c>
      <c r="C22" s="1347">
        <v>0</v>
      </c>
      <c r="D22" s="1347">
        <v>0</v>
      </c>
      <c r="E22" s="1348">
        <f>C22+D22</f>
        <v>0</v>
      </c>
      <c r="F22" s="1347">
        <v>0</v>
      </c>
      <c r="G22" s="1347">
        <v>0</v>
      </c>
      <c r="H22" s="1348">
        <f>E22-F22</f>
        <v>0</v>
      </c>
    </row>
    <row r="23" spans="2:8">
      <c r="B23" s="1346" t="s">
        <v>5369</v>
      </c>
      <c r="C23" s="1347">
        <v>0</v>
      </c>
      <c r="D23" s="1347">
        <v>0</v>
      </c>
      <c r="E23" s="1348">
        <f>C23+D23</f>
        <v>0</v>
      </c>
      <c r="F23" s="1347">
        <v>0</v>
      </c>
      <c r="G23" s="1347">
        <v>0</v>
      </c>
      <c r="H23" s="1348">
        <f>E23-F23</f>
        <v>0</v>
      </c>
    </row>
    <row r="24" spans="2:8">
      <c r="B24" s="1346" t="s">
        <v>5370</v>
      </c>
      <c r="C24" s="1349">
        <f>SUM(C25:C26)</f>
        <v>0</v>
      </c>
      <c r="D24" s="1349">
        <f t="shared" ref="D24:H24" si="7">SUM(D25:D26)</f>
        <v>0</v>
      </c>
      <c r="E24" s="1348">
        <f t="shared" si="7"/>
        <v>0</v>
      </c>
      <c r="F24" s="1349">
        <f t="shared" si="7"/>
        <v>0</v>
      </c>
      <c r="G24" s="1349">
        <f t="shared" si="7"/>
        <v>0</v>
      </c>
      <c r="H24" s="1348">
        <f t="shared" si="7"/>
        <v>0</v>
      </c>
    </row>
    <row r="25" spans="2:8">
      <c r="B25" s="1350" t="s">
        <v>5371</v>
      </c>
      <c r="C25" s="1347">
        <v>0</v>
      </c>
      <c r="D25" s="1347">
        <v>0</v>
      </c>
      <c r="E25" s="1348">
        <f>C25+D25</f>
        <v>0</v>
      </c>
      <c r="F25" s="1347">
        <v>0</v>
      </c>
      <c r="G25" s="1347">
        <v>0</v>
      </c>
      <c r="H25" s="1348">
        <f>E25-F25</f>
        <v>0</v>
      </c>
    </row>
    <row r="26" spans="2:8" ht="24">
      <c r="B26" s="1350" t="s">
        <v>5372</v>
      </c>
      <c r="C26" s="1347">
        <v>0</v>
      </c>
      <c r="D26" s="1347">
        <v>0</v>
      </c>
      <c r="E26" s="1348">
        <f>C26+D26</f>
        <v>0</v>
      </c>
      <c r="F26" s="1347">
        <v>0</v>
      </c>
      <c r="G26" s="1347">
        <v>0</v>
      </c>
      <c r="H26" s="1348">
        <f>E26-F26</f>
        <v>0</v>
      </c>
    </row>
    <row r="27" spans="2:8">
      <c r="B27" s="1346" t="s">
        <v>5373</v>
      </c>
      <c r="C27" s="1347">
        <v>0</v>
      </c>
      <c r="D27" s="1347">
        <v>0</v>
      </c>
      <c r="E27" s="1348">
        <f>C27+D27</f>
        <v>0</v>
      </c>
      <c r="F27" s="1347">
        <v>0</v>
      </c>
      <c r="G27" s="1347">
        <v>0</v>
      </c>
      <c r="H27" s="1348">
        <f>E27-F27</f>
        <v>0</v>
      </c>
    </row>
    <row r="28" spans="2:8" ht="48">
      <c r="B28" s="1346" t="s">
        <v>5374</v>
      </c>
      <c r="C28" s="1349">
        <f>SUM(C29:C30)</f>
        <v>0</v>
      </c>
      <c r="D28" s="1349">
        <f t="shared" ref="D28:H28" si="8">SUM(D29:D30)</f>
        <v>0</v>
      </c>
      <c r="E28" s="1348">
        <f t="shared" si="8"/>
        <v>0</v>
      </c>
      <c r="F28" s="1349">
        <f t="shared" si="8"/>
        <v>0</v>
      </c>
      <c r="G28" s="1349">
        <f t="shared" si="8"/>
        <v>0</v>
      </c>
      <c r="H28" s="1348">
        <f t="shared" si="8"/>
        <v>0</v>
      </c>
    </row>
    <row r="29" spans="2:8">
      <c r="B29" s="1351" t="s">
        <v>5375</v>
      </c>
      <c r="C29" s="1347">
        <v>0</v>
      </c>
      <c r="D29" s="1347">
        <v>0</v>
      </c>
      <c r="E29" s="1348">
        <f>C29+D29</f>
        <v>0</v>
      </c>
      <c r="F29" s="1347">
        <v>0</v>
      </c>
      <c r="G29" s="1347">
        <v>0</v>
      </c>
      <c r="H29" s="1348">
        <f>E29-F29</f>
        <v>0</v>
      </c>
    </row>
    <row r="30" spans="2:8">
      <c r="B30" s="1351" t="s">
        <v>5376</v>
      </c>
      <c r="C30" s="1347">
        <v>0</v>
      </c>
      <c r="D30" s="1347">
        <v>0</v>
      </c>
      <c r="E30" s="1348">
        <f>C30+D30</f>
        <v>0</v>
      </c>
      <c r="F30" s="1347">
        <v>0</v>
      </c>
      <c r="G30" s="1347">
        <v>0</v>
      </c>
      <c r="H30" s="1348">
        <f t="shared" ref="H30:H31" si="9">E30-F30</f>
        <v>0</v>
      </c>
    </row>
    <row r="31" spans="2:8">
      <c r="B31" s="1346" t="s">
        <v>5377</v>
      </c>
      <c r="C31" s="1347">
        <v>0</v>
      </c>
      <c r="D31" s="1347">
        <v>0</v>
      </c>
      <c r="E31" s="1348">
        <f>C31+D31</f>
        <v>0</v>
      </c>
      <c r="F31" s="1347">
        <v>0</v>
      </c>
      <c r="G31" s="1347">
        <v>0</v>
      </c>
      <c r="H31" s="1348">
        <f t="shared" si="9"/>
        <v>0</v>
      </c>
    </row>
    <row r="32" spans="2:8" ht="24.75" thickBot="1">
      <c r="B32" s="1354" t="s">
        <v>5379</v>
      </c>
      <c r="C32" s="1355">
        <f>SUM(C9,C21)</f>
        <v>19299621.387999997</v>
      </c>
      <c r="D32" s="1355">
        <f t="shared" ref="D32:H32" si="10">SUM(D9,D21)</f>
        <v>0</v>
      </c>
      <c r="E32" s="1356">
        <f t="shared" si="10"/>
        <v>19299621.387999997</v>
      </c>
      <c r="F32" s="1355">
        <f t="shared" si="10"/>
        <v>4375817.34</v>
      </c>
      <c r="G32" s="1355">
        <f t="shared" si="10"/>
        <v>4375817.34</v>
      </c>
      <c r="H32" s="1356">
        <f t="shared" si="10"/>
        <v>14923804.047999997</v>
      </c>
    </row>
    <row r="98" spans="19:19" ht="15">
      <c r="S98" s="901"/>
    </row>
  </sheetData>
  <mergeCells count="8">
    <mergeCell ref="B7:B8"/>
    <mergeCell ref="C7:G7"/>
    <mergeCell ref="H7:H8"/>
    <mergeCell ref="B2:H2"/>
    <mergeCell ref="B3:H3"/>
    <mergeCell ref="B4:H4"/>
    <mergeCell ref="B5:H5"/>
    <mergeCell ref="B6:H6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2">
    <pageSetUpPr fitToPage="1"/>
  </sheetPr>
  <dimension ref="A1:J25"/>
  <sheetViews>
    <sheetView topLeftCell="A7" workbookViewId="0">
      <selection activeCell="D12" sqref="D12"/>
    </sheetView>
  </sheetViews>
  <sheetFormatPr baseColWidth="10" defaultRowHeight="15"/>
  <cols>
    <col min="1" max="1" width="2.28515625" style="354" customWidth="1"/>
    <col min="2" max="2" width="3.28515625" style="346" customWidth="1"/>
    <col min="3" max="3" width="52.5703125" style="346" customWidth="1"/>
    <col min="4" max="9" width="12.7109375" style="346" customWidth="1"/>
    <col min="10" max="10" width="2.7109375" style="354" customWidth="1"/>
    <col min="11" max="16384" width="11.42578125" style="361"/>
  </cols>
  <sheetData>
    <row r="1" spans="2:9" s="354" customFormat="1">
      <c r="B1" s="317"/>
      <c r="C1" s="317"/>
      <c r="D1" s="317"/>
      <c r="E1" s="317"/>
      <c r="F1" s="317"/>
      <c r="G1" s="317"/>
      <c r="H1" s="317"/>
      <c r="I1" s="317"/>
    </row>
    <row r="2" spans="2:9">
      <c r="B2" s="1734"/>
      <c r="C2" s="1735"/>
      <c r="D2" s="1735"/>
      <c r="E2" s="1735"/>
      <c r="F2" s="1735"/>
      <c r="G2" s="1735"/>
      <c r="H2" s="1735"/>
      <c r="I2" s="1736"/>
    </row>
    <row r="3" spans="2:9">
      <c r="B3" s="1737" t="s">
        <v>2992</v>
      </c>
      <c r="C3" s="1738"/>
      <c r="D3" s="1738"/>
      <c r="E3" s="1738"/>
      <c r="F3" s="1738"/>
      <c r="G3" s="1738"/>
      <c r="H3" s="1738"/>
      <c r="I3" s="1739"/>
    </row>
    <row r="4" spans="2:9">
      <c r="B4" s="1737" t="s">
        <v>818</v>
      </c>
      <c r="C4" s="1738"/>
      <c r="D4" s="1738"/>
      <c r="E4" s="1738"/>
      <c r="F4" s="1738"/>
      <c r="G4" s="1738"/>
      <c r="H4" s="1738"/>
      <c r="I4" s="1739"/>
    </row>
    <row r="5" spans="2:9">
      <c r="B5" s="1737" t="s">
        <v>819</v>
      </c>
      <c r="C5" s="1738"/>
      <c r="D5" s="1738"/>
      <c r="E5" s="1738"/>
      <c r="F5" s="1738"/>
      <c r="G5" s="1738"/>
      <c r="H5" s="1738"/>
      <c r="I5" s="1739"/>
    </row>
    <row r="6" spans="2:9">
      <c r="B6" s="1740" t="str">
        <f>+EA!C3</f>
        <v>Del 1 de enero al 30 de abril de 2021</v>
      </c>
      <c r="C6" s="1741"/>
      <c r="D6" s="1741"/>
      <c r="E6" s="1741"/>
      <c r="F6" s="1741"/>
      <c r="G6" s="1741"/>
      <c r="H6" s="1741"/>
      <c r="I6" s="1742"/>
    </row>
    <row r="7" spans="2:9" s="354" customFormat="1">
      <c r="B7" s="317"/>
      <c r="C7" s="452"/>
      <c r="D7" s="317"/>
      <c r="E7" s="317"/>
      <c r="F7" s="317"/>
      <c r="G7" s="317"/>
      <c r="H7" s="317"/>
      <c r="I7" s="317"/>
    </row>
    <row r="8" spans="2:9">
      <c r="B8" s="1819" t="s">
        <v>230</v>
      </c>
      <c r="C8" s="1819"/>
      <c r="D8" s="1820" t="s">
        <v>75</v>
      </c>
      <c r="E8" s="1820"/>
      <c r="F8" s="1820"/>
      <c r="G8" s="1820"/>
      <c r="H8" s="1820"/>
      <c r="I8" s="1820" t="s">
        <v>820</v>
      </c>
    </row>
    <row r="9" spans="2:9" ht="22.5">
      <c r="B9" s="1819"/>
      <c r="C9" s="1819"/>
      <c r="D9" s="653" t="s">
        <v>821</v>
      </c>
      <c r="E9" s="653" t="s">
        <v>822</v>
      </c>
      <c r="F9" s="653" t="s">
        <v>797</v>
      </c>
      <c r="G9" s="653" t="s">
        <v>236</v>
      </c>
      <c r="H9" s="653" t="s">
        <v>823</v>
      </c>
      <c r="I9" s="1820"/>
    </row>
    <row r="10" spans="2:9">
      <c r="B10" s="1819"/>
      <c r="C10" s="1819"/>
      <c r="D10" s="653">
        <v>1</v>
      </c>
      <c r="E10" s="653">
        <v>2</v>
      </c>
      <c r="F10" s="653" t="s">
        <v>824</v>
      </c>
      <c r="G10" s="653">
        <v>4</v>
      </c>
      <c r="H10" s="653">
        <v>5</v>
      </c>
      <c r="I10" s="653" t="s">
        <v>825</v>
      </c>
    </row>
    <row r="11" spans="2:9">
      <c r="B11" s="355"/>
      <c r="C11" s="356"/>
      <c r="D11" s="357"/>
      <c r="E11" s="357"/>
      <c r="F11" s="357"/>
      <c r="G11" s="357"/>
      <c r="H11" s="357"/>
      <c r="I11" s="357"/>
    </row>
    <row r="12" spans="2:9">
      <c r="B12" s="358"/>
      <c r="C12" s="359" t="s">
        <v>3125</v>
      </c>
      <c r="D12" s="360">
        <f>+COG!D32</f>
        <v>138260283.41649699</v>
      </c>
      <c r="E12" s="360">
        <f>+COG!E32</f>
        <v>0</v>
      </c>
      <c r="F12" s="360">
        <f>+D12+E12</f>
        <v>138260283.41649699</v>
      </c>
      <c r="G12" s="360">
        <f>+COG!G32</f>
        <v>15020502.310000001</v>
      </c>
      <c r="H12" s="360">
        <f>+COG!H32</f>
        <v>15020502.310000001</v>
      </c>
      <c r="I12" s="360">
        <f>+F12-G12</f>
        <v>123239781.10649699</v>
      </c>
    </row>
    <row r="13" spans="2:9">
      <c r="B13" s="358"/>
      <c r="C13" s="359"/>
      <c r="D13" s="360"/>
      <c r="E13" s="360"/>
      <c r="F13" s="360"/>
      <c r="G13" s="360"/>
      <c r="H13" s="360"/>
      <c r="I13" s="360">
        <f t="shared" ref="I13:I20" si="0">+F13-G13</f>
        <v>0</v>
      </c>
    </row>
    <row r="14" spans="2:9">
      <c r="B14" s="358"/>
      <c r="C14" s="359"/>
      <c r="D14" s="360"/>
      <c r="E14" s="360"/>
      <c r="F14" s="360"/>
      <c r="G14" s="360"/>
      <c r="H14" s="360"/>
      <c r="I14" s="360">
        <f t="shared" si="0"/>
        <v>0</v>
      </c>
    </row>
    <row r="15" spans="2:9">
      <c r="B15" s="358"/>
      <c r="C15" s="359"/>
      <c r="D15" s="360"/>
      <c r="E15" s="360"/>
      <c r="F15" s="360"/>
      <c r="G15" s="360"/>
      <c r="H15" s="360"/>
      <c r="I15" s="360">
        <f t="shared" si="0"/>
        <v>0</v>
      </c>
    </row>
    <row r="16" spans="2:9">
      <c r="B16" s="358"/>
      <c r="C16" s="359"/>
      <c r="D16" s="360"/>
      <c r="E16" s="360"/>
      <c r="F16" s="360"/>
      <c r="G16" s="360"/>
      <c r="H16" s="360"/>
      <c r="I16" s="360">
        <f t="shared" si="0"/>
        <v>0</v>
      </c>
    </row>
    <row r="17" spans="1:10">
      <c r="B17" s="358"/>
      <c r="C17" s="359"/>
      <c r="D17" s="360"/>
      <c r="E17" s="360"/>
      <c r="F17" s="360"/>
      <c r="G17" s="360"/>
      <c r="H17" s="360"/>
      <c r="I17" s="360">
        <f t="shared" si="0"/>
        <v>0</v>
      </c>
    </row>
    <row r="18" spans="1:10">
      <c r="B18" s="358"/>
      <c r="C18" s="359"/>
      <c r="D18" s="360"/>
      <c r="E18" s="360"/>
      <c r="F18" s="360"/>
      <c r="G18" s="360"/>
      <c r="H18" s="360"/>
      <c r="I18" s="360">
        <f t="shared" si="0"/>
        <v>0</v>
      </c>
    </row>
    <row r="19" spans="1:10">
      <c r="B19" s="358"/>
      <c r="C19" s="359"/>
      <c r="D19" s="360"/>
      <c r="E19" s="360"/>
      <c r="F19" s="360"/>
      <c r="G19" s="360"/>
      <c r="H19" s="360"/>
      <c r="I19" s="360">
        <f t="shared" si="0"/>
        <v>0</v>
      </c>
    </row>
    <row r="20" spans="1:10">
      <c r="B20" s="358"/>
      <c r="C20" s="359"/>
      <c r="D20" s="360"/>
      <c r="E20" s="360"/>
      <c r="F20" s="360"/>
      <c r="G20" s="360"/>
      <c r="H20" s="360"/>
      <c r="I20" s="360">
        <f t="shared" si="0"/>
        <v>0</v>
      </c>
    </row>
    <row r="21" spans="1:10">
      <c r="B21" s="362"/>
      <c r="C21" s="363"/>
      <c r="D21" s="364"/>
      <c r="E21" s="364"/>
      <c r="F21" s="364"/>
      <c r="G21" s="364"/>
      <c r="H21" s="364"/>
      <c r="I21" s="364"/>
    </row>
    <row r="22" spans="1:10" s="369" customFormat="1">
      <c r="A22" s="365"/>
      <c r="B22" s="366"/>
      <c r="C22" s="367" t="s">
        <v>826</v>
      </c>
      <c r="D22" s="368">
        <f>SUM(D12:D20)</f>
        <v>138260283.41649699</v>
      </c>
      <c r="E22" s="368">
        <f t="shared" ref="E22:I22" si="1">SUM(E12:E20)</f>
        <v>0</v>
      </c>
      <c r="F22" s="368">
        <f t="shared" si="1"/>
        <v>138260283.41649699</v>
      </c>
      <c r="G22" s="368">
        <f t="shared" si="1"/>
        <v>15020502.310000001</v>
      </c>
      <c r="H22" s="368">
        <f t="shared" si="1"/>
        <v>15020502.310000001</v>
      </c>
      <c r="I22" s="368">
        <f t="shared" si="1"/>
        <v>123239781.10649699</v>
      </c>
      <c r="J22" s="365"/>
    </row>
    <row r="23" spans="1:10">
      <c r="B23" s="317"/>
      <c r="C23" s="317"/>
      <c r="D23" s="317"/>
      <c r="E23" s="317"/>
      <c r="F23" s="317"/>
      <c r="G23" s="317"/>
      <c r="H23" s="317"/>
      <c r="I23" s="317"/>
    </row>
    <row r="24" spans="1:10">
      <c r="B24" s="317"/>
      <c r="C24" s="317"/>
      <c r="D24" s="317"/>
      <c r="E24" s="317"/>
      <c r="F24" s="317"/>
      <c r="G24" s="317"/>
      <c r="H24" s="317"/>
      <c r="I24" s="317"/>
    </row>
    <row r="25" spans="1:10">
      <c r="B25" s="317"/>
      <c r="C25" s="317"/>
      <c r="D25" s="317"/>
      <c r="E25" s="317"/>
      <c r="F25" s="317"/>
      <c r="G25" s="317"/>
      <c r="H25" s="317"/>
      <c r="I25" s="317"/>
    </row>
  </sheetData>
  <mergeCells count="8">
    <mergeCell ref="B2:I2"/>
    <mergeCell ref="B8:C10"/>
    <mergeCell ref="D8:H8"/>
    <mergeCell ref="I8:I9"/>
    <mergeCell ref="B3:I3"/>
    <mergeCell ref="B4:I4"/>
    <mergeCell ref="B5:I5"/>
    <mergeCell ref="B6:I6"/>
  </mergeCells>
  <pageMargins left="0.7" right="0.7" top="0.75" bottom="0.75" header="0.3" footer="0.3"/>
  <pageSetup scale="91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663901-FE15-421F-BC8B-2A910E594A53}">
  <dimension ref="B2:H20"/>
  <sheetViews>
    <sheetView workbookViewId="0">
      <selection activeCell="F22" sqref="F22"/>
    </sheetView>
  </sheetViews>
  <sheetFormatPr baseColWidth="10" defaultColWidth="11.5703125" defaultRowHeight="12"/>
  <cols>
    <col min="1" max="1" width="4.7109375" style="1104" customWidth="1"/>
    <col min="2" max="2" width="39.5703125" style="1104" customWidth="1"/>
    <col min="3" max="3" width="14.42578125" style="1104" bestFit="1" customWidth="1"/>
    <col min="4" max="4" width="13.5703125" style="1104" customWidth="1"/>
    <col min="5" max="8" width="14.42578125" style="1104" bestFit="1" customWidth="1"/>
    <col min="9" max="9" width="4.7109375" style="1104" customWidth="1"/>
    <col min="10" max="16384" width="11.5703125" style="1104"/>
  </cols>
  <sheetData>
    <row r="2" spans="2:8">
      <c r="B2" s="1761" t="s">
        <v>2992</v>
      </c>
      <c r="C2" s="1762"/>
      <c r="D2" s="1762"/>
      <c r="E2" s="1762"/>
      <c r="F2" s="1762"/>
      <c r="G2" s="1762"/>
      <c r="H2" s="1763"/>
    </row>
    <row r="3" spans="2:8">
      <c r="B3" s="1801" t="s">
        <v>4949</v>
      </c>
      <c r="C3" s="1802"/>
      <c r="D3" s="1802"/>
      <c r="E3" s="1802"/>
      <c r="F3" s="1802"/>
      <c r="G3" s="1802"/>
      <c r="H3" s="1828"/>
    </row>
    <row r="4" spans="2:8">
      <c r="B4" s="1801" t="s">
        <v>819</v>
      </c>
      <c r="C4" s="1802"/>
      <c r="D4" s="1802"/>
      <c r="E4" s="1802"/>
      <c r="F4" s="1802"/>
      <c r="G4" s="1802"/>
      <c r="H4" s="1828"/>
    </row>
    <row r="5" spans="2:8" ht="12.75" thickBot="1">
      <c r="B5" s="1831"/>
      <c r="C5" s="1832"/>
      <c r="D5" s="1832"/>
      <c r="E5" s="1832"/>
      <c r="F5" s="1832"/>
      <c r="G5" s="1832"/>
      <c r="H5" s="1833"/>
    </row>
    <row r="6" spans="2:8" ht="12.75" thickBot="1">
      <c r="B6" s="1810" t="s">
        <v>230</v>
      </c>
      <c r="C6" s="1812" t="s">
        <v>75</v>
      </c>
      <c r="D6" s="1813"/>
      <c r="E6" s="1813"/>
      <c r="F6" s="1813"/>
      <c r="G6" s="1814"/>
      <c r="H6" s="1815" t="s">
        <v>4950</v>
      </c>
    </row>
    <row r="7" spans="2:8" ht="24.75" thickBot="1">
      <c r="B7" s="1823"/>
      <c r="C7" s="1105" t="s">
        <v>4951</v>
      </c>
      <c r="D7" s="1105" t="s">
        <v>4952</v>
      </c>
      <c r="E7" s="1105" t="s">
        <v>4953</v>
      </c>
      <c r="F7" s="1105" t="s">
        <v>236</v>
      </c>
      <c r="G7" s="1105" t="s">
        <v>4954</v>
      </c>
      <c r="H7" s="1816"/>
    </row>
    <row r="8" spans="2:8" ht="12.75" thickBot="1">
      <c r="B8" s="1811"/>
      <c r="C8" s="1106">
        <v>1</v>
      </c>
      <c r="D8" s="1106">
        <v>2</v>
      </c>
      <c r="E8" s="1106" t="s">
        <v>4955</v>
      </c>
      <c r="F8" s="1106">
        <v>4</v>
      </c>
      <c r="G8" s="1106">
        <v>5</v>
      </c>
      <c r="H8" s="1107" t="s">
        <v>4956</v>
      </c>
    </row>
    <row r="9" spans="2:8">
      <c r="B9" s="1108"/>
      <c r="C9" s="1109"/>
      <c r="D9" s="1110"/>
      <c r="E9" s="1109"/>
      <c r="F9" s="1110"/>
      <c r="G9" s="1109"/>
      <c r="H9" s="1111"/>
    </row>
    <row r="10" spans="2:8">
      <c r="B10" s="1112" t="s">
        <v>3125</v>
      </c>
      <c r="C10" s="1113">
        <f>+CAdmon!D12</f>
        <v>138260283.41649699</v>
      </c>
      <c r="D10" s="1114">
        <f>+CAdmon!E12</f>
        <v>0</v>
      </c>
      <c r="E10" s="1115">
        <f>C10+D10</f>
        <v>138260283.41649699</v>
      </c>
      <c r="F10" s="1114">
        <f>+CAdmon!G12</f>
        <v>15020502.310000001</v>
      </c>
      <c r="G10" s="1113">
        <f>+CAdmon!H12</f>
        <v>15020502.310000001</v>
      </c>
      <c r="H10" s="1116">
        <f t="shared" ref="H10:H18" si="0">E10-F10</f>
        <v>123239781.10649699</v>
      </c>
    </row>
    <row r="11" spans="2:8">
      <c r="B11" s="1112"/>
      <c r="C11" s="1113">
        <v>0</v>
      </c>
      <c r="D11" s="1114">
        <v>0</v>
      </c>
      <c r="E11" s="1115">
        <f t="shared" ref="E11:E18" si="1">C11+D11</f>
        <v>0</v>
      </c>
      <c r="F11" s="1114">
        <v>0</v>
      </c>
      <c r="G11" s="1113">
        <v>0</v>
      </c>
      <c r="H11" s="1116">
        <f t="shared" si="0"/>
        <v>0</v>
      </c>
    </row>
    <row r="12" spans="2:8">
      <c r="B12" s="1112"/>
      <c r="C12" s="1113">
        <v>0</v>
      </c>
      <c r="D12" s="1114">
        <v>0</v>
      </c>
      <c r="E12" s="1115">
        <f t="shared" si="1"/>
        <v>0</v>
      </c>
      <c r="F12" s="1114">
        <v>0</v>
      </c>
      <c r="G12" s="1113">
        <v>0</v>
      </c>
      <c r="H12" s="1116">
        <f t="shared" si="0"/>
        <v>0</v>
      </c>
    </row>
    <row r="13" spans="2:8">
      <c r="B13" s="1112"/>
      <c r="C13" s="1113">
        <v>0</v>
      </c>
      <c r="D13" s="1114">
        <v>0</v>
      </c>
      <c r="E13" s="1115">
        <f t="shared" si="1"/>
        <v>0</v>
      </c>
      <c r="F13" s="1114">
        <v>0</v>
      </c>
      <c r="G13" s="1113">
        <v>0</v>
      </c>
      <c r="H13" s="1116">
        <f t="shared" si="0"/>
        <v>0</v>
      </c>
    </row>
    <row r="14" spans="2:8">
      <c r="B14" s="1117"/>
      <c r="C14" s="1113">
        <v>0</v>
      </c>
      <c r="D14" s="1114">
        <v>0</v>
      </c>
      <c r="E14" s="1115">
        <f t="shared" si="1"/>
        <v>0</v>
      </c>
      <c r="F14" s="1114">
        <v>0</v>
      </c>
      <c r="G14" s="1113">
        <v>0</v>
      </c>
      <c r="H14" s="1116">
        <f t="shared" si="0"/>
        <v>0</v>
      </c>
    </row>
    <row r="15" spans="2:8">
      <c r="B15" s="1117"/>
      <c r="C15" s="1113">
        <v>0</v>
      </c>
      <c r="D15" s="1114">
        <v>0</v>
      </c>
      <c r="E15" s="1115">
        <f t="shared" si="1"/>
        <v>0</v>
      </c>
      <c r="F15" s="1114">
        <v>0</v>
      </c>
      <c r="G15" s="1113">
        <v>0</v>
      </c>
      <c r="H15" s="1116">
        <f t="shared" si="0"/>
        <v>0</v>
      </c>
    </row>
    <row r="16" spans="2:8">
      <c r="B16" s="1117"/>
      <c r="C16" s="1113">
        <v>0</v>
      </c>
      <c r="D16" s="1114">
        <v>0</v>
      </c>
      <c r="E16" s="1115">
        <f t="shared" si="1"/>
        <v>0</v>
      </c>
      <c r="F16" s="1114">
        <v>0</v>
      </c>
      <c r="G16" s="1113">
        <v>0</v>
      </c>
      <c r="H16" s="1116">
        <f t="shared" si="0"/>
        <v>0</v>
      </c>
    </row>
    <row r="17" spans="2:8">
      <c r="B17" s="1117"/>
      <c r="C17" s="1113">
        <v>0</v>
      </c>
      <c r="D17" s="1114">
        <v>0</v>
      </c>
      <c r="E17" s="1115">
        <f t="shared" si="1"/>
        <v>0</v>
      </c>
      <c r="F17" s="1114">
        <v>0</v>
      </c>
      <c r="G17" s="1113">
        <v>0</v>
      </c>
      <c r="H17" s="1116">
        <f t="shared" si="0"/>
        <v>0</v>
      </c>
    </row>
    <row r="18" spans="2:8">
      <c r="B18" s="1117"/>
      <c r="C18" s="1113">
        <v>0</v>
      </c>
      <c r="D18" s="1114">
        <v>0</v>
      </c>
      <c r="E18" s="1115">
        <f t="shared" si="1"/>
        <v>0</v>
      </c>
      <c r="F18" s="1114">
        <v>0</v>
      </c>
      <c r="G18" s="1113">
        <v>0</v>
      </c>
      <c r="H18" s="1116">
        <f t="shared" si="0"/>
        <v>0</v>
      </c>
    </row>
    <row r="19" spans="2:8" ht="12.75" thickBot="1">
      <c r="B19" s="1112"/>
      <c r="C19" s="1115"/>
      <c r="D19" s="1118"/>
      <c r="E19" s="1115"/>
      <c r="F19" s="1118"/>
      <c r="G19" s="1115"/>
      <c r="H19" s="1116"/>
    </row>
    <row r="20" spans="2:8" ht="12.75" thickBot="1">
      <c r="B20" s="1119" t="s">
        <v>4957</v>
      </c>
      <c r="C20" s="1120">
        <f>SUM(C9:C19)</f>
        <v>138260283.41649699</v>
      </c>
      <c r="D20" s="1121">
        <f>SUM(D9:D19)</f>
        <v>0</v>
      </c>
      <c r="E20" s="1120">
        <f>SUM(C20,D20)</f>
        <v>138260283.41649699</v>
      </c>
      <c r="F20" s="1121">
        <f>SUM(F9:F19)</f>
        <v>15020502.310000001</v>
      </c>
      <c r="G20" s="1120">
        <f>SUM(G9:G19)</f>
        <v>15020502.310000001</v>
      </c>
      <c r="H20" s="1122">
        <f>E20-F20</f>
        <v>123239781.10649699</v>
      </c>
    </row>
  </sheetData>
  <mergeCells count="7">
    <mergeCell ref="B2:H2"/>
    <mergeCell ref="B3:H3"/>
    <mergeCell ref="B4:H4"/>
    <mergeCell ref="B5:H5"/>
    <mergeCell ref="B6:B8"/>
    <mergeCell ref="C6:G6"/>
    <mergeCell ref="H6:H7"/>
  </mergeCell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514369" r:id="rId4" name="Button 1">
              <controlPr defaultSize="0" print="0" autoFill="0" autoPict="0" macro="[1]!Agregar_fila">
                <anchor moveWithCells="1" sizeWithCells="1">
                  <from>
                    <xdr:col>9</xdr:col>
                    <xdr:colOff>57150</xdr:colOff>
                    <xdr:row>9</xdr:row>
                    <xdr:rowOff>85725</xdr:rowOff>
                  </from>
                  <to>
                    <xdr:col>11</xdr:col>
                    <xdr:colOff>57150</xdr:colOff>
                    <xdr:row>11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4370" r:id="rId5" name="Button 2">
              <controlPr defaultSize="0" print="0" autoFill="0" autoPict="0" macro="[1]!Borrar_fila">
                <anchor moveWithCells="1" sizeWithCells="1">
                  <from>
                    <xdr:col>9</xdr:col>
                    <xdr:colOff>57150</xdr:colOff>
                    <xdr:row>12</xdr:row>
                    <xdr:rowOff>142875</xdr:rowOff>
                  </from>
                  <to>
                    <xdr:col>11</xdr:col>
                    <xdr:colOff>57150</xdr:colOff>
                    <xdr:row>14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0905C3-96BC-47FB-8CDB-A09F3972D515}">
  <dimension ref="B1:H22"/>
  <sheetViews>
    <sheetView workbookViewId="0">
      <selection activeCell="E14" sqref="E14"/>
    </sheetView>
  </sheetViews>
  <sheetFormatPr baseColWidth="10" defaultColWidth="11.5703125" defaultRowHeight="12"/>
  <cols>
    <col min="1" max="1" width="4.7109375" style="1104" customWidth="1"/>
    <col min="2" max="2" width="51" style="1104" customWidth="1"/>
    <col min="3" max="3" width="14.42578125" style="1104" bestFit="1" customWidth="1"/>
    <col min="4" max="4" width="13.5703125" style="1104" customWidth="1"/>
    <col min="5" max="8" width="14.42578125" style="1104" bestFit="1" customWidth="1"/>
    <col min="9" max="9" width="4.7109375" style="1104" customWidth="1"/>
    <col min="10" max="16384" width="11.5703125" style="1104"/>
  </cols>
  <sheetData>
    <row r="1" spans="2:8" ht="12.75" thickBot="1"/>
    <row r="2" spans="2:8">
      <c r="B2" s="1798" t="s">
        <v>2992</v>
      </c>
      <c r="C2" s="1799"/>
      <c r="D2" s="1799"/>
      <c r="E2" s="1799"/>
      <c r="F2" s="1799"/>
      <c r="G2" s="1799"/>
      <c r="H2" s="1827"/>
    </row>
    <row r="3" spans="2:8">
      <c r="B3" s="1801" t="s">
        <v>4949</v>
      </c>
      <c r="C3" s="1802"/>
      <c r="D3" s="1802"/>
      <c r="E3" s="1802"/>
      <c r="F3" s="1802"/>
      <c r="G3" s="1802"/>
      <c r="H3" s="1828"/>
    </row>
    <row r="4" spans="2:8">
      <c r="B4" s="1801" t="s">
        <v>819</v>
      </c>
      <c r="C4" s="1802"/>
      <c r="D4" s="1802"/>
      <c r="E4" s="1802"/>
      <c r="F4" s="1802"/>
      <c r="G4" s="1802"/>
      <c r="H4" s="1828"/>
    </row>
    <row r="5" spans="2:8" ht="12.75" thickBot="1">
      <c r="B5" s="1831"/>
      <c r="C5" s="1832"/>
      <c r="D5" s="1832"/>
      <c r="E5" s="1832"/>
      <c r="F5" s="1832"/>
      <c r="G5" s="1832"/>
      <c r="H5" s="1833"/>
    </row>
    <row r="6" spans="2:8" ht="12.75" thickBot="1">
      <c r="B6" s="1810" t="s">
        <v>230</v>
      </c>
      <c r="C6" s="1812" t="s">
        <v>75</v>
      </c>
      <c r="D6" s="1813"/>
      <c r="E6" s="1813"/>
      <c r="F6" s="1813"/>
      <c r="G6" s="1814"/>
      <c r="H6" s="1815" t="s">
        <v>4950</v>
      </c>
    </row>
    <row r="7" spans="2:8" ht="24.75" thickBot="1">
      <c r="B7" s="1823"/>
      <c r="C7" s="1105" t="s">
        <v>4951</v>
      </c>
      <c r="D7" s="1105" t="s">
        <v>4952</v>
      </c>
      <c r="E7" s="1105" t="s">
        <v>4953</v>
      </c>
      <c r="F7" s="1105" t="s">
        <v>236</v>
      </c>
      <c r="G7" s="1105" t="s">
        <v>4954</v>
      </c>
      <c r="H7" s="1816"/>
    </row>
    <row r="8" spans="2:8" ht="12.75" thickBot="1">
      <c r="B8" s="1811"/>
      <c r="C8" s="1106">
        <v>1</v>
      </c>
      <c r="D8" s="1106">
        <v>2</v>
      </c>
      <c r="E8" s="1106" t="s">
        <v>4958</v>
      </c>
      <c r="F8" s="1106">
        <v>4</v>
      </c>
      <c r="G8" s="1106">
        <v>5</v>
      </c>
      <c r="H8" s="1107" t="s">
        <v>4956</v>
      </c>
    </row>
    <row r="9" spans="2:8">
      <c r="B9" s="1123"/>
      <c r="C9" s="1109"/>
      <c r="D9" s="1110"/>
      <c r="E9" s="1109"/>
      <c r="F9" s="1110"/>
      <c r="G9" s="1109"/>
      <c r="H9" s="1111"/>
    </row>
    <row r="10" spans="2:8" ht="24">
      <c r="B10" s="1124" t="s">
        <v>4959</v>
      </c>
      <c r="C10" s="1113">
        <f>+CAdmon!D12</f>
        <v>138260283.41649699</v>
      </c>
      <c r="D10" s="1114">
        <f>+CAdmon!E12</f>
        <v>0</v>
      </c>
      <c r="E10" s="1115">
        <f>C10+D10</f>
        <v>138260283.41649699</v>
      </c>
      <c r="F10" s="1114">
        <f>+CAdmon!G12</f>
        <v>15020502.310000001</v>
      </c>
      <c r="G10" s="1113">
        <f>+CAdmon!H12</f>
        <v>15020502.310000001</v>
      </c>
      <c r="H10" s="1116">
        <f>E10-F10</f>
        <v>123239781.10649699</v>
      </c>
    </row>
    <row r="11" spans="2:8">
      <c r="B11" s="1125"/>
      <c r="C11" s="1115"/>
      <c r="D11" s="1118"/>
      <c r="E11" s="1115"/>
      <c r="F11" s="1118"/>
      <c r="G11" s="1115"/>
      <c r="H11" s="1116"/>
    </row>
    <row r="12" spans="2:8">
      <c r="B12" s="1125" t="s">
        <v>4960</v>
      </c>
      <c r="C12" s="1113">
        <v>0</v>
      </c>
      <c r="D12" s="1114">
        <v>0</v>
      </c>
      <c r="E12" s="1115">
        <f>C12+D12</f>
        <v>0</v>
      </c>
      <c r="F12" s="1114">
        <v>0</v>
      </c>
      <c r="G12" s="1113">
        <v>0</v>
      </c>
      <c r="H12" s="1116">
        <f>E12-F12</f>
        <v>0</v>
      </c>
    </row>
    <row r="13" spans="2:8">
      <c r="B13" s="1125"/>
      <c r="C13" s="1115"/>
      <c r="D13" s="1118"/>
      <c r="E13" s="1115"/>
      <c r="F13" s="1118"/>
      <c r="G13" s="1115"/>
      <c r="H13" s="1116"/>
    </row>
    <row r="14" spans="2:8" ht="24">
      <c r="B14" s="1124" t="s">
        <v>4961</v>
      </c>
      <c r="C14" s="1113">
        <v>0</v>
      </c>
      <c r="D14" s="1114">
        <v>0</v>
      </c>
      <c r="E14" s="1115">
        <f>C14+D14</f>
        <v>0</v>
      </c>
      <c r="F14" s="1114">
        <v>0</v>
      </c>
      <c r="G14" s="1113">
        <v>0</v>
      </c>
      <c r="H14" s="1116">
        <f>E14-F14</f>
        <v>0</v>
      </c>
    </row>
    <row r="15" spans="2:8">
      <c r="B15" s="1125"/>
      <c r="C15" s="1115"/>
      <c r="D15" s="1118"/>
      <c r="E15" s="1115"/>
      <c r="F15" s="1118"/>
      <c r="G15" s="1115"/>
      <c r="H15" s="1116"/>
    </row>
    <row r="16" spans="2:8" ht="24">
      <c r="B16" s="1124" t="s">
        <v>4962</v>
      </c>
      <c r="C16" s="1113">
        <v>0</v>
      </c>
      <c r="D16" s="1114">
        <v>0</v>
      </c>
      <c r="E16" s="1115">
        <f>C16+D16</f>
        <v>0</v>
      </c>
      <c r="F16" s="1114">
        <v>0</v>
      </c>
      <c r="G16" s="1113">
        <v>0</v>
      </c>
      <c r="H16" s="1116">
        <f>E16-F16</f>
        <v>0</v>
      </c>
    </row>
    <row r="17" spans="2:8">
      <c r="B17" s="1125"/>
      <c r="C17" s="1115"/>
      <c r="D17" s="1118"/>
      <c r="E17" s="1115"/>
      <c r="F17" s="1118"/>
      <c r="G17" s="1115"/>
      <c r="H17" s="1116"/>
    </row>
    <row r="18" spans="2:8" ht="24">
      <c r="B18" s="1124" t="s">
        <v>4963</v>
      </c>
      <c r="C18" s="1113">
        <v>0</v>
      </c>
      <c r="D18" s="1114">
        <v>0</v>
      </c>
      <c r="E18" s="1115">
        <f>C18+D18</f>
        <v>0</v>
      </c>
      <c r="F18" s="1114">
        <v>0</v>
      </c>
      <c r="G18" s="1113">
        <v>0</v>
      </c>
      <c r="H18" s="1116">
        <f>E18-F18</f>
        <v>0</v>
      </c>
    </row>
    <row r="19" spans="2:8">
      <c r="B19" s="1125"/>
      <c r="C19" s="1115"/>
      <c r="D19" s="1118"/>
      <c r="E19" s="1115"/>
      <c r="F19" s="1118"/>
      <c r="G19" s="1115"/>
      <c r="H19" s="1116"/>
    </row>
    <row r="20" spans="2:8" ht="24">
      <c r="B20" s="1124" t="s">
        <v>4964</v>
      </c>
      <c r="C20" s="1113">
        <v>0</v>
      </c>
      <c r="D20" s="1114">
        <v>0</v>
      </c>
      <c r="E20" s="1115">
        <f>C20+D20</f>
        <v>0</v>
      </c>
      <c r="F20" s="1114">
        <v>0</v>
      </c>
      <c r="G20" s="1113">
        <v>0</v>
      </c>
      <c r="H20" s="1116">
        <f>E20-F20</f>
        <v>0</v>
      </c>
    </row>
    <row r="21" spans="2:8" ht="12.75" thickBot="1">
      <c r="B21" s="1126"/>
      <c r="C21" s="1115"/>
      <c r="D21" s="1118"/>
      <c r="E21" s="1115"/>
      <c r="F21" s="1118"/>
      <c r="G21" s="1115"/>
      <c r="H21" s="1116"/>
    </row>
    <row r="22" spans="2:8" ht="12.75" thickBot="1">
      <c r="B22" s="1127" t="s">
        <v>4957</v>
      </c>
      <c r="C22" s="1120">
        <f>SUM(C10:C20)</f>
        <v>138260283.41649699</v>
      </c>
      <c r="D22" s="1121">
        <f>SUM(D10:D20)</f>
        <v>0</v>
      </c>
      <c r="E22" s="1120">
        <f>C22+D22</f>
        <v>138260283.41649699</v>
      </c>
      <c r="F22" s="1121">
        <f>SUM(F10:F20)</f>
        <v>15020502.310000001</v>
      </c>
      <c r="G22" s="1120">
        <f>SUM(G10:G20)</f>
        <v>15020502.310000001</v>
      </c>
      <c r="H22" s="1122">
        <f>E22-F22</f>
        <v>123239781.10649699</v>
      </c>
    </row>
  </sheetData>
  <mergeCells count="7">
    <mergeCell ref="B2:H2"/>
    <mergeCell ref="B3:H3"/>
    <mergeCell ref="B4:H4"/>
    <mergeCell ref="B5:H5"/>
    <mergeCell ref="B6:B8"/>
    <mergeCell ref="C6:G6"/>
    <mergeCell ref="H6:H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pageSetUpPr fitToPage="1"/>
  </sheetPr>
  <dimension ref="A1:AC202"/>
  <sheetViews>
    <sheetView workbookViewId="0">
      <pane xSplit="3" ySplit="9" topLeftCell="P180" activePane="bottomRight" state="frozen"/>
      <selection pane="topRight" activeCell="D1" sqref="D1"/>
      <selection pane="bottomLeft" activeCell="A10" sqref="A10"/>
      <selection pane="bottomRight" activeCell="R179" sqref="R179"/>
    </sheetView>
  </sheetViews>
  <sheetFormatPr baseColWidth="10" defaultRowHeight="12.75"/>
  <cols>
    <col min="1" max="1" width="9.7109375" style="73" customWidth="1"/>
    <col min="2" max="2" width="9" style="73" customWidth="1"/>
    <col min="3" max="3" width="58" style="73" customWidth="1"/>
    <col min="4" max="9" width="13" style="73" hidden="1" customWidth="1"/>
    <col min="10" max="13" width="12.85546875" style="73" hidden="1" customWidth="1"/>
    <col min="14" max="14" width="14" style="73" hidden="1" customWidth="1"/>
    <col min="15" max="15" width="11.42578125" style="73" hidden="1" customWidth="1"/>
    <col min="16" max="16" width="15.7109375" style="73" customWidth="1"/>
    <col min="17" max="17" width="16" style="73" customWidth="1"/>
    <col min="18" max="18" width="13" style="73" customWidth="1"/>
    <col min="19" max="19" width="14.5703125" style="73" customWidth="1"/>
    <col min="20" max="20" width="3" style="73" customWidth="1"/>
    <col min="21" max="21" width="11.42578125" style="73" customWidth="1"/>
    <col min="22" max="22" width="13.7109375" style="73" customWidth="1"/>
    <col min="23" max="27" width="11.42578125" style="73" customWidth="1"/>
    <col min="28" max="28" width="13.85546875" style="73" customWidth="1"/>
    <col min="29" max="16384" width="11.42578125" style="73"/>
  </cols>
  <sheetData>
    <row r="1" spans="1:29">
      <c r="P1" s="13"/>
    </row>
    <row r="2" spans="1:29" ht="15.75">
      <c r="A2" s="1553" t="s">
        <v>2992</v>
      </c>
      <c r="B2" s="1553"/>
      <c r="C2" s="1553"/>
      <c r="D2" s="1553"/>
      <c r="E2" s="1553"/>
      <c r="F2" s="1553"/>
      <c r="G2" s="1553"/>
      <c r="H2" s="1553"/>
      <c r="I2" s="1553"/>
      <c r="J2" s="1553"/>
      <c r="K2" s="1553"/>
      <c r="L2" s="1553"/>
      <c r="M2" s="1553"/>
      <c r="N2" s="1553"/>
      <c r="O2" s="1553"/>
      <c r="P2" s="1553"/>
      <c r="Q2" s="1553"/>
      <c r="R2" s="1553"/>
      <c r="S2" s="1553"/>
    </row>
    <row r="3" spans="1:29" ht="15">
      <c r="A3" s="1552" t="s">
        <v>1306</v>
      </c>
      <c r="B3" s="1552"/>
      <c r="C3" s="1552"/>
      <c r="D3" s="1552"/>
      <c r="E3" s="1552"/>
      <c r="F3" s="1552"/>
      <c r="G3" s="1552"/>
      <c r="H3" s="1552"/>
      <c r="I3" s="1552"/>
      <c r="J3" s="1552"/>
      <c r="K3" s="1552"/>
      <c r="L3" s="1552"/>
      <c r="M3" s="1552"/>
      <c r="N3" s="1552"/>
      <c r="O3" s="1552"/>
      <c r="P3" s="1552"/>
      <c r="Q3" s="1552"/>
      <c r="R3" s="1552"/>
      <c r="S3" s="1552"/>
    </row>
    <row r="4" spans="1:29" ht="15">
      <c r="A4" s="1552" t="s">
        <v>6755</v>
      </c>
      <c r="B4" s="1552"/>
      <c r="C4" s="1552"/>
      <c r="D4" s="1552"/>
      <c r="E4" s="1552"/>
      <c r="F4" s="1552"/>
      <c r="G4" s="1552"/>
      <c r="H4" s="1552"/>
      <c r="I4" s="1552"/>
      <c r="J4" s="1552"/>
      <c r="K4" s="1552"/>
      <c r="L4" s="1552"/>
      <c r="M4" s="1552"/>
      <c r="N4" s="1552"/>
      <c r="O4" s="1552"/>
      <c r="P4" s="1552"/>
      <c r="Q4" s="1552"/>
      <c r="R4" s="1552"/>
      <c r="S4" s="1552"/>
    </row>
    <row r="5" spans="1:29">
      <c r="P5" s="13"/>
    </row>
    <row r="6" spans="1:29">
      <c r="A6" s="607" t="s">
        <v>143</v>
      </c>
      <c r="B6" s="607" t="s">
        <v>106</v>
      </c>
      <c r="C6" s="608" t="s">
        <v>144</v>
      </c>
      <c r="D6" s="607" t="s">
        <v>51</v>
      </c>
      <c r="E6" s="607" t="s">
        <v>52</v>
      </c>
      <c r="F6" s="607" t="s">
        <v>53</v>
      </c>
      <c r="G6" s="607" t="s">
        <v>54</v>
      </c>
      <c r="H6" s="607" t="s">
        <v>55</v>
      </c>
      <c r="I6" s="607" t="s">
        <v>56</v>
      </c>
      <c r="J6" s="607" t="s">
        <v>57</v>
      </c>
      <c r="K6" s="607" t="s">
        <v>58</v>
      </c>
      <c r="L6" s="607" t="s">
        <v>59</v>
      </c>
      <c r="M6" s="607" t="s">
        <v>60</v>
      </c>
      <c r="N6" s="607" t="s">
        <v>61</v>
      </c>
      <c r="O6" s="607" t="s">
        <v>62</v>
      </c>
      <c r="P6" s="607" t="s">
        <v>5931</v>
      </c>
      <c r="Q6" s="607" t="s">
        <v>25</v>
      </c>
      <c r="R6" s="609" t="s">
        <v>236</v>
      </c>
      <c r="S6" s="607" t="s">
        <v>63</v>
      </c>
    </row>
    <row r="8" spans="1:29" ht="15">
      <c r="A8" s="1557" t="s">
        <v>233</v>
      </c>
      <c r="B8" s="1558"/>
      <c r="C8" s="1558"/>
      <c r="D8" s="1558"/>
      <c r="E8" s="1558"/>
      <c r="F8" s="1558"/>
      <c r="G8" s="1558"/>
      <c r="H8" s="1558"/>
      <c r="I8" s="1558"/>
      <c r="J8" s="1558"/>
      <c r="K8" s="1558"/>
      <c r="L8" s="1558"/>
      <c r="M8" s="1558"/>
      <c r="N8" s="1558"/>
      <c r="O8" s="1558"/>
      <c r="P8" s="1558"/>
      <c r="Q8" s="1558"/>
      <c r="R8" s="1558"/>
      <c r="S8" s="1558"/>
    </row>
    <row r="9" spans="1:29">
      <c r="A9" s="111" t="s">
        <v>145</v>
      </c>
      <c r="B9" s="116"/>
      <c r="C9" s="113"/>
      <c r="D9" s="117">
        <f t="shared" ref="D9:S9" si="0">SUM(D10:D18)</f>
        <v>1442314.1446666664</v>
      </c>
      <c r="E9" s="117">
        <f t="shared" si="0"/>
        <v>1442314.1446666664</v>
      </c>
      <c r="F9" s="117">
        <f t="shared" si="0"/>
        <v>1442314.1446666664</v>
      </c>
      <c r="G9" s="117">
        <f t="shared" si="0"/>
        <v>1442314.1446666664</v>
      </c>
      <c r="H9" s="117">
        <f t="shared" si="0"/>
        <v>1442314.1446666664</v>
      </c>
      <c r="I9" s="117">
        <f t="shared" si="0"/>
        <v>1531875.8196666664</v>
      </c>
      <c r="J9" s="117">
        <f t="shared" si="0"/>
        <v>1442314.1446666664</v>
      </c>
      <c r="K9" s="117">
        <f t="shared" si="0"/>
        <v>1442314.1446666664</v>
      </c>
      <c r="L9" s="117">
        <f t="shared" si="0"/>
        <v>1442314.1446666664</v>
      </c>
      <c r="M9" s="117">
        <f t="shared" si="0"/>
        <v>1442314.1446666664</v>
      </c>
      <c r="N9" s="117">
        <f t="shared" si="0"/>
        <v>1442314.1446666664</v>
      </c>
      <c r="O9" s="117">
        <f t="shared" si="0"/>
        <v>3344604.1216666661</v>
      </c>
      <c r="P9" s="117">
        <f t="shared" si="0"/>
        <v>19299621.387999997</v>
      </c>
      <c r="Q9" s="120">
        <f t="shared" si="0"/>
        <v>5769256.5786666656</v>
      </c>
      <c r="R9" s="120">
        <f t="shared" si="0"/>
        <v>4375817.34</v>
      </c>
      <c r="S9" s="120">
        <f t="shared" si="0"/>
        <v>1393439.238666666</v>
      </c>
    </row>
    <row r="10" spans="1:29">
      <c r="A10" s="108">
        <v>5111</v>
      </c>
      <c r="B10" s="108">
        <v>11301</v>
      </c>
      <c r="C10" s="109" t="s">
        <v>107</v>
      </c>
      <c r="D10" s="93">
        <v>1074740.0999999999</v>
      </c>
      <c r="E10" s="93">
        <v>1074740.0999999999</v>
      </c>
      <c r="F10" s="93">
        <v>1074740.0999999999</v>
      </c>
      <c r="G10" s="93">
        <v>1074740.0999999999</v>
      </c>
      <c r="H10" s="93">
        <v>1074740.0999999999</v>
      </c>
      <c r="I10" s="93">
        <v>1074740.0999999999</v>
      </c>
      <c r="J10" s="93">
        <v>1074740.0999999999</v>
      </c>
      <c r="K10" s="93">
        <v>1074740.0999999999</v>
      </c>
      <c r="L10" s="93">
        <v>1074740.0999999999</v>
      </c>
      <c r="M10" s="93">
        <v>1074740.0999999999</v>
      </c>
      <c r="N10" s="93">
        <v>1074740.0999999999</v>
      </c>
      <c r="O10" s="93">
        <v>1074740.0999999999</v>
      </c>
      <c r="P10" s="93">
        <f>SUM(D10:O10)</f>
        <v>12896881.199999997</v>
      </c>
      <c r="Q10" s="93">
        <f>SUM(D10:G10)</f>
        <v>4298960.3999999994</v>
      </c>
      <c r="R10" s="93">
        <v>3341742</v>
      </c>
      <c r="S10" s="559">
        <f>+Q10-R10</f>
        <v>957218.39999999944</v>
      </c>
      <c r="U10" s="125"/>
      <c r="V10" s="125"/>
      <c r="W10" s="125"/>
      <c r="X10" s="125"/>
      <c r="Y10" s="125"/>
      <c r="Z10" s="125"/>
      <c r="AA10" s="125"/>
      <c r="AB10" s="550"/>
      <c r="AC10" s="127"/>
    </row>
    <row r="11" spans="1:29">
      <c r="A11" s="89">
        <v>5113</v>
      </c>
      <c r="B11" s="89">
        <v>13201</v>
      </c>
      <c r="C11" s="90" t="s">
        <v>108</v>
      </c>
      <c r="D11" s="93"/>
      <c r="E11" s="93"/>
      <c r="F11" s="93"/>
      <c r="G11" s="93"/>
      <c r="H11" s="93"/>
      <c r="I11" s="93"/>
      <c r="J11" s="93"/>
      <c r="K11" s="93"/>
      <c r="L11" s="93"/>
      <c r="M11" s="93"/>
      <c r="N11" s="93"/>
      <c r="O11" s="93">
        <v>1812728.3020000001</v>
      </c>
      <c r="P11" s="93">
        <f t="shared" ref="P11:P18" si="1">SUM(D11:O11)</f>
        <v>1812728.3020000001</v>
      </c>
      <c r="Q11" s="93">
        <f t="shared" ref="Q11:Q18" si="2">SUM(D11:G11)</f>
        <v>0</v>
      </c>
      <c r="R11" s="93"/>
      <c r="S11" s="93">
        <f t="shared" ref="S11:S12" si="3">+Q11-R11</f>
        <v>0</v>
      </c>
      <c r="U11" s="125"/>
      <c r="V11" s="125"/>
      <c r="W11" s="125"/>
      <c r="X11" s="125"/>
      <c r="Y11" s="125"/>
      <c r="Z11" s="125"/>
      <c r="AA11" s="125"/>
      <c r="AB11" s="550"/>
      <c r="AC11" s="127"/>
    </row>
    <row r="12" spans="1:29">
      <c r="A12" s="89">
        <v>5113</v>
      </c>
      <c r="B12" s="89">
        <v>13202</v>
      </c>
      <c r="C12" s="90" t="s">
        <v>109</v>
      </c>
      <c r="D12" s="93"/>
      <c r="E12" s="93"/>
      <c r="F12" s="93"/>
      <c r="G12" s="93"/>
      <c r="H12" s="93"/>
      <c r="I12" s="93">
        <v>89561.674999999974</v>
      </c>
      <c r="J12" s="93"/>
      <c r="K12" s="93"/>
      <c r="L12" s="93"/>
      <c r="M12" s="93"/>
      <c r="N12" s="93"/>
      <c r="O12" s="93">
        <v>89561.674999999974</v>
      </c>
      <c r="P12" s="93">
        <f t="shared" si="1"/>
        <v>179123.34999999995</v>
      </c>
      <c r="Q12" s="93">
        <f t="shared" si="2"/>
        <v>0</v>
      </c>
      <c r="R12" s="93"/>
      <c r="S12" s="93">
        <f t="shared" si="3"/>
        <v>0</v>
      </c>
      <c r="U12" s="125"/>
      <c r="V12" s="125"/>
      <c r="W12" s="125"/>
      <c r="X12" s="125"/>
      <c r="Y12" s="125"/>
      <c r="Z12" s="125"/>
      <c r="AA12" s="125"/>
      <c r="AB12" s="550"/>
      <c r="AC12" s="127"/>
    </row>
    <row r="13" spans="1:29">
      <c r="A13" s="89">
        <v>5113</v>
      </c>
      <c r="B13" s="89">
        <v>13301</v>
      </c>
      <c r="C13" s="90" t="s">
        <v>110</v>
      </c>
      <c r="D13" s="93">
        <v>9198.5249999999996</v>
      </c>
      <c r="E13" s="93">
        <v>9198.5249999999996</v>
      </c>
      <c r="F13" s="93">
        <v>9198.5249999999996</v>
      </c>
      <c r="G13" s="93">
        <v>9198.5249999999996</v>
      </c>
      <c r="H13" s="93">
        <v>9198.5249999999996</v>
      </c>
      <c r="I13" s="93">
        <v>9198.5249999999996</v>
      </c>
      <c r="J13" s="93">
        <v>9198.5249999999996</v>
      </c>
      <c r="K13" s="93">
        <v>9198.5249999999996</v>
      </c>
      <c r="L13" s="93">
        <v>9198.5249999999996</v>
      </c>
      <c r="M13" s="93">
        <v>9198.5249999999996</v>
      </c>
      <c r="N13" s="93">
        <v>9198.5249999999996</v>
      </c>
      <c r="O13" s="93">
        <v>9198.5249999999996</v>
      </c>
      <c r="P13" s="93">
        <f t="shared" si="1"/>
        <v>110382.29999999997</v>
      </c>
      <c r="Q13" s="93">
        <f t="shared" si="2"/>
        <v>36794.1</v>
      </c>
      <c r="R13" s="93">
        <v>15375.2</v>
      </c>
      <c r="S13" s="559">
        <f t="shared" ref="S13" si="4">+Q13-R13</f>
        <v>21418.899999999998</v>
      </c>
      <c r="U13" s="125"/>
      <c r="V13" s="125"/>
      <c r="W13" s="125"/>
      <c r="X13" s="125"/>
      <c r="Y13" s="125"/>
      <c r="Z13" s="125"/>
      <c r="AA13" s="125"/>
      <c r="AB13" s="550"/>
      <c r="AC13" s="127"/>
    </row>
    <row r="14" spans="1:29">
      <c r="A14" s="89">
        <v>5114</v>
      </c>
      <c r="B14" s="89">
        <v>14102</v>
      </c>
      <c r="C14" s="90" t="s">
        <v>209</v>
      </c>
      <c r="D14" s="93">
        <v>25000</v>
      </c>
      <c r="E14" s="93">
        <v>25000</v>
      </c>
      <c r="F14" s="93">
        <v>25000</v>
      </c>
      <c r="G14" s="93">
        <v>25000</v>
      </c>
      <c r="H14" s="93">
        <v>25000</v>
      </c>
      <c r="I14" s="93">
        <v>25000</v>
      </c>
      <c r="J14" s="93">
        <v>25000</v>
      </c>
      <c r="K14" s="93">
        <v>25000</v>
      </c>
      <c r="L14" s="93">
        <v>25000</v>
      </c>
      <c r="M14" s="93">
        <v>25000</v>
      </c>
      <c r="N14" s="93">
        <v>25000</v>
      </c>
      <c r="O14" s="93">
        <v>25000</v>
      </c>
      <c r="P14" s="93">
        <f t="shared" si="1"/>
        <v>300000</v>
      </c>
      <c r="Q14" s="93">
        <f t="shared" si="2"/>
        <v>100000</v>
      </c>
      <c r="R14" s="93"/>
      <c r="S14" s="559">
        <f t="shared" ref="S14:S18" si="5">+Q14-R14</f>
        <v>100000</v>
      </c>
      <c r="U14" s="125"/>
      <c r="V14" s="125"/>
      <c r="W14" s="125"/>
      <c r="X14" s="125"/>
      <c r="Y14" s="125"/>
      <c r="Z14" s="125"/>
      <c r="AA14" s="125"/>
    </row>
    <row r="15" spans="1:29">
      <c r="A15" s="89">
        <v>5114</v>
      </c>
      <c r="B15" s="89">
        <v>14301</v>
      </c>
      <c r="C15" s="90" t="s">
        <v>1849</v>
      </c>
      <c r="D15" s="93">
        <v>182705.81700000001</v>
      </c>
      <c r="E15" s="93">
        <v>182705.81700000001</v>
      </c>
      <c r="F15" s="93">
        <v>182705.81700000001</v>
      </c>
      <c r="G15" s="93">
        <v>182705.81700000001</v>
      </c>
      <c r="H15" s="93">
        <v>182705.81700000001</v>
      </c>
      <c r="I15" s="93">
        <v>182705.81700000001</v>
      </c>
      <c r="J15" s="93">
        <v>182705.81700000001</v>
      </c>
      <c r="K15" s="93">
        <v>182705.81700000001</v>
      </c>
      <c r="L15" s="93">
        <v>182705.81700000001</v>
      </c>
      <c r="M15" s="93">
        <v>182705.81700000001</v>
      </c>
      <c r="N15" s="93">
        <v>182705.81700000001</v>
      </c>
      <c r="O15" s="93">
        <v>182705.81700000001</v>
      </c>
      <c r="P15" s="93">
        <f t="shared" si="1"/>
        <v>2192469.804</v>
      </c>
      <c r="Q15" s="93">
        <f t="shared" si="2"/>
        <v>730823.26800000004</v>
      </c>
      <c r="R15" s="93">
        <v>496792.54</v>
      </c>
      <c r="S15" s="559">
        <f t="shared" si="5"/>
        <v>234030.72800000006</v>
      </c>
      <c r="U15" s="125"/>
      <c r="V15" s="125"/>
      <c r="W15" s="125"/>
      <c r="X15" s="125"/>
      <c r="Y15" s="125"/>
      <c r="Z15" s="125"/>
      <c r="AA15" s="125"/>
      <c r="AB15" s="550"/>
      <c r="AC15" s="127"/>
    </row>
    <row r="16" spans="1:29">
      <c r="A16" s="89">
        <v>5114</v>
      </c>
      <c r="B16" s="89">
        <v>14401</v>
      </c>
      <c r="C16" s="90" t="s">
        <v>111</v>
      </c>
      <c r="D16" s="93">
        <v>5083.333333333333</v>
      </c>
      <c r="E16" s="93">
        <v>5083.333333333333</v>
      </c>
      <c r="F16" s="93">
        <v>5083.333333333333</v>
      </c>
      <c r="G16" s="93">
        <v>5083.333333333333</v>
      </c>
      <c r="H16" s="93">
        <v>5083.333333333333</v>
      </c>
      <c r="I16" s="93">
        <v>5083.333333333333</v>
      </c>
      <c r="J16" s="93">
        <v>5083.333333333333</v>
      </c>
      <c r="K16" s="93">
        <v>5083.333333333333</v>
      </c>
      <c r="L16" s="93">
        <v>5083.333333333333</v>
      </c>
      <c r="M16" s="93">
        <v>5083.333333333333</v>
      </c>
      <c r="N16" s="93">
        <v>5083.333333333333</v>
      </c>
      <c r="O16" s="93">
        <v>5083.333333333333</v>
      </c>
      <c r="P16" s="93">
        <f t="shared" si="1"/>
        <v>61000.000000000007</v>
      </c>
      <c r="Q16" s="93">
        <f t="shared" si="2"/>
        <v>20333.333333333332</v>
      </c>
      <c r="R16" s="93">
        <v>16407.48</v>
      </c>
      <c r="S16" s="559">
        <f t="shared" si="5"/>
        <v>3925.8533333333326</v>
      </c>
    </row>
    <row r="17" spans="1:29">
      <c r="A17" s="106">
        <v>5115</v>
      </c>
      <c r="B17" s="106">
        <v>15101</v>
      </c>
      <c r="C17" s="107" t="s">
        <v>112</v>
      </c>
      <c r="D17" s="93">
        <v>80339.564333333328</v>
      </c>
      <c r="E17" s="93">
        <v>80339.564333333328</v>
      </c>
      <c r="F17" s="93">
        <v>80339.564333333328</v>
      </c>
      <c r="G17" s="93">
        <v>80339.564333333328</v>
      </c>
      <c r="H17" s="93">
        <v>80339.564333333328</v>
      </c>
      <c r="I17" s="93">
        <v>80339.564333333328</v>
      </c>
      <c r="J17" s="93">
        <v>80339.564333333328</v>
      </c>
      <c r="K17" s="93">
        <v>80339.564333333328</v>
      </c>
      <c r="L17" s="93">
        <v>80339.564333333328</v>
      </c>
      <c r="M17" s="93">
        <v>80339.564333333328</v>
      </c>
      <c r="N17" s="93">
        <v>80339.564333333328</v>
      </c>
      <c r="O17" s="93">
        <v>80339.564333333328</v>
      </c>
      <c r="P17" s="93">
        <f t="shared" si="1"/>
        <v>964074.77199999976</v>
      </c>
      <c r="Q17" s="93">
        <f t="shared" si="2"/>
        <v>321358.25733333331</v>
      </c>
      <c r="R17" s="93">
        <v>283474.59999999998</v>
      </c>
      <c r="S17" s="559">
        <f t="shared" si="5"/>
        <v>37883.657333333336</v>
      </c>
    </row>
    <row r="18" spans="1:29">
      <c r="A18" s="106">
        <v>5115</v>
      </c>
      <c r="B18" s="106">
        <v>15407</v>
      </c>
      <c r="C18" s="107" t="s">
        <v>113</v>
      </c>
      <c r="D18" s="93">
        <v>65246.804999999993</v>
      </c>
      <c r="E18" s="93">
        <v>65246.804999999993</v>
      </c>
      <c r="F18" s="93">
        <v>65246.804999999993</v>
      </c>
      <c r="G18" s="93">
        <v>65246.804999999993</v>
      </c>
      <c r="H18" s="93">
        <v>65246.804999999993</v>
      </c>
      <c r="I18" s="93">
        <v>65246.804999999993</v>
      </c>
      <c r="J18" s="93">
        <v>65246.804999999993</v>
      </c>
      <c r="K18" s="93">
        <v>65246.804999999993</v>
      </c>
      <c r="L18" s="93">
        <v>65246.804999999993</v>
      </c>
      <c r="M18" s="93">
        <v>65246.804999999993</v>
      </c>
      <c r="N18" s="93">
        <v>65246.804999999993</v>
      </c>
      <c r="O18" s="93">
        <v>65246.804999999993</v>
      </c>
      <c r="P18" s="93">
        <f t="shared" si="1"/>
        <v>782961.65999999968</v>
      </c>
      <c r="Q18" s="93">
        <f t="shared" si="2"/>
        <v>260987.21999999997</v>
      </c>
      <c r="R18" s="93">
        <v>222025.52</v>
      </c>
      <c r="S18" s="559">
        <f t="shared" si="5"/>
        <v>38961.699999999983</v>
      </c>
    </row>
    <row r="19" spans="1:29">
      <c r="A19" s="106"/>
      <c r="B19" s="106"/>
      <c r="C19" s="107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AC19" s="127"/>
    </row>
    <row r="20" spans="1:29">
      <c r="A20" s="111" t="s">
        <v>146</v>
      </c>
      <c r="B20" s="116"/>
      <c r="C20" s="113"/>
      <c r="D20" s="117">
        <f t="shared" ref="D20:P20" si="6">SUM(D21:D26)</f>
        <v>66675</v>
      </c>
      <c r="E20" s="117">
        <f t="shared" si="6"/>
        <v>66175</v>
      </c>
      <c r="F20" s="117">
        <f t="shared" si="6"/>
        <v>66175</v>
      </c>
      <c r="G20" s="117">
        <f t="shared" si="6"/>
        <v>66675</v>
      </c>
      <c r="H20" s="117">
        <f t="shared" si="6"/>
        <v>66175</v>
      </c>
      <c r="I20" s="117">
        <f t="shared" si="6"/>
        <v>66175</v>
      </c>
      <c r="J20" s="117">
        <f t="shared" si="6"/>
        <v>66675</v>
      </c>
      <c r="K20" s="117">
        <f t="shared" si="6"/>
        <v>66175</v>
      </c>
      <c r="L20" s="117">
        <f t="shared" si="6"/>
        <v>66175</v>
      </c>
      <c r="M20" s="117">
        <f t="shared" si="6"/>
        <v>66675</v>
      </c>
      <c r="N20" s="117">
        <f t="shared" si="6"/>
        <v>66175</v>
      </c>
      <c r="O20" s="117">
        <f t="shared" si="6"/>
        <v>66175</v>
      </c>
      <c r="P20" s="117">
        <f t="shared" si="6"/>
        <v>796100</v>
      </c>
      <c r="Q20" s="120">
        <f>SUM(Q21:Q26)</f>
        <v>265700</v>
      </c>
      <c r="R20" s="120">
        <f>SUM(R21:R26)</f>
        <v>80737.680000000008</v>
      </c>
      <c r="S20" s="120">
        <f>SUM(S21:S26)</f>
        <v>184962.32</v>
      </c>
    </row>
    <row r="21" spans="1:29">
      <c r="A21" s="108">
        <v>5121</v>
      </c>
      <c r="B21" s="108">
        <v>21101</v>
      </c>
      <c r="C21" s="109" t="s">
        <v>114</v>
      </c>
      <c r="D21" s="93">
        <v>15341.666666666666</v>
      </c>
      <c r="E21" s="93">
        <v>15341.666666666666</v>
      </c>
      <c r="F21" s="93">
        <v>15341.666666666666</v>
      </c>
      <c r="G21" s="93">
        <v>15341.666666666666</v>
      </c>
      <c r="H21" s="93">
        <v>15341.666666666666</v>
      </c>
      <c r="I21" s="93">
        <v>15341.666666666666</v>
      </c>
      <c r="J21" s="93">
        <v>15341.666666666666</v>
      </c>
      <c r="K21" s="93">
        <v>15341.666666666666</v>
      </c>
      <c r="L21" s="93">
        <v>15341.666666666666</v>
      </c>
      <c r="M21" s="93">
        <v>15341.666666666666</v>
      </c>
      <c r="N21" s="93">
        <v>15341.666666666666</v>
      </c>
      <c r="O21" s="93">
        <v>15341.666666666666</v>
      </c>
      <c r="P21" s="93">
        <f t="shared" ref="P21:P26" si="7">SUM(D21:O21)</f>
        <v>184099.99999999997</v>
      </c>
      <c r="Q21" s="93">
        <f t="shared" ref="Q21:Q26" si="8">SUM(D21:G21)</f>
        <v>61366.666666666664</v>
      </c>
      <c r="R21" s="93">
        <v>22421.47</v>
      </c>
      <c r="S21" s="559">
        <f t="shared" ref="S21:S26" si="9">+Q21-R21</f>
        <v>38945.196666666663</v>
      </c>
    </row>
    <row r="22" spans="1:29">
      <c r="A22" s="89">
        <v>5121</v>
      </c>
      <c r="B22" s="89">
        <v>21201</v>
      </c>
      <c r="C22" s="90" t="s">
        <v>115</v>
      </c>
      <c r="D22" s="93">
        <v>23333.333333333332</v>
      </c>
      <c r="E22" s="93">
        <v>23333.333333333332</v>
      </c>
      <c r="F22" s="93">
        <v>23333.333333333332</v>
      </c>
      <c r="G22" s="93">
        <v>23333.333333333332</v>
      </c>
      <c r="H22" s="93">
        <v>23333.333333333332</v>
      </c>
      <c r="I22" s="93">
        <v>23333.333333333332</v>
      </c>
      <c r="J22" s="93">
        <v>23333.333333333332</v>
      </c>
      <c r="K22" s="93">
        <v>23333.333333333332</v>
      </c>
      <c r="L22" s="93">
        <v>23333.333333333332</v>
      </c>
      <c r="M22" s="93">
        <v>23333.333333333332</v>
      </c>
      <c r="N22" s="93">
        <v>23333.333333333332</v>
      </c>
      <c r="O22" s="93">
        <v>23333.333333333332</v>
      </c>
      <c r="P22" s="93">
        <f t="shared" si="7"/>
        <v>280000.00000000006</v>
      </c>
      <c r="Q22" s="93">
        <f t="shared" si="8"/>
        <v>93333.333333333328</v>
      </c>
      <c r="R22" s="93">
        <v>22375</v>
      </c>
      <c r="S22" s="559">
        <f t="shared" si="9"/>
        <v>70958.333333333328</v>
      </c>
    </row>
    <row r="23" spans="1:29">
      <c r="A23" s="89">
        <v>5121</v>
      </c>
      <c r="B23" s="89">
        <v>21601</v>
      </c>
      <c r="C23" s="90" t="s">
        <v>116</v>
      </c>
      <c r="D23" s="93">
        <v>6666.666666666667</v>
      </c>
      <c r="E23" s="93">
        <v>6666.666666666667</v>
      </c>
      <c r="F23" s="93">
        <v>6666.666666666667</v>
      </c>
      <c r="G23" s="93">
        <v>6666.666666666667</v>
      </c>
      <c r="H23" s="93">
        <v>6666.666666666667</v>
      </c>
      <c r="I23" s="93">
        <v>6666.666666666667</v>
      </c>
      <c r="J23" s="93">
        <v>6666.666666666667</v>
      </c>
      <c r="K23" s="93">
        <v>6666.666666666667</v>
      </c>
      <c r="L23" s="93">
        <v>6666.666666666667</v>
      </c>
      <c r="M23" s="93">
        <v>6666.666666666667</v>
      </c>
      <c r="N23" s="93">
        <v>6666.666666666667</v>
      </c>
      <c r="O23" s="93">
        <v>6666.666666666667</v>
      </c>
      <c r="P23" s="93">
        <f t="shared" si="7"/>
        <v>80000</v>
      </c>
      <c r="Q23" s="93">
        <f t="shared" si="8"/>
        <v>26666.666666666668</v>
      </c>
      <c r="R23" s="93">
        <v>12386.6</v>
      </c>
      <c r="S23" s="559">
        <f t="shared" si="9"/>
        <v>14280.066666666668</v>
      </c>
    </row>
    <row r="24" spans="1:29">
      <c r="A24" s="89">
        <v>5122</v>
      </c>
      <c r="B24" s="89">
        <v>22101</v>
      </c>
      <c r="C24" s="90" t="s">
        <v>117</v>
      </c>
      <c r="D24" s="93">
        <v>4166.666666666667</v>
      </c>
      <c r="E24" s="93">
        <v>4166.666666666667</v>
      </c>
      <c r="F24" s="93">
        <v>4166.666666666667</v>
      </c>
      <c r="G24" s="93">
        <v>4166.666666666667</v>
      </c>
      <c r="H24" s="93">
        <v>4166.666666666667</v>
      </c>
      <c r="I24" s="93">
        <v>4166.666666666667</v>
      </c>
      <c r="J24" s="93">
        <v>4166.666666666667</v>
      </c>
      <c r="K24" s="93">
        <v>4166.666666666667</v>
      </c>
      <c r="L24" s="93">
        <v>4166.666666666667</v>
      </c>
      <c r="M24" s="93">
        <v>4166.666666666667</v>
      </c>
      <c r="N24" s="93">
        <v>4166.666666666667</v>
      </c>
      <c r="O24" s="93">
        <v>4166.666666666667</v>
      </c>
      <c r="P24" s="93">
        <f t="shared" si="7"/>
        <v>49999.999999999993</v>
      </c>
      <c r="Q24" s="93">
        <f t="shared" si="8"/>
        <v>16666.666666666668</v>
      </c>
      <c r="R24" s="93">
        <v>16315.9</v>
      </c>
      <c r="S24" s="559">
        <f t="shared" si="9"/>
        <v>350.76666666666824</v>
      </c>
    </row>
    <row r="25" spans="1:29">
      <c r="A25" s="89">
        <v>5125</v>
      </c>
      <c r="B25" s="89">
        <v>25301</v>
      </c>
      <c r="C25" s="90" t="s">
        <v>208</v>
      </c>
      <c r="D25" s="93">
        <v>500</v>
      </c>
      <c r="E25" s="93"/>
      <c r="F25" s="93"/>
      <c r="G25" s="93">
        <v>500</v>
      </c>
      <c r="H25" s="93"/>
      <c r="I25" s="93"/>
      <c r="J25" s="93">
        <v>500</v>
      </c>
      <c r="K25" s="93"/>
      <c r="L25" s="93"/>
      <c r="M25" s="93">
        <v>500</v>
      </c>
      <c r="N25" s="93"/>
      <c r="O25" s="93"/>
      <c r="P25" s="93">
        <f t="shared" si="7"/>
        <v>2000</v>
      </c>
      <c r="Q25" s="93">
        <f t="shared" si="8"/>
        <v>1000</v>
      </c>
      <c r="R25" s="93"/>
      <c r="S25" s="559">
        <f t="shared" si="9"/>
        <v>1000</v>
      </c>
    </row>
    <row r="26" spans="1:29">
      <c r="A26" s="89">
        <v>5126</v>
      </c>
      <c r="B26" s="89">
        <v>26101</v>
      </c>
      <c r="C26" s="90" t="s">
        <v>118</v>
      </c>
      <c r="D26" s="93">
        <v>16666.666666666668</v>
      </c>
      <c r="E26" s="93">
        <v>16666.666666666668</v>
      </c>
      <c r="F26" s="93">
        <v>16666.666666666668</v>
      </c>
      <c r="G26" s="93">
        <v>16666.666666666668</v>
      </c>
      <c r="H26" s="93">
        <v>16666.666666666668</v>
      </c>
      <c r="I26" s="93">
        <v>16666.666666666668</v>
      </c>
      <c r="J26" s="93">
        <v>16666.666666666668</v>
      </c>
      <c r="K26" s="93">
        <v>16666.666666666668</v>
      </c>
      <c r="L26" s="93">
        <v>16666.666666666668</v>
      </c>
      <c r="M26" s="93">
        <v>16666.666666666668</v>
      </c>
      <c r="N26" s="93">
        <v>16666.666666666668</v>
      </c>
      <c r="O26" s="93">
        <v>16666.666666666668</v>
      </c>
      <c r="P26" s="93">
        <f t="shared" si="7"/>
        <v>199999.99999999997</v>
      </c>
      <c r="Q26" s="93">
        <f t="shared" si="8"/>
        <v>66666.666666666672</v>
      </c>
      <c r="R26" s="93">
        <v>7238.71</v>
      </c>
      <c r="S26" s="559">
        <f t="shared" si="9"/>
        <v>59427.956666666672</v>
      </c>
    </row>
    <row r="27" spans="1:29">
      <c r="A27" s="106"/>
      <c r="B27" s="106"/>
      <c r="C27" s="107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</row>
    <row r="28" spans="1:29">
      <c r="A28" s="111" t="s">
        <v>147</v>
      </c>
      <c r="B28" s="116"/>
      <c r="C28" s="113"/>
      <c r="D28" s="117">
        <f t="shared" ref="D28:S28" si="10">SUM(D29:D52)</f>
        <v>6878127.8496233327</v>
      </c>
      <c r="E28" s="117">
        <f t="shared" si="10"/>
        <v>1090889.2096233333</v>
      </c>
      <c r="F28" s="117">
        <f t="shared" si="10"/>
        <v>664899.20962333342</v>
      </c>
      <c r="G28" s="117">
        <f t="shared" si="10"/>
        <v>3739440.8896233332</v>
      </c>
      <c r="H28" s="117">
        <f t="shared" si="10"/>
        <v>1225527.2096233333</v>
      </c>
      <c r="I28" s="117">
        <f t="shared" si="10"/>
        <v>662927.20962333342</v>
      </c>
      <c r="J28" s="117">
        <f t="shared" si="10"/>
        <v>3739440.8896233332</v>
      </c>
      <c r="K28" s="117">
        <f t="shared" si="10"/>
        <v>662927.20962333342</v>
      </c>
      <c r="L28" s="117">
        <f t="shared" si="10"/>
        <v>662927.20962333342</v>
      </c>
      <c r="M28" s="117">
        <f t="shared" si="10"/>
        <v>895007.20962333342</v>
      </c>
      <c r="N28" s="117">
        <f t="shared" si="10"/>
        <v>665943.20962333342</v>
      </c>
      <c r="O28" s="117">
        <f t="shared" si="10"/>
        <v>669829.20962333342</v>
      </c>
      <c r="P28" s="117">
        <f t="shared" si="10"/>
        <v>21557886.515479997</v>
      </c>
      <c r="Q28" s="117">
        <f t="shared" si="10"/>
        <v>12373357.158493334</v>
      </c>
      <c r="R28" s="117">
        <f t="shared" si="10"/>
        <v>3414512.9</v>
      </c>
      <c r="S28" s="117">
        <f t="shared" si="10"/>
        <v>8958844.2584933341</v>
      </c>
    </row>
    <row r="29" spans="1:29">
      <c r="A29" s="108">
        <v>5131</v>
      </c>
      <c r="B29" s="108">
        <v>31101</v>
      </c>
      <c r="C29" s="109" t="s">
        <v>11</v>
      </c>
      <c r="D29" s="93">
        <v>37500</v>
      </c>
      <c r="E29" s="93">
        <v>37500</v>
      </c>
      <c r="F29" s="93">
        <v>37500</v>
      </c>
      <c r="G29" s="93">
        <v>37500</v>
      </c>
      <c r="H29" s="93">
        <v>37500</v>
      </c>
      <c r="I29" s="93">
        <v>37500</v>
      </c>
      <c r="J29" s="93">
        <v>37500</v>
      </c>
      <c r="K29" s="93">
        <v>37500</v>
      </c>
      <c r="L29" s="93">
        <v>37500</v>
      </c>
      <c r="M29" s="93">
        <v>37500</v>
      </c>
      <c r="N29" s="93">
        <v>37500</v>
      </c>
      <c r="O29" s="93">
        <v>37500</v>
      </c>
      <c r="P29" s="93">
        <f t="shared" ref="P29:P52" si="11">SUM(D29:O29)</f>
        <v>450000</v>
      </c>
      <c r="Q29" s="93">
        <f t="shared" ref="Q29:Q52" si="12">SUM(D29:G29)</f>
        <v>150000</v>
      </c>
      <c r="R29" s="93">
        <v>123591.51</v>
      </c>
      <c r="S29" s="559">
        <f t="shared" ref="S29:S52" si="13">+Q29-R29</f>
        <v>26408.490000000005</v>
      </c>
    </row>
    <row r="30" spans="1:29">
      <c r="A30" s="108">
        <v>5131</v>
      </c>
      <c r="B30" s="108">
        <v>31201</v>
      </c>
      <c r="C30" s="109" t="s">
        <v>160</v>
      </c>
      <c r="D30" s="93">
        <v>6000</v>
      </c>
      <c r="E30" s="93">
        <v>5750</v>
      </c>
      <c r="F30" s="93">
        <v>2000</v>
      </c>
      <c r="G30" s="93">
        <v>300</v>
      </c>
      <c r="H30" s="93">
        <v>300</v>
      </c>
      <c r="I30" s="93">
        <v>300</v>
      </c>
      <c r="J30" s="93">
        <v>300</v>
      </c>
      <c r="K30" s="93">
        <v>300</v>
      </c>
      <c r="L30" s="93">
        <v>300</v>
      </c>
      <c r="M30" s="93">
        <v>300</v>
      </c>
      <c r="N30" s="93">
        <v>2900</v>
      </c>
      <c r="O30" s="93">
        <v>6250</v>
      </c>
      <c r="P30" s="93">
        <f t="shared" si="11"/>
        <v>25000</v>
      </c>
      <c r="Q30" s="93">
        <f t="shared" si="12"/>
        <v>14050</v>
      </c>
      <c r="R30" s="93">
        <v>12503.52</v>
      </c>
      <c r="S30" s="559">
        <f t="shared" si="13"/>
        <v>1546.4799999999996</v>
      </c>
    </row>
    <row r="31" spans="1:29">
      <c r="A31" s="89">
        <v>5131</v>
      </c>
      <c r="B31" s="89">
        <v>31401</v>
      </c>
      <c r="C31" s="90" t="s">
        <v>119</v>
      </c>
      <c r="D31" s="93">
        <v>29166.666666666668</v>
      </c>
      <c r="E31" s="93">
        <v>29166.666666666668</v>
      </c>
      <c r="F31" s="93">
        <v>29166.666666666668</v>
      </c>
      <c r="G31" s="93">
        <v>29166.666666666668</v>
      </c>
      <c r="H31" s="93">
        <v>29166.666666666668</v>
      </c>
      <c r="I31" s="93">
        <v>29166.666666666668</v>
      </c>
      <c r="J31" s="93">
        <v>29166.666666666668</v>
      </c>
      <c r="K31" s="93">
        <v>29166.666666666668</v>
      </c>
      <c r="L31" s="93">
        <v>29166.666666666668</v>
      </c>
      <c r="M31" s="93">
        <v>29166.666666666668</v>
      </c>
      <c r="N31" s="93">
        <v>29166.666666666668</v>
      </c>
      <c r="O31" s="93">
        <v>29166.666666666668</v>
      </c>
      <c r="P31" s="93">
        <f t="shared" si="11"/>
        <v>350000.00000000006</v>
      </c>
      <c r="Q31" s="93">
        <f t="shared" si="12"/>
        <v>116666.66666666667</v>
      </c>
      <c r="R31" s="93">
        <v>74249.81</v>
      </c>
      <c r="S31" s="559">
        <f t="shared" si="13"/>
        <v>42416.856666666674</v>
      </c>
    </row>
    <row r="32" spans="1:29">
      <c r="A32" s="89">
        <v>5131</v>
      </c>
      <c r="B32" s="89">
        <v>31801</v>
      </c>
      <c r="C32" s="90" t="s">
        <v>120</v>
      </c>
      <c r="D32" s="93">
        <v>2500</v>
      </c>
      <c r="E32" s="93">
        <v>2500</v>
      </c>
      <c r="F32" s="93">
        <v>2500</v>
      </c>
      <c r="G32" s="93">
        <v>2500</v>
      </c>
      <c r="H32" s="93">
        <v>2500</v>
      </c>
      <c r="I32" s="93">
        <v>2500</v>
      </c>
      <c r="J32" s="93">
        <v>2500</v>
      </c>
      <c r="K32" s="93">
        <v>2500</v>
      </c>
      <c r="L32" s="93">
        <v>2500</v>
      </c>
      <c r="M32" s="93">
        <v>2500</v>
      </c>
      <c r="N32" s="93">
        <v>2500</v>
      </c>
      <c r="O32" s="93">
        <v>2500</v>
      </c>
      <c r="P32" s="93">
        <f t="shared" si="11"/>
        <v>30000</v>
      </c>
      <c r="Q32" s="93">
        <f t="shared" si="12"/>
        <v>10000</v>
      </c>
      <c r="R32" s="93">
        <v>3803.36</v>
      </c>
      <c r="S32" s="559">
        <f t="shared" si="13"/>
        <v>6196.6399999999994</v>
      </c>
    </row>
    <row r="33" spans="1:22">
      <c r="A33" s="89">
        <v>5131</v>
      </c>
      <c r="B33" s="89">
        <v>31901</v>
      </c>
      <c r="C33" s="90" t="s">
        <v>121</v>
      </c>
      <c r="D33" s="93">
        <v>1083.3333333333333</v>
      </c>
      <c r="E33" s="93">
        <v>1083.3333333333333</v>
      </c>
      <c r="F33" s="93">
        <v>1083.3333333333333</v>
      </c>
      <c r="G33" s="93">
        <v>1083.3333333333333</v>
      </c>
      <c r="H33" s="93">
        <v>1083.3333333333333</v>
      </c>
      <c r="I33" s="93">
        <v>1083.3333333333333</v>
      </c>
      <c r="J33" s="93">
        <v>1083.3333333333333</v>
      </c>
      <c r="K33" s="93">
        <v>1083.3333333333333</v>
      </c>
      <c r="L33" s="93">
        <v>1083.3333333333333</v>
      </c>
      <c r="M33" s="93">
        <v>1083.3333333333333</v>
      </c>
      <c r="N33" s="93">
        <v>1083.3333333333333</v>
      </c>
      <c r="O33" s="93">
        <v>1083.3333333333333</v>
      </c>
      <c r="P33" s="93">
        <f t="shared" si="11"/>
        <v>13000.000000000002</v>
      </c>
      <c r="Q33" s="93">
        <f t="shared" si="12"/>
        <v>4333.333333333333</v>
      </c>
      <c r="R33" s="93"/>
      <c r="S33" s="559">
        <f t="shared" si="13"/>
        <v>4333.333333333333</v>
      </c>
    </row>
    <row r="34" spans="1:22">
      <c r="A34" s="89">
        <v>5132</v>
      </c>
      <c r="B34" s="89">
        <v>32901</v>
      </c>
      <c r="C34" s="90" t="s">
        <v>122</v>
      </c>
      <c r="D34" s="93">
        <v>3300</v>
      </c>
      <c r="E34" s="93">
        <v>3300</v>
      </c>
      <c r="F34" s="93">
        <v>3300</v>
      </c>
      <c r="G34" s="93">
        <v>3300</v>
      </c>
      <c r="H34" s="93">
        <v>3300</v>
      </c>
      <c r="I34" s="93">
        <v>3300</v>
      </c>
      <c r="J34" s="93">
        <v>3300</v>
      </c>
      <c r="K34" s="93">
        <v>3300</v>
      </c>
      <c r="L34" s="93">
        <v>3300</v>
      </c>
      <c r="M34" s="93">
        <v>3300</v>
      </c>
      <c r="N34" s="93">
        <v>3300</v>
      </c>
      <c r="O34" s="93">
        <v>3300</v>
      </c>
      <c r="P34" s="93">
        <f t="shared" si="11"/>
        <v>39600</v>
      </c>
      <c r="Q34" s="93">
        <f t="shared" si="12"/>
        <v>13200</v>
      </c>
      <c r="R34" s="93">
        <v>8850</v>
      </c>
      <c r="S34" s="559">
        <f t="shared" si="13"/>
        <v>4350</v>
      </c>
    </row>
    <row r="35" spans="1:22">
      <c r="A35" s="89">
        <v>5133</v>
      </c>
      <c r="B35" s="89">
        <v>33101</v>
      </c>
      <c r="C35" s="90" t="s">
        <v>123</v>
      </c>
      <c r="D35" s="93">
        <v>33333.333333333336</v>
      </c>
      <c r="E35" s="93">
        <v>33333.333333333336</v>
      </c>
      <c r="F35" s="93">
        <v>33333.333333333336</v>
      </c>
      <c r="G35" s="93">
        <v>33333.333333333336</v>
      </c>
      <c r="H35" s="93">
        <v>33333.333333333336</v>
      </c>
      <c r="I35" s="93">
        <v>33333.333333333336</v>
      </c>
      <c r="J35" s="93">
        <v>33333.333333333336</v>
      </c>
      <c r="K35" s="93">
        <v>33333.333333333336</v>
      </c>
      <c r="L35" s="93">
        <v>33333.333333333336</v>
      </c>
      <c r="M35" s="93">
        <v>33333.333333333336</v>
      </c>
      <c r="N35" s="93">
        <v>33333.333333333336</v>
      </c>
      <c r="O35" s="93">
        <v>33333.333333333336</v>
      </c>
      <c r="P35" s="93">
        <f t="shared" si="11"/>
        <v>399999.99999999994</v>
      </c>
      <c r="Q35" s="93">
        <f t="shared" si="12"/>
        <v>133333.33333333334</v>
      </c>
      <c r="R35" s="93"/>
      <c r="S35" s="559">
        <f t="shared" si="13"/>
        <v>133333.33333333334</v>
      </c>
    </row>
    <row r="36" spans="1:22">
      <c r="A36" s="89">
        <v>5133</v>
      </c>
      <c r="B36" s="89">
        <v>33301</v>
      </c>
      <c r="C36" s="90" t="s">
        <v>124</v>
      </c>
      <c r="D36" s="93">
        <v>20833.333333333332</v>
      </c>
      <c r="E36" s="93">
        <v>20833.333333333332</v>
      </c>
      <c r="F36" s="93">
        <v>20833.333333333332</v>
      </c>
      <c r="G36" s="93">
        <v>20833.333333333332</v>
      </c>
      <c r="H36" s="93">
        <v>20833.333333333332</v>
      </c>
      <c r="I36" s="93">
        <v>20833.333333333332</v>
      </c>
      <c r="J36" s="93">
        <v>20833.333333333332</v>
      </c>
      <c r="K36" s="93">
        <v>20833.333333333332</v>
      </c>
      <c r="L36" s="93">
        <v>20833.333333333332</v>
      </c>
      <c r="M36" s="93">
        <v>20833.333333333332</v>
      </c>
      <c r="N36" s="93">
        <v>20833.333333333332</v>
      </c>
      <c r="O36" s="93">
        <v>20833.333333333332</v>
      </c>
      <c r="P36" s="93">
        <f t="shared" si="11"/>
        <v>250000.00000000003</v>
      </c>
      <c r="Q36" s="93">
        <f t="shared" si="12"/>
        <v>83333.333333333328</v>
      </c>
      <c r="R36" s="93">
        <v>72308.009999999995</v>
      </c>
      <c r="S36" s="559">
        <f t="shared" si="13"/>
        <v>11025.323333333334</v>
      </c>
    </row>
    <row r="37" spans="1:22">
      <c r="A37" s="89">
        <v>5133</v>
      </c>
      <c r="B37" s="89">
        <v>33401</v>
      </c>
      <c r="C37" s="90" t="s">
        <v>125</v>
      </c>
      <c r="D37" s="93">
        <v>11666.666666666666</v>
      </c>
      <c r="E37" s="93">
        <v>11666.666666666666</v>
      </c>
      <c r="F37" s="93">
        <v>11666.666666666666</v>
      </c>
      <c r="G37" s="93">
        <v>11666.666666666666</v>
      </c>
      <c r="H37" s="93">
        <v>11666.666666666666</v>
      </c>
      <c r="I37" s="93">
        <v>11666.666666666666</v>
      </c>
      <c r="J37" s="93">
        <v>11666.666666666666</v>
      </c>
      <c r="K37" s="93">
        <v>11666.666666666666</v>
      </c>
      <c r="L37" s="93">
        <v>11666.666666666666</v>
      </c>
      <c r="M37" s="93">
        <v>11666.666666666666</v>
      </c>
      <c r="N37" s="93">
        <v>11666.666666666666</v>
      </c>
      <c r="O37" s="93">
        <v>11666.666666666666</v>
      </c>
      <c r="P37" s="93">
        <f t="shared" si="11"/>
        <v>140000.00000000003</v>
      </c>
      <c r="Q37" s="93">
        <f t="shared" si="12"/>
        <v>46666.666666666664</v>
      </c>
      <c r="R37" s="93">
        <v>4841.32</v>
      </c>
      <c r="S37" s="559">
        <f t="shared" si="13"/>
        <v>41825.346666666665</v>
      </c>
    </row>
    <row r="38" spans="1:22">
      <c r="A38" s="89">
        <v>5133</v>
      </c>
      <c r="B38" s="89">
        <v>33901</v>
      </c>
      <c r="C38" s="90" t="s">
        <v>126</v>
      </c>
      <c r="D38" s="93">
        <v>2526404</v>
      </c>
      <c r="E38" s="93"/>
      <c r="F38" s="93"/>
      <c r="G38" s="93">
        <v>2452098</v>
      </c>
      <c r="H38" s="93"/>
      <c r="I38" s="93"/>
      <c r="J38" s="93">
        <v>2452098</v>
      </c>
      <c r="K38" s="93"/>
      <c r="L38" s="93"/>
      <c r="M38" s="93"/>
      <c r="N38" s="93"/>
      <c r="O38" s="93"/>
      <c r="P38" s="93">
        <f t="shared" si="11"/>
        <v>7430600</v>
      </c>
      <c r="Q38" s="93">
        <f t="shared" si="12"/>
        <v>4978502</v>
      </c>
      <c r="R38" s="93">
        <v>157532.20000000001</v>
      </c>
      <c r="S38" s="559">
        <f t="shared" si="13"/>
        <v>4820969.8</v>
      </c>
    </row>
    <row r="39" spans="1:22">
      <c r="A39" s="89">
        <v>5134</v>
      </c>
      <c r="B39" s="89">
        <v>34101</v>
      </c>
      <c r="C39" s="90" t="s">
        <v>141</v>
      </c>
      <c r="D39" s="93">
        <v>4166.666666666667</v>
      </c>
      <c r="E39" s="93">
        <v>4166.666666666667</v>
      </c>
      <c r="F39" s="93">
        <v>4166.666666666667</v>
      </c>
      <c r="G39" s="93">
        <v>4166.666666666667</v>
      </c>
      <c r="H39" s="93">
        <v>4166.666666666667</v>
      </c>
      <c r="I39" s="93">
        <v>4166.666666666667</v>
      </c>
      <c r="J39" s="93">
        <v>4166.666666666667</v>
      </c>
      <c r="K39" s="93">
        <v>4166.666666666667</v>
      </c>
      <c r="L39" s="93">
        <v>4166.666666666667</v>
      </c>
      <c r="M39" s="93">
        <v>4166.666666666667</v>
      </c>
      <c r="N39" s="93">
        <v>4166.666666666667</v>
      </c>
      <c r="O39" s="93">
        <v>4166.666666666667</v>
      </c>
      <c r="P39" s="93">
        <f t="shared" si="11"/>
        <v>49999.999999999993</v>
      </c>
      <c r="Q39" s="93">
        <f t="shared" si="12"/>
        <v>16666.666666666668</v>
      </c>
      <c r="R39" s="93">
        <v>11348.16</v>
      </c>
      <c r="S39" s="559">
        <f t="shared" si="13"/>
        <v>5318.506666666668</v>
      </c>
    </row>
    <row r="40" spans="1:22">
      <c r="A40" s="89">
        <v>5134</v>
      </c>
      <c r="B40" s="89">
        <v>34501</v>
      </c>
      <c r="C40" s="90" t="s">
        <v>127</v>
      </c>
      <c r="D40" s="93">
        <v>16666.666666666668</v>
      </c>
      <c r="E40" s="93">
        <v>16666.666666666668</v>
      </c>
      <c r="F40" s="93">
        <v>16666.666666666668</v>
      </c>
      <c r="G40" s="93">
        <v>16666.666666666668</v>
      </c>
      <c r="H40" s="93">
        <v>16666.666666666668</v>
      </c>
      <c r="I40" s="93">
        <v>16666.666666666668</v>
      </c>
      <c r="J40" s="93">
        <v>16666.666666666668</v>
      </c>
      <c r="K40" s="93">
        <v>16666.666666666668</v>
      </c>
      <c r="L40" s="93">
        <v>16666.666666666668</v>
      </c>
      <c r="M40" s="93">
        <v>16666.666666666668</v>
      </c>
      <c r="N40" s="93">
        <v>16666.666666666668</v>
      </c>
      <c r="O40" s="93">
        <v>16666.666666666668</v>
      </c>
      <c r="P40" s="93">
        <f t="shared" si="11"/>
        <v>199999.99999999997</v>
      </c>
      <c r="Q40" s="93">
        <f t="shared" si="12"/>
        <v>66666.666666666672</v>
      </c>
      <c r="R40" s="779">
        <v>40947.519999999997</v>
      </c>
      <c r="S40" s="559">
        <f t="shared" si="13"/>
        <v>25719.146666666675</v>
      </c>
      <c r="V40" s="733"/>
    </row>
    <row r="41" spans="1:22">
      <c r="A41" s="89">
        <v>5134</v>
      </c>
      <c r="B41" s="89">
        <v>34901</v>
      </c>
      <c r="C41" s="90" t="s">
        <v>128</v>
      </c>
      <c r="D41" s="93">
        <v>1699.0074699999998</v>
      </c>
      <c r="E41" s="93">
        <v>1699.0074699999998</v>
      </c>
      <c r="F41" s="93">
        <v>1699.0074699999998</v>
      </c>
      <c r="G41" s="93">
        <v>1699.0074699999998</v>
      </c>
      <c r="H41" s="93">
        <v>1699.0074699999998</v>
      </c>
      <c r="I41" s="93">
        <v>1699.0074699999998</v>
      </c>
      <c r="J41" s="93">
        <v>1699.0074699999998</v>
      </c>
      <c r="K41" s="93">
        <v>1699.0074699999998</v>
      </c>
      <c r="L41" s="93">
        <v>1699.0074699999998</v>
      </c>
      <c r="M41" s="93">
        <v>1699.0074699999998</v>
      </c>
      <c r="N41" s="93">
        <v>1699.0074699999998</v>
      </c>
      <c r="O41" s="93">
        <v>1699.0074699999998</v>
      </c>
      <c r="P41" s="93">
        <f t="shared" si="11"/>
        <v>20388.089640000002</v>
      </c>
      <c r="Q41" s="93">
        <f t="shared" si="12"/>
        <v>6796.0298799999991</v>
      </c>
      <c r="R41" s="93">
        <v>559.16</v>
      </c>
      <c r="S41" s="559">
        <f t="shared" si="13"/>
        <v>6236.8698799999993</v>
      </c>
    </row>
    <row r="42" spans="1:22">
      <c r="A42" s="89">
        <v>5135</v>
      </c>
      <c r="B42" s="89">
        <v>35101</v>
      </c>
      <c r="C42" s="90" t="s">
        <v>129</v>
      </c>
      <c r="D42" s="93">
        <v>200000</v>
      </c>
      <c r="E42" s="93"/>
      <c r="F42" s="93"/>
      <c r="G42" s="93">
        <v>200000</v>
      </c>
      <c r="H42" s="93"/>
      <c r="I42" s="93"/>
      <c r="J42" s="93">
        <v>200000</v>
      </c>
      <c r="K42" s="93"/>
      <c r="L42" s="93"/>
      <c r="M42" s="93">
        <v>200000</v>
      </c>
      <c r="N42" s="93"/>
      <c r="O42" s="93"/>
      <c r="P42" s="93">
        <f t="shared" si="11"/>
        <v>800000</v>
      </c>
      <c r="Q42" s="93">
        <f t="shared" si="12"/>
        <v>400000</v>
      </c>
      <c r="R42" s="93">
        <v>12266</v>
      </c>
      <c r="S42" s="559">
        <f t="shared" si="13"/>
        <v>387734</v>
      </c>
    </row>
    <row r="43" spans="1:22">
      <c r="A43" s="89">
        <v>5135</v>
      </c>
      <c r="B43" s="89">
        <v>35201</v>
      </c>
      <c r="C43" s="90" t="s">
        <v>130</v>
      </c>
      <c r="D43" s="93">
        <v>5000</v>
      </c>
      <c r="E43" s="93">
        <v>5000</v>
      </c>
      <c r="F43" s="93">
        <v>5000</v>
      </c>
      <c r="G43" s="93">
        <v>5000</v>
      </c>
      <c r="H43" s="93">
        <v>5000</v>
      </c>
      <c r="I43" s="93">
        <v>5000</v>
      </c>
      <c r="J43" s="93">
        <v>5000</v>
      </c>
      <c r="K43" s="93">
        <v>5000</v>
      </c>
      <c r="L43" s="93">
        <v>5000</v>
      </c>
      <c r="M43" s="93">
        <v>5000</v>
      </c>
      <c r="N43" s="93">
        <v>5000</v>
      </c>
      <c r="O43" s="93">
        <v>5000</v>
      </c>
      <c r="P43" s="93">
        <f t="shared" si="11"/>
        <v>60000</v>
      </c>
      <c r="Q43" s="93">
        <f t="shared" si="12"/>
        <v>20000</v>
      </c>
      <c r="R43" s="93"/>
      <c r="S43" s="559">
        <f t="shared" si="13"/>
        <v>20000</v>
      </c>
    </row>
    <row r="44" spans="1:22" s="782" customFormat="1">
      <c r="A44" s="777">
        <v>5135</v>
      </c>
      <c r="B44" s="777">
        <v>35501</v>
      </c>
      <c r="C44" s="778" t="s">
        <v>131</v>
      </c>
      <c r="D44" s="779">
        <v>25000</v>
      </c>
      <c r="E44" s="779">
        <v>25000</v>
      </c>
      <c r="F44" s="779">
        <v>25000</v>
      </c>
      <c r="G44" s="779">
        <v>25000</v>
      </c>
      <c r="H44" s="779">
        <v>25000</v>
      </c>
      <c r="I44" s="779">
        <v>25000</v>
      </c>
      <c r="J44" s="779">
        <v>25000</v>
      </c>
      <c r="K44" s="779">
        <v>25000</v>
      </c>
      <c r="L44" s="779">
        <v>25000</v>
      </c>
      <c r="M44" s="779">
        <v>25000</v>
      </c>
      <c r="N44" s="779">
        <v>25000</v>
      </c>
      <c r="O44" s="779">
        <v>25000</v>
      </c>
      <c r="P44" s="779">
        <f t="shared" si="11"/>
        <v>300000</v>
      </c>
      <c r="Q44" s="93">
        <f t="shared" si="12"/>
        <v>100000</v>
      </c>
      <c r="R44" s="93">
        <v>17893.54</v>
      </c>
      <c r="S44" s="781">
        <f t="shared" si="13"/>
        <v>82106.459999999992</v>
      </c>
      <c r="V44" s="1401"/>
    </row>
    <row r="45" spans="1:22">
      <c r="A45" s="89">
        <v>5135</v>
      </c>
      <c r="B45" s="89">
        <v>35801</v>
      </c>
      <c r="C45" s="90" t="s">
        <v>132</v>
      </c>
      <c r="D45" s="93">
        <v>13569.7145</v>
      </c>
      <c r="E45" s="93">
        <v>13569.7145</v>
      </c>
      <c r="F45" s="93">
        <v>13569.7145</v>
      </c>
      <c r="G45" s="93">
        <v>13569.7145</v>
      </c>
      <c r="H45" s="93">
        <v>13569.7145</v>
      </c>
      <c r="I45" s="93">
        <v>13569.7145</v>
      </c>
      <c r="J45" s="93">
        <v>13569.7145</v>
      </c>
      <c r="K45" s="93">
        <v>13569.7145</v>
      </c>
      <c r="L45" s="93">
        <v>13569.7145</v>
      </c>
      <c r="M45" s="93">
        <v>13569.7145</v>
      </c>
      <c r="N45" s="93">
        <v>13569.7145</v>
      </c>
      <c r="O45" s="93">
        <v>13569.7145</v>
      </c>
      <c r="P45" s="93">
        <f t="shared" si="11"/>
        <v>162836.57399999999</v>
      </c>
      <c r="Q45" s="93">
        <f t="shared" si="12"/>
        <v>54278.858</v>
      </c>
      <c r="R45" s="93">
        <v>41081.22</v>
      </c>
      <c r="S45" s="559">
        <f t="shared" si="13"/>
        <v>13197.637999999999</v>
      </c>
      <c r="U45" s="127"/>
    </row>
    <row r="46" spans="1:22">
      <c r="A46" s="89">
        <v>5137</v>
      </c>
      <c r="B46" s="89">
        <v>37501</v>
      </c>
      <c r="C46" s="90" t="s">
        <v>133</v>
      </c>
      <c r="D46" s="93">
        <v>60000</v>
      </c>
      <c r="E46" s="93">
        <v>60000</v>
      </c>
      <c r="F46" s="93">
        <v>60000</v>
      </c>
      <c r="G46" s="93">
        <v>60000</v>
      </c>
      <c r="H46" s="93">
        <v>60000</v>
      </c>
      <c r="I46" s="93">
        <v>60000</v>
      </c>
      <c r="J46" s="93">
        <v>60000</v>
      </c>
      <c r="K46" s="93">
        <v>60000</v>
      </c>
      <c r="L46" s="93">
        <v>60000</v>
      </c>
      <c r="M46" s="93">
        <v>60000</v>
      </c>
      <c r="N46" s="93">
        <v>60000</v>
      </c>
      <c r="O46" s="93">
        <v>60000</v>
      </c>
      <c r="P46" s="93">
        <f t="shared" si="11"/>
        <v>720000</v>
      </c>
      <c r="Q46" s="93">
        <f t="shared" si="12"/>
        <v>240000</v>
      </c>
      <c r="R46" s="93">
        <v>23499.5</v>
      </c>
      <c r="S46" s="559">
        <f t="shared" si="13"/>
        <v>216500.5</v>
      </c>
    </row>
    <row r="47" spans="1:22">
      <c r="A47" s="89">
        <v>5137</v>
      </c>
      <c r="B47" s="89">
        <v>37601</v>
      </c>
      <c r="C47" s="90" t="s">
        <v>134</v>
      </c>
      <c r="D47" s="93">
        <v>117333.33333333333</v>
      </c>
      <c r="E47" s="93">
        <v>117333.33333333333</v>
      </c>
      <c r="F47" s="93">
        <v>117333.33333333333</v>
      </c>
      <c r="G47" s="93">
        <v>117333.33333333333</v>
      </c>
      <c r="H47" s="93">
        <v>117333.33333333333</v>
      </c>
      <c r="I47" s="93">
        <v>117333.33333333333</v>
      </c>
      <c r="J47" s="93">
        <v>117333.33333333333</v>
      </c>
      <c r="K47" s="93">
        <v>117333.33333333333</v>
      </c>
      <c r="L47" s="93">
        <v>117333.33333333333</v>
      </c>
      <c r="M47" s="93">
        <v>117333.33333333333</v>
      </c>
      <c r="N47" s="93">
        <v>117333.33333333333</v>
      </c>
      <c r="O47" s="93">
        <v>117333.33333333333</v>
      </c>
      <c r="P47" s="93">
        <f t="shared" si="11"/>
        <v>1407999.9999999998</v>
      </c>
      <c r="Q47" s="93">
        <f t="shared" si="12"/>
        <v>469333.33333333331</v>
      </c>
      <c r="R47" s="93"/>
      <c r="S47" s="559">
        <f t="shared" si="13"/>
        <v>469333.33333333331</v>
      </c>
    </row>
    <row r="48" spans="1:22">
      <c r="A48" s="89">
        <v>5138</v>
      </c>
      <c r="B48" s="89">
        <v>38301</v>
      </c>
      <c r="C48" s="90" t="s">
        <v>135</v>
      </c>
      <c r="D48" s="93">
        <v>464000</v>
      </c>
      <c r="E48" s="93">
        <v>350000</v>
      </c>
      <c r="F48" s="93">
        <v>75000</v>
      </c>
      <c r="G48" s="93">
        <v>75000</v>
      </c>
      <c r="H48" s="93">
        <v>560000</v>
      </c>
      <c r="I48" s="93">
        <v>75000</v>
      </c>
      <c r="J48" s="93">
        <v>75000</v>
      </c>
      <c r="K48" s="93">
        <v>75000</v>
      </c>
      <c r="L48" s="93">
        <v>75000</v>
      </c>
      <c r="M48" s="93">
        <v>75000</v>
      </c>
      <c r="N48" s="93">
        <v>75000</v>
      </c>
      <c r="O48" s="93">
        <v>75000</v>
      </c>
      <c r="P48" s="93">
        <f t="shared" si="11"/>
        <v>2049000</v>
      </c>
      <c r="Q48" s="93">
        <f t="shared" si="12"/>
        <v>964000</v>
      </c>
      <c r="R48" s="93">
        <v>300834.45</v>
      </c>
      <c r="S48" s="559">
        <f t="shared" si="13"/>
        <v>663165.55000000005</v>
      </c>
    </row>
    <row r="49" spans="1:25">
      <c r="A49" s="89">
        <v>5138</v>
      </c>
      <c r="B49" s="89">
        <v>38501</v>
      </c>
      <c r="C49" s="90" t="s">
        <v>136</v>
      </c>
      <c r="D49" s="93">
        <v>30000</v>
      </c>
      <c r="E49" s="93">
        <v>30000</v>
      </c>
      <c r="F49" s="93">
        <v>30000</v>
      </c>
      <c r="G49" s="93">
        <v>30000</v>
      </c>
      <c r="H49" s="93">
        <v>30000</v>
      </c>
      <c r="I49" s="93">
        <v>30000</v>
      </c>
      <c r="J49" s="93">
        <v>30000</v>
      </c>
      <c r="K49" s="93">
        <v>30000</v>
      </c>
      <c r="L49" s="93">
        <v>30000</v>
      </c>
      <c r="M49" s="93">
        <v>30000</v>
      </c>
      <c r="N49" s="93">
        <v>30000</v>
      </c>
      <c r="O49" s="93">
        <v>30000</v>
      </c>
      <c r="P49" s="93">
        <f t="shared" si="11"/>
        <v>360000</v>
      </c>
      <c r="Q49" s="93">
        <f t="shared" si="12"/>
        <v>120000</v>
      </c>
      <c r="R49" s="93">
        <v>171.84</v>
      </c>
      <c r="S49" s="559">
        <f t="shared" si="13"/>
        <v>119828.16</v>
      </c>
    </row>
    <row r="50" spans="1:25">
      <c r="A50" s="89">
        <v>5139</v>
      </c>
      <c r="B50" s="89">
        <v>39201</v>
      </c>
      <c r="C50" s="90" t="s">
        <v>1006</v>
      </c>
      <c r="D50" s="93">
        <v>3233071.7943199999</v>
      </c>
      <c r="E50" s="93">
        <v>286487.15431999997</v>
      </c>
      <c r="F50" s="93">
        <v>139247.15432</v>
      </c>
      <c r="G50" s="93">
        <v>563390.83431999991</v>
      </c>
      <c r="H50" s="93">
        <v>216575.15432</v>
      </c>
      <c r="I50" s="93">
        <v>138975.15432</v>
      </c>
      <c r="J50" s="93">
        <v>563390.83431999991</v>
      </c>
      <c r="K50" s="93">
        <v>138975.15432</v>
      </c>
      <c r="L50" s="93">
        <v>138975.15432</v>
      </c>
      <c r="M50" s="93">
        <v>171055.15432</v>
      </c>
      <c r="N50" s="93">
        <v>139391.15432</v>
      </c>
      <c r="O50" s="93">
        <v>139927.15432</v>
      </c>
      <c r="P50" s="93">
        <f t="shared" si="11"/>
        <v>5869461.8518399987</v>
      </c>
      <c r="Q50" s="93">
        <f t="shared" si="12"/>
        <v>4222196.9372800002</v>
      </c>
      <c r="R50" s="93">
        <v>2508231.7799999998</v>
      </c>
      <c r="S50" s="559">
        <f t="shared" si="13"/>
        <v>1713965.1572800004</v>
      </c>
    </row>
    <row r="51" spans="1:25">
      <c r="A51" s="89">
        <v>5139</v>
      </c>
      <c r="B51" s="89">
        <v>39801</v>
      </c>
      <c r="C51" s="90" t="s">
        <v>612</v>
      </c>
      <c r="D51" s="93">
        <v>35000</v>
      </c>
      <c r="E51" s="93">
        <v>35000</v>
      </c>
      <c r="F51" s="93">
        <v>35000</v>
      </c>
      <c r="G51" s="93">
        <v>35000</v>
      </c>
      <c r="H51" s="93">
        <v>35000</v>
      </c>
      <c r="I51" s="93">
        <v>35000</v>
      </c>
      <c r="J51" s="93">
        <v>35000</v>
      </c>
      <c r="K51" s="93">
        <v>35000</v>
      </c>
      <c r="L51" s="93">
        <v>35000</v>
      </c>
      <c r="M51" s="93">
        <v>35000</v>
      </c>
      <c r="N51" s="93">
        <v>35000</v>
      </c>
      <c r="O51" s="93">
        <v>35000</v>
      </c>
      <c r="P51" s="93">
        <f t="shared" si="11"/>
        <v>420000</v>
      </c>
      <c r="Q51" s="93">
        <f t="shared" si="12"/>
        <v>140000</v>
      </c>
      <c r="R51" s="93"/>
      <c r="S51" s="559">
        <f t="shared" si="13"/>
        <v>140000</v>
      </c>
    </row>
    <row r="52" spans="1:25">
      <c r="A52" s="89">
        <v>5139</v>
      </c>
      <c r="B52" s="89">
        <v>39901</v>
      </c>
      <c r="C52" s="90" t="s">
        <v>137</v>
      </c>
      <c r="D52" s="93">
        <v>833.33333333333337</v>
      </c>
      <c r="E52" s="93">
        <v>833.33333333333337</v>
      </c>
      <c r="F52" s="93">
        <v>833.33333333333337</v>
      </c>
      <c r="G52" s="93">
        <v>833.33333333333337</v>
      </c>
      <c r="H52" s="93">
        <v>833.33333333333337</v>
      </c>
      <c r="I52" s="93">
        <v>833.33333333333337</v>
      </c>
      <c r="J52" s="93">
        <v>833.33333333333337</v>
      </c>
      <c r="K52" s="93">
        <v>833.33333333333337</v>
      </c>
      <c r="L52" s="93">
        <v>833.33333333333337</v>
      </c>
      <c r="M52" s="93">
        <v>833.33333333333337</v>
      </c>
      <c r="N52" s="93">
        <v>833.33333333333337</v>
      </c>
      <c r="O52" s="93">
        <v>833.33333333333337</v>
      </c>
      <c r="P52" s="93">
        <f t="shared" si="11"/>
        <v>10000</v>
      </c>
      <c r="Q52" s="93">
        <f t="shared" si="12"/>
        <v>3333.3333333333335</v>
      </c>
      <c r="R52" s="93"/>
      <c r="S52" s="559">
        <f t="shared" si="13"/>
        <v>3333.3333333333335</v>
      </c>
    </row>
    <row r="53" spans="1:25">
      <c r="A53" s="106"/>
      <c r="B53" s="106"/>
      <c r="C53" s="107"/>
      <c r="D53" s="93"/>
      <c r="E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559"/>
    </row>
    <row r="54" spans="1:25">
      <c r="A54" s="563" t="s">
        <v>1851</v>
      </c>
      <c r="B54" s="587"/>
      <c r="C54" s="149"/>
      <c r="D54" s="150">
        <f>SUM(D55:D57)</f>
        <v>84749.523684750005</v>
      </c>
      <c r="E54" s="150">
        <f t="shared" ref="E54:O54" si="14">SUM(E55:E57)</f>
        <v>84749.523684750005</v>
      </c>
      <c r="F54" s="150">
        <f t="shared" si="14"/>
        <v>84749.523684750005</v>
      </c>
      <c r="G54" s="150">
        <f t="shared" si="14"/>
        <v>84749.523684750005</v>
      </c>
      <c r="H54" s="150">
        <f t="shared" si="14"/>
        <v>84749.523684750005</v>
      </c>
      <c r="I54" s="150">
        <f t="shared" si="14"/>
        <v>84749.523684750005</v>
      </c>
      <c r="J54" s="150">
        <f t="shared" si="14"/>
        <v>84749.523684750005</v>
      </c>
      <c r="K54" s="150">
        <f t="shared" si="14"/>
        <v>84749.523684750005</v>
      </c>
      <c r="L54" s="150">
        <f t="shared" si="14"/>
        <v>84749.523684750005</v>
      </c>
      <c r="M54" s="150">
        <f t="shared" si="14"/>
        <v>84749.523684750005</v>
      </c>
      <c r="N54" s="150">
        <f t="shared" si="14"/>
        <v>84749.523684750005</v>
      </c>
      <c r="O54" s="150">
        <f t="shared" si="14"/>
        <v>84749.523684750005</v>
      </c>
      <c r="P54" s="150">
        <f t="shared" ref="P54" si="15">SUM(P55:P57)</f>
        <v>1016994.284217</v>
      </c>
      <c r="Q54" s="150">
        <f t="shared" ref="Q54" si="16">SUM(Q55:Q57)</f>
        <v>338998.09473900002</v>
      </c>
      <c r="R54" s="150">
        <f t="shared" ref="R54" si="17">SUM(R55:R57)</f>
        <v>159527.47</v>
      </c>
      <c r="S54" s="150">
        <f t="shared" ref="S54" si="18">SUM(S55:S57)</f>
        <v>179470.62473900002</v>
      </c>
    </row>
    <row r="55" spans="1:25">
      <c r="A55" s="108">
        <v>5212</v>
      </c>
      <c r="B55" s="108">
        <v>41503</v>
      </c>
      <c r="C55" s="109" t="s">
        <v>1852</v>
      </c>
      <c r="D55" s="93">
        <v>20000</v>
      </c>
      <c r="E55" s="93">
        <v>20000</v>
      </c>
      <c r="F55" s="93">
        <v>20000</v>
      </c>
      <c r="G55" s="93">
        <v>20000</v>
      </c>
      <c r="H55" s="93">
        <v>20000</v>
      </c>
      <c r="I55" s="93">
        <v>20000</v>
      </c>
      <c r="J55" s="93">
        <v>20000</v>
      </c>
      <c r="K55" s="93">
        <v>20000</v>
      </c>
      <c r="L55" s="93">
        <v>20000</v>
      </c>
      <c r="M55" s="93">
        <v>20000</v>
      </c>
      <c r="N55" s="93">
        <v>20000</v>
      </c>
      <c r="O55" s="93">
        <v>20000</v>
      </c>
      <c r="P55" s="93">
        <f t="shared" ref="P55:P57" si="19">SUM(D55:O55)</f>
        <v>240000</v>
      </c>
      <c r="Q55" s="93">
        <f t="shared" ref="Q55:Q57" si="20">SUM(D55:G55)</f>
        <v>80000</v>
      </c>
      <c r="R55" s="93">
        <v>49735.63</v>
      </c>
      <c r="S55" s="559">
        <f t="shared" ref="S55:S57" si="21">+Q55-R55</f>
        <v>30264.370000000003</v>
      </c>
    </row>
    <row r="56" spans="1:25">
      <c r="A56" s="108">
        <v>5251</v>
      </c>
      <c r="B56" s="108">
        <v>45101</v>
      </c>
      <c r="C56" s="109" t="s">
        <v>1853</v>
      </c>
      <c r="D56" s="93">
        <v>37205.905671749999</v>
      </c>
      <c r="E56" s="93">
        <v>37205.905671749999</v>
      </c>
      <c r="F56" s="93">
        <v>37205.905671749999</v>
      </c>
      <c r="G56" s="93">
        <v>37205.905671749999</v>
      </c>
      <c r="H56" s="93">
        <v>37205.905671749999</v>
      </c>
      <c r="I56" s="93">
        <v>37205.905671749999</v>
      </c>
      <c r="J56" s="93">
        <v>37205.905671749999</v>
      </c>
      <c r="K56" s="93">
        <v>37205.905671749999</v>
      </c>
      <c r="L56" s="93">
        <v>37205.905671749999</v>
      </c>
      <c r="M56" s="93">
        <v>37205.905671749999</v>
      </c>
      <c r="N56" s="93">
        <v>37205.905671749999</v>
      </c>
      <c r="O56" s="93">
        <v>37205.905671749999</v>
      </c>
      <c r="P56" s="93">
        <f t="shared" si="19"/>
        <v>446470.86806100007</v>
      </c>
      <c r="Q56" s="93">
        <f t="shared" si="20"/>
        <v>148823.622687</v>
      </c>
      <c r="R56" s="93">
        <v>79827.360000000001</v>
      </c>
      <c r="S56" s="559">
        <f t="shared" si="21"/>
        <v>68996.262686999995</v>
      </c>
    </row>
    <row r="57" spans="1:25">
      <c r="A57" s="89">
        <v>5251</v>
      </c>
      <c r="B57" s="89">
        <v>45201</v>
      </c>
      <c r="C57" s="90" t="s">
        <v>1854</v>
      </c>
      <c r="D57" s="93">
        <v>27543.618013000003</v>
      </c>
      <c r="E57" s="93">
        <v>27543.618013000003</v>
      </c>
      <c r="F57" s="93">
        <v>27543.618013000003</v>
      </c>
      <c r="G57" s="93">
        <v>27543.618013000003</v>
      </c>
      <c r="H57" s="93">
        <v>27543.618013000003</v>
      </c>
      <c r="I57" s="93">
        <v>27543.618013000003</v>
      </c>
      <c r="J57" s="93">
        <v>27543.618013000003</v>
      </c>
      <c r="K57" s="93">
        <v>27543.618013000003</v>
      </c>
      <c r="L57" s="93">
        <v>27543.618013000003</v>
      </c>
      <c r="M57" s="93">
        <v>27543.618013000003</v>
      </c>
      <c r="N57" s="93">
        <v>27543.618013000003</v>
      </c>
      <c r="O57" s="93">
        <v>27543.618013000003</v>
      </c>
      <c r="P57" s="93">
        <f t="shared" si="19"/>
        <v>330523.41615600005</v>
      </c>
      <c r="Q57" s="93">
        <f t="shared" si="20"/>
        <v>110174.47205200001</v>
      </c>
      <c r="R57" s="93">
        <v>29964.48</v>
      </c>
      <c r="S57" s="559">
        <f t="shared" si="21"/>
        <v>80209.992052000016</v>
      </c>
    </row>
    <row r="58" spans="1:25">
      <c r="A58" s="106"/>
      <c r="B58" s="106"/>
      <c r="C58" s="107"/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</row>
    <row r="59" spans="1:25">
      <c r="A59" s="111" t="s">
        <v>235</v>
      </c>
      <c r="B59" s="110"/>
      <c r="C59" s="94"/>
      <c r="D59" s="117">
        <f t="shared" ref="D59:S59" si="22">+D28+D20+D9+D54</f>
        <v>8471866.5179747492</v>
      </c>
      <c r="E59" s="117">
        <f t="shared" si="22"/>
        <v>2684127.8779747495</v>
      </c>
      <c r="F59" s="117">
        <f t="shared" si="22"/>
        <v>2258137.8779747495</v>
      </c>
      <c r="G59" s="117">
        <f t="shared" si="22"/>
        <v>5333179.5579747502</v>
      </c>
      <c r="H59" s="117">
        <f t="shared" si="22"/>
        <v>2818765.8779747495</v>
      </c>
      <c r="I59" s="117">
        <f t="shared" si="22"/>
        <v>2345727.5529747498</v>
      </c>
      <c r="J59" s="117">
        <f t="shared" si="22"/>
        <v>5333179.5579747502</v>
      </c>
      <c r="K59" s="117">
        <f t="shared" si="22"/>
        <v>2256165.8779747495</v>
      </c>
      <c r="L59" s="117">
        <f t="shared" si="22"/>
        <v>2256165.8779747495</v>
      </c>
      <c r="M59" s="117">
        <f t="shared" si="22"/>
        <v>2488745.8779747495</v>
      </c>
      <c r="N59" s="117">
        <f t="shared" si="22"/>
        <v>2259181.8779747495</v>
      </c>
      <c r="O59" s="117">
        <f t="shared" si="22"/>
        <v>4165357.8549747495</v>
      </c>
      <c r="P59" s="117">
        <f t="shared" si="22"/>
        <v>42670602.187696993</v>
      </c>
      <c r="Q59" s="117">
        <f t="shared" si="22"/>
        <v>18747311.831899002</v>
      </c>
      <c r="R59" s="117">
        <f t="shared" si="22"/>
        <v>8030595.3899999997</v>
      </c>
      <c r="S59" s="117">
        <f t="shared" si="22"/>
        <v>10716716.441899002</v>
      </c>
      <c r="V59" s="125"/>
      <c r="X59" s="127"/>
      <c r="Y59" s="127"/>
    </row>
    <row r="60" spans="1:25">
      <c r="A60" s="115"/>
      <c r="B60" s="114"/>
      <c r="V60" s="127"/>
    </row>
    <row r="61" spans="1:25">
      <c r="A61" s="115"/>
      <c r="B61" s="114"/>
    </row>
    <row r="62" spans="1:25">
      <c r="A62" s="118"/>
      <c r="B62" s="119"/>
      <c r="C62" s="104"/>
      <c r="D62" s="104"/>
      <c r="E62" s="104"/>
      <c r="F62" s="104"/>
      <c r="G62" s="104"/>
      <c r="H62" s="104"/>
      <c r="I62" s="104"/>
      <c r="J62" s="104"/>
      <c r="K62" s="104"/>
      <c r="L62" s="104"/>
      <c r="M62" s="104"/>
      <c r="N62" s="104"/>
      <c r="O62" s="104"/>
      <c r="P62" s="104"/>
    </row>
    <row r="63" spans="1:25">
      <c r="A63" s="118"/>
      <c r="B63" s="119"/>
      <c r="C63" s="104"/>
      <c r="D63" s="104"/>
      <c r="E63" s="104"/>
      <c r="F63" s="104"/>
      <c r="G63" s="104"/>
      <c r="H63" s="104"/>
      <c r="I63" s="104"/>
      <c r="J63" s="104"/>
      <c r="K63" s="104"/>
      <c r="L63" s="104"/>
      <c r="M63" s="104"/>
      <c r="N63" s="104"/>
      <c r="O63" s="104"/>
      <c r="P63" s="104"/>
    </row>
    <row r="64" spans="1:25" ht="15">
      <c r="A64" s="1559" t="s">
        <v>49</v>
      </c>
      <c r="B64" s="1560"/>
      <c r="C64" s="1560"/>
      <c r="D64" s="1560"/>
      <c r="E64" s="1560"/>
      <c r="F64" s="1560"/>
      <c r="G64" s="1560"/>
      <c r="H64" s="1560"/>
      <c r="I64" s="1560"/>
      <c r="J64" s="1560"/>
      <c r="K64" s="1560"/>
      <c r="L64" s="1560"/>
      <c r="M64" s="1560"/>
      <c r="N64" s="1560"/>
      <c r="O64" s="1560"/>
      <c r="P64" s="1560"/>
      <c r="Q64" s="1560"/>
      <c r="R64" s="1560"/>
      <c r="S64" s="1561"/>
    </row>
    <row r="65" spans="1:19">
      <c r="A65" s="115"/>
      <c r="B65" s="114"/>
    </row>
    <row r="66" spans="1:19">
      <c r="A66" s="610" t="s">
        <v>149</v>
      </c>
      <c r="B66" s="611"/>
      <c r="C66" s="612"/>
      <c r="D66" s="607" t="s">
        <v>51</v>
      </c>
      <c r="E66" s="607" t="s">
        <v>52</v>
      </c>
      <c r="F66" s="607" t="s">
        <v>53</v>
      </c>
      <c r="G66" s="607" t="s">
        <v>54</v>
      </c>
      <c r="H66" s="607" t="s">
        <v>55</v>
      </c>
      <c r="I66" s="607" t="s">
        <v>56</v>
      </c>
      <c r="J66" s="607" t="s">
        <v>57</v>
      </c>
      <c r="K66" s="607" t="s">
        <v>58</v>
      </c>
      <c r="L66" s="607" t="s">
        <v>59</v>
      </c>
      <c r="M66" s="607" t="s">
        <v>60</v>
      </c>
      <c r="N66" s="607" t="s">
        <v>61</v>
      </c>
      <c r="O66" s="607" t="s">
        <v>62</v>
      </c>
      <c r="P66" s="607" t="s">
        <v>5931</v>
      </c>
      <c r="Q66" s="607" t="s">
        <v>25</v>
      </c>
      <c r="R66" s="659" t="s">
        <v>236</v>
      </c>
      <c r="S66" s="607" t="s">
        <v>63</v>
      </c>
    </row>
    <row r="67" spans="1:19">
      <c r="A67" s="111" t="s">
        <v>146</v>
      </c>
      <c r="B67" s="116"/>
      <c r="C67" s="113"/>
      <c r="D67" s="117">
        <f t="shared" ref="D67:O67" si="23">SUM(D68)</f>
        <v>88605.92</v>
      </c>
      <c r="E67" s="117">
        <f t="shared" si="23"/>
        <v>88605.92</v>
      </c>
      <c r="F67" s="117">
        <f t="shared" si="23"/>
        <v>88605.92</v>
      </c>
      <c r="G67" s="117">
        <f t="shared" si="23"/>
        <v>88605.92</v>
      </c>
      <c r="H67" s="117">
        <f t="shared" si="23"/>
        <v>88605.92</v>
      </c>
      <c r="I67" s="117">
        <f t="shared" si="23"/>
        <v>88605.92</v>
      </c>
      <c r="J67" s="117">
        <f t="shared" si="23"/>
        <v>88605.92</v>
      </c>
      <c r="K67" s="117">
        <f t="shared" si="23"/>
        <v>88605.92</v>
      </c>
      <c r="L67" s="117">
        <f t="shared" si="23"/>
        <v>88605.92</v>
      </c>
      <c r="M67" s="117">
        <f t="shared" si="23"/>
        <v>88605.92</v>
      </c>
      <c r="N67" s="117">
        <f t="shared" si="23"/>
        <v>88605.92</v>
      </c>
      <c r="O67" s="117">
        <f t="shared" si="23"/>
        <v>88605.92</v>
      </c>
      <c r="P67" s="120">
        <f t="shared" ref="P67:S67" si="24">SUM(P68)</f>
        <v>1063271.0400000003</v>
      </c>
      <c r="Q67" s="120">
        <f t="shared" si="24"/>
        <v>354423.68</v>
      </c>
      <c r="R67" s="120">
        <f t="shared" si="24"/>
        <v>117639.26</v>
      </c>
      <c r="S67" s="120">
        <f t="shared" si="24"/>
        <v>236784.41999999998</v>
      </c>
    </row>
    <row r="68" spans="1:19">
      <c r="A68" s="89">
        <v>5126</v>
      </c>
      <c r="B68" s="89">
        <v>26101</v>
      </c>
      <c r="C68" s="90" t="s">
        <v>118</v>
      </c>
      <c r="D68" s="93">
        <v>88605.92</v>
      </c>
      <c r="E68" s="93">
        <v>88605.92</v>
      </c>
      <c r="F68" s="93">
        <v>88605.92</v>
      </c>
      <c r="G68" s="93">
        <v>88605.92</v>
      </c>
      <c r="H68" s="93">
        <v>88605.92</v>
      </c>
      <c r="I68" s="93">
        <v>88605.92</v>
      </c>
      <c r="J68" s="93">
        <v>88605.92</v>
      </c>
      <c r="K68" s="93">
        <v>88605.92</v>
      </c>
      <c r="L68" s="93">
        <v>88605.92</v>
      </c>
      <c r="M68" s="93">
        <v>88605.92</v>
      </c>
      <c r="N68" s="93">
        <v>88605.92</v>
      </c>
      <c r="O68" s="93">
        <v>88605.92</v>
      </c>
      <c r="P68" s="93">
        <f>SUM(D68:O68)</f>
        <v>1063271.0400000003</v>
      </c>
      <c r="Q68" s="93">
        <f>SUM(D68:G68)</f>
        <v>354423.68</v>
      </c>
      <c r="R68" s="93">
        <v>117639.26</v>
      </c>
      <c r="S68" s="559">
        <f>+Q68-R68</f>
        <v>236784.41999999998</v>
      </c>
    </row>
    <row r="69" spans="1:19">
      <c r="A69" s="89"/>
      <c r="B69" s="89"/>
      <c r="C69" s="90"/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</row>
    <row r="70" spans="1:19">
      <c r="A70" s="111" t="s">
        <v>147</v>
      </c>
      <c r="B70" s="116"/>
      <c r="C70" s="113"/>
      <c r="D70" s="117">
        <f t="shared" ref="D70:S70" si="25">SUM(D71:D76)</f>
        <v>18267595.798916668</v>
      </c>
      <c r="E70" s="117">
        <f t="shared" si="25"/>
        <v>1267595.8389166666</v>
      </c>
      <c r="F70" s="117">
        <f t="shared" si="25"/>
        <v>1267595.8389166666</v>
      </c>
      <c r="G70" s="117">
        <f t="shared" si="25"/>
        <v>14267595.838916667</v>
      </c>
      <c r="H70" s="117">
        <f t="shared" si="25"/>
        <v>1267595.8389166666</v>
      </c>
      <c r="I70" s="117">
        <f t="shared" si="25"/>
        <v>1267595.8389166666</v>
      </c>
      <c r="J70" s="117">
        <f t="shared" si="25"/>
        <v>14267595.838916667</v>
      </c>
      <c r="K70" s="117">
        <f t="shared" si="25"/>
        <v>1267595.8389166666</v>
      </c>
      <c r="L70" s="117">
        <f t="shared" si="25"/>
        <v>1267595.8389166666</v>
      </c>
      <c r="M70" s="117">
        <f t="shared" si="25"/>
        <v>14267595.838916667</v>
      </c>
      <c r="N70" s="117">
        <f t="shared" si="25"/>
        <v>1267595.8389166666</v>
      </c>
      <c r="O70" s="117">
        <f t="shared" si="25"/>
        <v>1267595.8389166666</v>
      </c>
      <c r="P70" s="120">
        <f t="shared" si="25"/>
        <v>71211150.026999995</v>
      </c>
      <c r="Q70" s="120">
        <f t="shared" si="25"/>
        <v>35070383.315666668</v>
      </c>
      <c r="R70" s="120">
        <f t="shared" si="25"/>
        <v>4360812.88</v>
      </c>
      <c r="S70" s="120">
        <f t="shared" si="25"/>
        <v>30709570.435666669</v>
      </c>
    </row>
    <row r="71" spans="1:19">
      <c r="A71" s="89">
        <v>5131</v>
      </c>
      <c r="B71" s="89">
        <v>31101</v>
      </c>
      <c r="C71" s="90" t="s">
        <v>11</v>
      </c>
      <c r="D71" s="93">
        <v>515736</v>
      </c>
      <c r="E71" s="93">
        <v>515736</v>
      </c>
      <c r="F71" s="93">
        <v>515736</v>
      </c>
      <c r="G71" s="93">
        <v>515736</v>
      </c>
      <c r="H71" s="93">
        <v>515736</v>
      </c>
      <c r="I71" s="93">
        <v>515736</v>
      </c>
      <c r="J71" s="93">
        <v>515736</v>
      </c>
      <c r="K71" s="93">
        <v>515736</v>
      </c>
      <c r="L71" s="93">
        <v>515736</v>
      </c>
      <c r="M71" s="93">
        <v>515736</v>
      </c>
      <c r="N71" s="93">
        <v>515736</v>
      </c>
      <c r="O71" s="93">
        <v>515736</v>
      </c>
      <c r="P71" s="93">
        <f t="shared" ref="P71:P76" si="26">SUM(D71:O71)</f>
        <v>6188832</v>
      </c>
      <c r="Q71" s="93">
        <f t="shared" ref="Q71:Q76" si="27">SUM(D71:G71)</f>
        <v>2062944</v>
      </c>
      <c r="R71" s="93">
        <v>1326505.27</v>
      </c>
      <c r="S71" s="559">
        <f t="shared" ref="S71:S76" si="28">+Q71-R71</f>
        <v>736438.73</v>
      </c>
    </row>
    <row r="72" spans="1:19">
      <c r="A72" s="89">
        <v>5131</v>
      </c>
      <c r="B72" s="89">
        <v>31301</v>
      </c>
      <c r="C72" s="90" t="s">
        <v>22</v>
      </c>
      <c r="D72" s="93">
        <v>13000000</v>
      </c>
      <c r="E72" s="93">
        <v>0</v>
      </c>
      <c r="F72" s="93">
        <v>0</v>
      </c>
      <c r="G72" s="93">
        <v>13000000</v>
      </c>
      <c r="H72" s="93">
        <v>0</v>
      </c>
      <c r="I72" s="93">
        <v>0</v>
      </c>
      <c r="J72" s="93">
        <v>13000000</v>
      </c>
      <c r="K72" s="93">
        <v>0</v>
      </c>
      <c r="L72" s="93">
        <v>0</v>
      </c>
      <c r="M72" s="93">
        <v>13000000</v>
      </c>
      <c r="N72" s="93">
        <v>0</v>
      </c>
      <c r="O72" s="93">
        <v>0</v>
      </c>
      <c r="P72" s="93">
        <f t="shared" si="26"/>
        <v>52000000</v>
      </c>
      <c r="Q72" s="93">
        <f t="shared" si="27"/>
        <v>26000000</v>
      </c>
      <c r="R72" s="93">
        <v>292538.68</v>
      </c>
      <c r="S72" s="559">
        <f t="shared" si="28"/>
        <v>25707461.32</v>
      </c>
    </row>
    <row r="73" spans="1:19">
      <c r="A73" s="89">
        <v>5133</v>
      </c>
      <c r="B73" s="89">
        <v>33801</v>
      </c>
      <c r="C73" s="90" t="s">
        <v>138</v>
      </c>
      <c r="D73" s="93">
        <v>333333.33333333331</v>
      </c>
      <c r="E73" s="93">
        <v>333333.33333333331</v>
      </c>
      <c r="F73" s="93">
        <v>333333.33333333331</v>
      </c>
      <c r="G73" s="93">
        <v>333333.33333333331</v>
      </c>
      <c r="H73" s="93">
        <v>333333.33333333331</v>
      </c>
      <c r="I73" s="93">
        <v>333333.33333333331</v>
      </c>
      <c r="J73" s="93">
        <v>333333.33333333331</v>
      </c>
      <c r="K73" s="93">
        <v>333333.33333333331</v>
      </c>
      <c r="L73" s="93">
        <v>333333.33333333331</v>
      </c>
      <c r="M73" s="93">
        <v>333333.33333333331</v>
      </c>
      <c r="N73" s="93">
        <v>333333.33333333331</v>
      </c>
      <c r="O73" s="93">
        <v>333333.33333333331</v>
      </c>
      <c r="P73" s="93">
        <f t="shared" si="26"/>
        <v>4000000.0000000005</v>
      </c>
      <c r="Q73" s="93">
        <f t="shared" si="27"/>
        <v>1333333.3333333333</v>
      </c>
      <c r="R73" s="93">
        <v>1238282.72</v>
      </c>
      <c r="S73" s="559">
        <f t="shared" si="28"/>
        <v>95050.613333333284</v>
      </c>
    </row>
    <row r="74" spans="1:19">
      <c r="A74" s="89">
        <v>5134</v>
      </c>
      <c r="B74" s="89">
        <v>34501</v>
      </c>
      <c r="C74" s="90" t="s">
        <v>127</v>
      </c>
      <c r="D74" s="93">
        <v>25000</v>
      </c>
      <c r="E74" s="93">
        <v>25000</v>
      </c>
      <c r="F74" s="93">
        <v>25000</v>
      </c>
      <c r="G74" s="93">
        <v>25000</v>
      </c>
      <c r="H74" s="93">
        <v>25000</v>
      </c>
      <c r="I74" s="93">
        <v>25000</v>
      </c>
      <c r="J74" s="93">
        <v>25000</v>
      </c>
      <c r="K74" s="93">
        <v>25000</v>
      </c>
      <c r="L74" s="93">
        <v>25000</v>
      </c>
      <c r="M74" s="93">
        <v>25000</v>
      </c>
      <c r="N74" s="93">
        <v>25000</v>
      </c>
      <c r="O74" s="93">
        <v>25000</v>
      </c>
      <c r="P74" s="93">
        <f t="shared" si="26"/>
        <v>300000</v>
      </c>
      <c r="Q74" s="93">
        <f t="shared" si="27"/>
        <v>100000</v>
      </c>
      <c r="R74" s="779">
        <v>61849.29</v>
      </c>
      <c r="S74" s="559">
        <f t="shared" si="28"/>
        <v>38150.71</v>
      </c>
    </row>
    <row r="75" spans="1:19">
      <c r="A75" s="89">
        <v>5135</v>
      </c>
      <c r="B75" s="89">
        <v>35101</v>
      </c>
      <c r="C75" s="90" t="s">
        <v>139</v>
      </c>
      <c r="D75" s="41">
        <v>393526.50558333332</v>
      </c>
      <c r="E75" s="41">
        <v>393526.50558333332</v>
      </c>
      <c r="F75" s="41">
        <v>393526.50558333332</v>
      </c>
      <c r="G75" s="41">
        <v>393526.50558333332</v>
      </c>
      <c r="H75" s="41">
        <v>393526.50558333332</v>
      </c>
      <c r="I75" s="41">
        <v>393526.50558333332</v>
      </c>
      <c r="J75" s="41">
        <v>393526.50558333332</v>
      </c>
      <c r="K75" s="41">
        <v>393526.50558333332</v>
      </c>
      <c r="L75" s="41">
        <v>393526.50558333332</v>
      </c>
      <c r="M75" s="41">
        <v>393526.50558333332</v>
      </c>
      <c r="N75" s="41">
        <v>393526.50558333332</v>
      </c>
      <c r="O75" s="41">
        <v>393526.50558333332</v>
      </c>
      <c r="P75" s="93">
        <f t="shared" si="26"/>
        <v>4722318.0669999998</v>
      </c>
      <c r="Q75" s="93">
        <f t="shared" si="27"/>
        <v>1574106.0223333333</v>
      </c>
      <c r="R75" s="779">
        <v>1381651.79</v>
      </c>
      <c r="S75" s="559">
        <f t="shared" si="28"/>
        <v>192454.23233333323</v>
      </c>
    </row>
    <row r="76" spans="1:19">
      <c r="A76" s="89">
        <v>5135</v>
      </c>
      <c r="B76" s="89">
        <v>35701</v>
      </c>
      <c r="C76" s="90" t="s">
        <v>140</v>
      </c>
      <c r="D76" s="93">
        <v>3999999.9600000004</v>
      </c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>
        <f t="shared" si="26"/>
        <v>3999999.9600000004</v>
      </c>
      <c r="Q76" s="93">
        <f t="shared" si="27"/>
        <v>3999999.9600000004</v>
      </c>
      <c r="R76" s="93">
        <v>59985.13</v>
      </c>
      <c r="S76" s="559">
        <f t="shared" si="28"/>
        <v>3940014.8300000005</v>
      </c>
    </row>
    <row r="77" spans="1:19">
      <c r="A77" s="111" t="s">
        <v>154</v>
      </c>
      <c r="B77" s="110"/>
      <c r="C77" s="94"/>
      <c r="D77" s="120">
        <f t="shared" ref="D77:S77" si="29">+D70+D67</f>
        <v>18356201.718916669</v>
      </c>
      <c r="E77" s="120">
        <f t="shared" si="29"/>
        <v>1356201.7589166665</v>
      </c>
      <c r="F77" s="120">
        <f t="shared" si="29"/>
        <v>1356201.7589166665</v>
      </c>
      <c r="G77" s="120">
        <f t="shared" si="29"/>
        <v>14356201.758916667</v>
      </c>
      <c r="H77" s="120">
        <f t="shared" si="29"/>
        <v>1356201.7589166665</v>
      </c>
      <c r="I77" s="120">
        <f t="shared" si="29"/>
        <v>1356201.7589166665</v>
      </c>
      <c r="J77" s="120">
        <f t="shared" si="29"/>
        <v>14356201.758916667</v>
      </c>
      <c r="K77" s="120">
        <f t="shared" si="29"/>
        <v>1356201.7589166665</v>
      </c>
      <c r="L77" s="120">
        <f t="shared" si="29"/>
        <v>1356201.7589166665</v>
      </c>
      <c r="M77" s="120">
        <f t="shared" si="29"/>
        <v>14356201.758916667</v>
      </c>
      <c r="N77" s="120">
        <f t="shared" si="29"/>
        <v>1356201.7589166665</v>
      </c>
      <c r="O77" s="120">
        <f t="shared" si="29"/>
        <v>1356201.7589166665</v>
      </c>
      <c r="P77" s="120">
        <f t="shared" si="29"/>
        <v>72274421.067000002</v>
      </c>
      <c r="Q77" s="120">
        <f t="shared" si="29"/>
        <v>35424806.995666668</v>
      </c>
      <c r="R77" s="120">
        <f t="shared" si="29"/>
        <v>4478452.1399999997</v>
      </c>
      <c r="S77" s="120">
        <f t="shared" si="29"/>
        <v>30946354.855666671</v>
      </c>
    </row>
    <row r="78" spans="1:19">
      <c r="A78" s="115"/>
      <c r="B78" s="114"/>
    </row>
    <row r="79" spans="1:19">
      <c r="A79" s="114"/>
      <c r="B79" s="114"/>
      <c r="D79" s="124"/>
      <c r="E79" s="124"/>
      <c r="F79" s="124"/>
      <c r="G79" s="124"/>
      <c r="H79" s="124"/>
      <c r="I79" s="124"/>
      <c r="J79" s="124"/>
      <c r="K79" s="124"/>
      <c r="L79" s="124"/>
      <c r="M79" s="124"/>
      <c r="N79" s="124"/>
      <c r="O79" s="124"/>
      <c r="P79" s="124"/>
    </row>
    <row r="80" spans="1:19" s="2" customFormat="1">
      <c r="A80" s="610" t="s">
        <v>150</v>
      </c>
      <c r="B80" s="611"/>
      <c r="C80" s="612"/>
      <c r="D80" s="607" t="s">
        <v>51</v>
      </c>
      <c r="E80" s="607" t="s">
        <v>52</v>
      </c>
      <c r="F80" s="607" t="s">
        <v>53</v>
      </c>
      <c r="G80" s="607" t="s">
        <v>54</v>
      </c>
      <c r="H80" s="607" t="s">
        <v>55</v>
      </c>
      <c r="I80" s="607" t="s">
        <v>56</v>
      </c>
      <c r="J80" s="607" t="s">
        <v>57</v>
      </c>
      <c r="K80" s="607" t="s">
        <v>58</v>
      </c>
      <c r="L80" s="607" t="s">
        <v>59</v>
      </c>
      <c r="M80" s="607" t="s">
        <v>60</v>
      </c>
      <c r="N80" s="607" t="s">
        <v>61</v>
      </c>
      <c r="O80" s="607" t="s">
        <v>62</v>
      </c>
      <c r="P80" s="607" t="s">
        <v>5931</v>
      </c>
      <c r="Q80" s="607" t="s">
        <v>25</v>
      </c>
      <c r="R80" s="659" t="s">
        <v>236</v>
      </c>
      <c r="S80" s="607" t="s">
        <v>63</v>
      </c>
    </row>
    <row r="81" spans="1:20">
      <c r="A81" s="111" t="s">
        <v>146</v>
      </c>
      <c r="B81" s="116"/>
      <c r="C81" s="113"/>
      <c r="D81" s="117">
        <f t="shared" ref="D81:S81" si="30">SUM(D82)</f>
        <v>6539.5200000000013</v>
      </c>
      <c r="E81" s="117">
        <f t="shared" si="30"/>
        <v>6539.5200000000013</v>
      </c>
      <c r="F81" s="117">
        <f t="shared" si="30"/>
        <v>6539.5200000000013</v>
      </c>
      <c r="G81" s="117">
        <f t="shared" si="30"/>
        <v>6539.5200000000013</v>
      </c>
      <c r="H81" s="117">
        <f t="shared" si="30"/>
        <v>6539.5200000000013</v>
      </c>
      <c r="I81" s="117">
        <f t="shared" si="30"/>
        <v>6539.5200000000013</v>
      </c>
      <c r="J81" s="117">
        <f t="shared" si="30"/>
        <v>6539.5200000000013</v>
      </c>
      <c r="K81" s="117">
        <f t="shared" si="30"/>
        <v>6539.5200000000013</v>
      </c>
      <c r="L81" s="117">
        <f t="shared" si="30"/>
        <v>6539.5200000000013</v>
      </c>
      <c r="M81" s="117">
        <f t="shared" si="30"/>
        <v>6539.5200000000013</v>
      </c>
      <c r="N81" s="117">
        <f t="shared" si="30"/>
        <v>6539.5200000000013</v>
      </c>
      <c r="O81" s="117">
        <f t="shared" si="30"/>
        <v>6539.5200000000013</v>
      </c>
      <c r="P81" s="120">
        <f t="shared" si="30"/>
        <v>78474.240000000034</v>
      </c>
      <c r="Q81" s="120">
        <f t="shared" si="30"/>
        <v>26158.080000000005</v>
      </c>
      <c r="R81" s="120">
        <f t="shared" si="30"/>
        <v>22200</v>
      </c>
      <c r="S81" s="120">
        <f t="shared" si="30"/>
        <v>3958.0800000000054</v>
      </c>
    </row>
    <row r="82" spans="1:20">
      <c r="A82" s="89">
        <v>5126</v>
      </c>
      <c r="B82" s="89">
        <v>26101</v>
      </c>
      <c r="C82" s="90" t="s">
        <v>118</v>
      </c>
      <c r="D82" s="93">
        <v>6539.5200000000013</v>
      </c>
      <c r="E82" s="93">
        <v>6539.5200000000013</v>
      </c>
      <c r="F82" s="93">
        <v>6539.5200000000013</v>
      </c>
      <c r="G82" s="93">
        <v>6539.5200000000013</v>
      </c>
      <c r="H82" s="93">
        <v>6539.5200000000013</v>
      </c>
      <c r="I82" s="93">
        <v>6539.5200000000013</v>
      </c>
      <c r="J82" s="93">
        <v>6539.5200000000013</v>
      </c>
      <c r="K82" s="93">
        <v>6539.5200000000013</v>
      </c>
      <c r="L82" s="93">
        <v>6539.5200000000013</v>
      </c>
      <c r="M82" s="93">
        <v>6539.5200000000013</v>
      </c>
      <c r="N82" s="93">
        <v>6539.5200000000013</v>
      </c>
      <c r="O82" s="93">
        <v>6539.5200000000013</v>
      </c>
      <c r="P82" s="93">
        <f>SUM(D82:O82)</f>
        <v>78474.240000000034</v>
      </c>
      <c r="Q82" s="93">
        <f>SUM(D82:G82)</f>
        <v>26158.080000000005</v>
      </c>
      <c r="R82" s="93">
        <v>22200</v>
      </c>
      <c r="S82" s="559">
        <f>+Q82-R82</f>
        <v>3958.0800000000054</v>
      </c>
    </row>
    <row r="83" spans="1:20">
      <c r="A83" s="89"/>
      <c r="B83" s="89"/>
      <c r="C83" s="90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</row>
    <row r="84" spans="1:20">
      <c r="A84" s="111" t="s">
        <v>147</v>
      </c>
      <c r="B84" s="110"/>
      <c r="C84" s="94"/>
      <c r="D84" s="117">
        <f t="shared" ref="D84:S84" si="31">SUM(D85:D88)</f>
        <v>3213704.4331666669</v>
      </c>
      <c r="E84" s="117">
        <f t="shared" si="31"/>
        <v>313704.47316666663</v>
      </c>
      <c r="F84" s="117">
        <f t="shared" si="31"/>
        <v>313704.47316666663</v>
      </c>
      <c r="G84" s="117">
        <f t="shared" si="31"/>
        <v>1613704.4731666667</v>
      </c>
      <c r="H84" s="117">
        <f t="shared" si="31"/>
        <v>313704.47316666663</v>
      </c>
      <c r="I84" s="117">
        <f t="shared" si="31"/>
        <v>313704.47316666663</v>
      </c>
      <c r="J84" s="117">
        <f t="shared" si="31"/>
        <v>1613704.4731666667</v>
      </c>
      <c r="K84" s="117">
        <f t="shared" si="31"/>
        <v>313704.47316666663</v>
      </c>
      <c r="L84" s="117">
        <f t="shared" si="31"/>
        <v>313704.47316666663</v>
      </c>
      <c r="M84" s="117">
        <f t="shared" si="31"/>
        <v>1613704.4731666667</v>
      </c>
      <c r="N84" s="117">
        <f t="shared" si="31"/>
        <v>313704.47316666663</v>
      </c>
      <c r="O84" s="117">
        <f t="shared" si="31"/>
        <v>313704.47316666663</v>
      </c>
      <c r="P84" s="117">
        <f t="shared" si="31"/>
        <v>10564453.638</v>
      </c>
      <c r="Q84" s="117">
        <f t="shared" si="31"/>
        <v>5454817.8526666667</v>
      </c>
      <c r="R84" s="117">
        <f t="shared" si="31"/>
        <v>880521.86</v>
      </c>
      <c r="S84" s="117">
        <f t="shared" si="31"/>
        <v>4574295.9926666664</v>
      </c>
    </row>
    <row r="85" spans="1:20" s="2" customFormat="1">
      <c r="A85" s="108">
        <v>5131</v>
      </c>
      <c r="B85" s="108">
        <v>31101</v>
      </c>
      <c r="C85" s="109" t="s">
        <v>11</v>
      </c>
      <c r="D85" s="93">
        <v>129043.19999999997</v>
      </c>
      <c r="E85" s="93">
        <v>129043.19999999997</v>
      </c>
      <c r="F85" s="93">
        <v>129043.19999999997</v>
      </c>
      <c r="G85" s="93">
        <v>129043.19999999997</v>
      </c>
      <c r="H85" s="93">
        <v>129043.19999999997</v>
      </c>
      <c r="I85" s="93">
        <v>129043.19999999997</v>
      </c>
      <c r="J85" s="93">
        <v>129043.19999999997</v>
      </c>
      <c r="K85" s="93">
        <v>129043.19999999997</v>
      </c>
      <c r="L85" s="93">
        <v>129043.19999999997</v>
      </c>
      <c r="M85" s="93">
        <v>129043.19999999997</v>
      </c>
      <c r="N85" s="93">
        <v>129043.19999999997</v>
      </c>
      <c r="O85" s="93">
        <v>129043.19999999997</v>
      </c>
      <c r="P85" s="93">
        <f t="shared" ref="P85:P88" si="32">SUM(D85:O85)</f>
        <v>1548518.3999999997</v>
      </c>
      <c r="Q85" s="93">
        <f t="shared" ref="Q85:Q88" si="33">SUM(D85:G85)</f>
        <v>516172.79999999987</v>
      </c>
      <c r="R85" s="779">
        <v>531685.01</v>
      </c>
      <c r="S85" s="559">
        <f t="shared" ref="S85:S88" si="34">+Q85-R85</f>
        <v>-15512.210000000137</v>
      </c>
    </row>
    <row r="86" spans="1:20">
      <c r="A86" s="89">
        <v>5131</v>
      </c>
      <c r="B86" s="89">
        <v>31301</v>
      </c>
      <c r="C86" s="90" t="s">
        <v>22</v>
      </c>
      <c r="D86" s="93">
        <v>1300000</v>
      </c>
      <c r="E86" s="93">
        <v>0</v>
      </c>
      <c r="F86" s="93">
        <v>0</v>
      </c>
      <c r="G86" s="93">
        <v>1300000</v>
      </c>
      <c r="H86" s="93">
        <v>0</v>
      </c>
      <c r="I86" s="93">
        <v>0</v>
      </c>
      <c r="J86" s="93">
        <v>1300000</v>
      </c>
      <c r="K86" s="93">
        <v>0</v>
      </c>
      <c r="L86" s="93">
        <v>0</v>
      </c>
      <c r="M86" s="93">
        <v>1300000</v>
      </c>
      <c r="N86" s="93">
        <v>0</v>
      </c>
      <c r="O86" s="93">
        <v>0</v>
      </c>
      <c r="P86" s="93">
        <f t="shared" si="32"/>
        <v>5200000</v>
      </c>
      <c r="Q86" s="93">
        <f t="shared" si="33"/>
        <v>2600000</v>
      </c>
      <c r="R86" s="93">
        <v>85841</v>
      </c>
      <c r="S86" s="559">
        <f t="shared" si="34"/>
        <v>2514159</v>
      </c>
    </row>
    <row r="87" spans="1:20">
      <c r="A87" s="89">
        <v>5135</v>
      </c>
      <c r="B87" s="89">
        <v>35101</v>
      </c>
      <c r="C87" s="90" t="s">
        <v>139</v>
      </c>
      <c r="D87" s="93">
        <v>184661.27316666665</v>
      </c>
      <c r="E87" s="93">
        <v>184661.27316666665</v>
      </c>
      <c r="F87" s="93">
        <v>184661.27316666665</v>
      </c>
      <c r="G87" s="93">
        <v>184661.27316666665</v>
      </c>
      <c r="H87" s="93">
        <v>184661.27316666665</v>
      </c>
      <c r="I87" s="93">
        <v>184661.27316666665</v>
      </c>
      <c r="J87" s="93">
        <v>184661.27316666665</v>
      </c>
      <c r="K87" s="93">
        <v>184661.27316666665</v>
      </c>
      <c r="L87" s="93">
        <v>184661.27316666665</v>
      </c>
      <c r="M87" s="93">
        <v>184661.27316666665</v>
      </c>
      <c r="N87" s="93">
        <v>184661.27316666665</v>
      </c>
      <c r="O87" s="93">
        <v>184661.27316666665</v>
      </c>
      <c r="P87" s="93">
        <f t="shared" si="32"/>
        <v>2215935.2780000004</v>
      </c>
      <c r="Q87" s="93">
        <f t="shared" si="33"/>
        <v>738645.09266666661</v>
      </c>
      <c r="R87" s="779">
        <v>262995.84999999998</v>
      </c>
      <c r="S87" s="559">
        <f t="shared" si="34"/>
        <v>475649.24266666663</v>
      </c>
    </row>
    <row r="88" spans="1:20">
      <c r="A88" s="89">
        <v>5135</v>
      </c>
      <c r="B88" s="89">
        <v>35701</v>
      </c>
      <c r="C88" s="90" t="s">
        <v>140</v>
      </c>
      <c r="D88" s="93">
        <v>1599999.9600000002</v>
      </c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>
        <f t="shared" si="32"/>
        <v>1599999.9600000002</v>
      </c>
      <c r="Q88" s="93">
        <f t="shared" si="33"/>
        <v>1599999.9600000002</v>
      </c>
      <c r="R88" s="93"/>
      <c r="S88" s="559">
        <f t="shared" si="34"/>
        <v>1599999.9600000002</v>
      </c>
    </row>
    <row r="89" spans="1:20">
      <c r="A89" s="111" t="s">
        <v>155</v>
      </c>
      <c r="B89" s="110"/>
      <c r="C89" s="94"/>
      <c r="D89" s="120">
        <f>+D84+D81</f>
        <v>3220243.9531666669</v>
      </c>
      <c r="E89" s="120">
        <f t="shared" ref="E89:S89" si="35">+E84+E81</f>
        <v>320243.99316666665</v>
      </c>
      <c r="F89" s="120">
        <f t="shared" si="35"/>
        <v>320243.99316666665</v>
      </c>
      <c r="G89" s="120">
        <f t="shared" si="35"/>
        <v>1620243.9931666667</v>
      </c>
      <c r="H89" s="120">
        <f t="shared" si="35"/>
        <v>320243.99316666665</v>
      </c>
      <c r="I89" s="120">
        <f t="shared" si="35"/>
        <v>320243.99316666665</v>
      </c>
      <c r="J89" s="120">
        <f t="shared" si="35"/>
        <v>1620243.9931666667</v>
      </c>
      <c r="K89" s="120">
        <f t="shared" si="35"/>
        <v>320243.99316666665</v>
      </c>
      <c r="L89" s="120">
        <f t="shared" si="35"/>
        <v>320243.99316666665</v>
      </c>
      <c r="M89" s="120">
        <f t="shared" si="35"/>
        <v>1620243.9931666667</v>
      </c>
      <c r="N89" s="120">
        <f t="shared" si="35"/>
        <v>320243.99316666665</v>
      </c>
      <c r="O89" s="120">
        <f t="shared" si="35"/>
        <v>320243.99316666665</v>
      </c>
      <c r="P89" s="120">
        <f t="shared" si="35"/>
        <v>10642927.878</v>
      </c>
      <c r="Q89" s="120">
        <f t="shared" si="35"/>
        <v>5480975.9326666668</v>
      </c>
      <c r="R89" s="120">
        <f t="shared" si="35"/>
        <v>902721.86</v>
      </c>
      <c r="S89" s="120">
        <f t="shared" si="35"/>
        <v>4578254.0726666665</v>
      </c>
    </row>
    <row r="90" spans="1:20">
      <c r="A90" s="115"/>
      <c r="B90" s="114"/>
    </row>
    <row r="91" spans="1:20" s="2" customFormat="1">
      <c r="A91" s="114"/>
      <c r="B91" s="114"/>
      <c r="C91" s="73"/>
      <c r="D91" s="73"/>
      <c r="E91" s="73"/>
      <c r="F91" s="73"/>
      <c r="G91" s="73"/>
      <c r="H91" s="73"/>
      <c r="I91" s="73"/>
      <c r="J91" s="73"/>
      <c r="K91" s="73"/>
      <c r="L91" s="73"/>
      <c r="M91" s="73"/>
      <c r="N91" s="73"/>
      <c r="O91" s="73"/>
      <c r="P91" s="73"/>
    </row>
    <row r="92" spans="1:20">
      <c r="A92" s="610" t="s">
        <v>151</v>
      </c>
      <c r="B92" s="611"/>
      <c r="C92" s="612"/>
      <c r="D92" s="607" t="s">
        <v>51</v>
      </c>
      <c r="E92" s="607" t="s">
        <v>52</v>
      </c>
      <c r="F92" s="607" t="s">
        <v>53</v>
      </c>
      <c r="G92" s="607" t="s">
        <v>54</v>
      </c>
      <c r="H92" s="607" t="s">
        <v>55</v>
      </c>
      <c r="I92" s="607" t="s">
        <v>56</v>
      </c>
      <c r="J92" s="607" t="s">
        <v>57</v>
      </c>
      <c r="K92" s="607" t="s">
        <v>58</v>
      </c>
      <c r="L92" s="607" t="s">
        <v>59</v>
      </c>
      <c r="M92" s="607" t="s">
        <v>60</v>
      </c>
      <c r="N92" s="607" t="s">
        <v>61</v>
      </c>
      <c r="O92" s="607" t="s">
        <v>62</v>
      </c>
      <c r="P92" s="607" t="s">
        <v>5931</v>
      </c>
      <c r="Q92" s="607" t="s">
        <v>25</v>
      </c>
      <c r="R92" s="659" t="s">
        <v>236</v>
      </c>
      <c r="S92" s="607" t="s">
        <v>63</v>
      </c>
    </row>
    <row r="93" spans="1:20">
      <c r="A93" s="111" t="s">
        <v>146</v>
      </c>
      <c r="B93" s="116"/>
      <c r="C93" s="113"/>
      <c r="D93" s="117">
        <f t="shared" ref="D93:S93" si="36">SUM(D94)</f>
        <v>8520.5120000000006</v>
      </c>
      <c r="E93" s="117">
        <f t="shared" si="36"/>
        <v>8520.5120000000006</v>
      </c>
      <c r="F93" s="117">
        <f t="shared" si="36"/>
        <v>8520.5120000000006</v>
      </c>
      <c r="G93" s="117">
        <f t="shared" si="36"/>
        <v>8520.5120000000006</v>
      </c>
      <c r="H93" s="117">
        <f t="shared" si="36"/>
        <v>8520.5120000000006</v>
      </c>
      <c r="I93" s="117">
        <f t="shared" si="36"/>
        <v>8520.5120000000006</v>
      </c>
      <c r="J93" s="117">
        <f t="shared" si="36"/>
        <v>8520.5120000000006</v>
      </c>
      <c r="K93" s="117">
        <f t="shared" si="36"/>
        <v>8520.5120000000006</v>
      </c>
      <c r="L93" s="117">
        <f t="shared" si="36"/>
        <v>8520.5120000000006</v>
      </c>
      <c r="M93" s="117">
        <f t="shared" si="36"/>
        <v>8520.5120000000006</v>
      </c>
      <c r="N93" s="117">
        <f t="shared" si="36"/>
        <v>8520.5120000000006</v>
      </c>
      <c r="O93" s="117">
        <f t="shared" si="36"/>
        <v>8520.5120000000006</v>
      </c>
      <c r="P93" s="120">
        <f t="shared" si="36"/>
        <v>102246.14400000001</v>
      </c>
      <c r="Q93" s="120">
        <f t="shared" si="36"/>
        <v>34082.048000000003</v>
      </c>
      <c r="R93" s="120">
        <f t="shared" si="36"/>
        <v>6600</v>
      </c>
      <c r="S93" s="120">
        <f t="shared" si="36"/>
        <v>27482.048000000003</v>
      </c>
    </row>
    <row r="94" spans="1:20">
      <c r="A94" s="89">
        <v>5126</v>
      </c>
      <c r="B94" s="89">
        <v>26101</v>
      </c>
      <c r="C94" s="90" t="s">
        <v>118</v>
      </c>
      <c r="D94" s="93">
        <v>8520.5120000000006</v>
      </c>
      <c r="E94" s="93">
        <v>8520.5120000000006</v>
      </c>
      <c r="F94" s="93">
        <v>8520.5120000000006</v>
      </c>
      <c r="G94" s="93">
        <v>8520.5120000000006</v>
      </c>
      <c r="H94" s="93">
        <v>8520.5120000000006</v>
      </c>
      <c r="I94" s="93">
        <v>8520.5120000000006</v>
      </c>
      <c r="J94" s="93">
        <v>8520.5120000000006</v>
      </c>
      <c r="K94" s="93">
        <v>8520.5120000000006</v>
      </c>
      <c r="L94" s="93">
        <v>8520.5120000000006</v>
      </c>
      <c r="M94" s="93">
        <v>8520.5120000000006</v>
      </c>
      <c r="N94" s="93">
        <v>8520.5120000000006</v>
      </c>
      <c r="O94" s="93">
        <v>8520.5120000000006</v>
      </c>
      <c r="P94" s="93">
        <f>SUM(D94:O94)</f>
        <v>102246.14400000001</v>
      </c>
      <c r="Q94" s="93">
        <f>SUM(D94:G94)</f>
        <v>34082.048000000003</v>
      </c>
      <c r="R94" s="93">
        <v>6600</v>
      </c>
      <c r="S94" s="559">
        <f>+Q94-R94</f>
        <v>27482.048000000003</v>
      </c>
    </row>
    <row r="95" spans="1:20">
      <c r="A95" s="89"/>
      <c r="B95" s="89"/>
      <c r="C95" s="90"/>
      <c r="D95" s="93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</row>
    <row r="96" spans="1:20">
      <c r="A96" s="111" t="s">
        <v>147</v>
      </c>
      <c r="B96" s="110"/>
      <c r="C96" s="94"/>
      <c r="D96" s="117">
        <f t="shared" ref="D96:S96" si="37">SUM(D97:D101)</f>
        <v>2270163.851166667</v>
      </c>
      <c r="E96" s="117">
        <f t="shared" si="37"/>
        <v>270163.89116666664</v>
      </c>
      <c r="F96" s="117">
        <f t="shared" si="37"/>
        <v>270163.89116666664</v>
      </c>
      <c r="G96" s="117">
        <f t="shared" si="37"/>
        <v>670163.89116666664</v>
      </c>
      <c r="H96" s="117">
        <f t="shared" si="37"/>
        <v>270163.89116666664</v>
      </c>
      <c r="I96" s="117">
        <f t="shared" si="37"/>
        <v>270163.89116666664</v>
      </c>
      <c r="J96" s="117">
        <f t="shared" si="37"/>
        <v>670163.89116666664</v>
      </c>
      <c r="K96" s="117">
        <f t="shared" si="37"/>
        <v>270163.89116666664</v>
      </c>
      <c r="L96" s="117">
        <f t="shared" si="37"/>
        <v>270163.89116666664</v>
      </c>
      <c r="M96" s="117">
        <f t="shared" si="37"/>
        <v>670163.89116666664</v>
      </c>
      <c r="N96" s="117">
        <f t="shared" si="37"/>
        <v>270163.89116666664</v>
      </c>
      <c r="O96" s="117">
        <f t="shared" si="37"/>
        <v>270163.89116666664</v>
      </c>
      <c r="P96" s="117">
        <f t="shared" si="37"/>
        <v>6441966.6540000001</v>
      </c>
      <c r="Q96" s="117">
        <f t="shared" si="37"/>
        <v>3480655.524666667</v>
      </c>
      <c r="R96" s="117">
        <f t="shared" si="37"/>
        <v>828046.91</v>
      </c>
      <c r="S96" s="117">
        <f t="shared" si="37"/>
        <v>2652608.6146666668</v>
      </c>
      <c r="T96" s="9"/>
    </row>
    <row r="97" spans="1:22">
      <c r="A97" s="108">
        <v>5131</v>
      </c>
      <c r="B97" s="108">
        <v>31101</v>
      </c>
      <c r="C97" s="109" t="s">
        <v>11</v>
      </c>
      <c r="D97" s="93">
        <v>81000</v>
      </c>
      <c r="E97" s="93">
        <v>81000</v>
      </c>
      <c r="F97" s="93">
        <v>81000</v>
      </c>
      <c r="G97" s="93">
        <v>81000</v>
      </c>
      <c r="H97" s="93">
        <v>81000</v>
      </c>
      <c r="I97" s="93">
        <v>81000</v>
      </c>
      <c r="J97" s="93">
        <v>81000</v>
      </c>
      <c r="K97" s="93">
        <v>81000</v>
      </c>
      <c r="L97" s="93">
        <v>81000</v>
      </c>
      <c r="M97" s="93">
        <v>81000</v>
      </c>
      <c r="N97" s="93">
        <v>81000</v>
      </c>
      <c r="O97" s="93">
        <v>81000</v>
      </c>
      <c r="P97" s="93">
        <f t="shared" ref="P97:P101" si="38">SUM(D97:O97)</f>
        <v>972000</v>
      </c>
      <c r="Q97" s="93">
        <f t="shared" ref="Q97:Q101" si="39">SUM(D97:G97)</f>
        <v>324000</v>
      </c>
      <c r="R97" s="779">
        <v>101352.86</v>
      </c>
      <c r="S97" s="559">
        <f t="shared" ref="S97:S101" si="40">+Q97-R97</f>
        <v>222647.14</v>
      </c>
    </row>
    <row r="98" spans="1:22">
      <c r="A98" s="89">
        <v>5131</v>
      </c>
      <c r="B98" s="89">
        <v>31301</v>
      </c>
      <c r="C98" s="90" t="s">
        <v>22</v>
      </c>
      <c r="D98" s="93">
        <v>400000</v>
      </c>
      <c r="E98" s="93">
        <v>0</v>
      </c>
      <c r="F98" s="93">
        <v>0</v>
      </c>
      <c r="G98" s="93">
        <v>400000</v>
      </c>
      <c r="H98" s="93">
        <v>0</v>
      </c>
      <c r="I98" s="93">
        <v>0</v>
      </c>
      <c r="J98" s="93">
        <v>400000</v>
      </c>
      <c r="K98" s="93">
        <v>0</v>
      </c>
      <c r="L98" s="93">
        <v>0</v>
      </c>
      <c r="M98" s="93">
        <v>400000</v>
      </c>
      <c r="N98" s="93">
        <v>0</v>
      </c>
      <c r="O98" s="93">
        <v>0</v>
      </c>
      <c r="P98" s="93">
        <f t="shared" si="38"/>
        <v>1600000</v>
      </c>
      <c r="Q98" s="93">
        <f t="shared" si="39"/>
        <v>800000</v>
      </c>
      <c r="R98" s="93">
        <v>958</v>
      </c>
      <c r="S98" s="559">
        <f t="shared" si="40"/>
        <v>799042</v>
      </c>
    </row>
    <row r="99" spans="1:22">
      <c r="A99" s="89">
        <v>5133</v>
      </c>
      <c r="B99" s="89">
        <v>33801</v>
      </c>
      <c r="C99" s="90" t="s">
        <v>138</v>
      </c>
      <c r="D99" s="93">
        <v>105000</v>
      </c>
      <c r="E99" s="93">
        <v>105000</v>
      </c>
      <c r="F99" s="93">
        <v>105000</v>
      </c>
      <c r="G99" s="93">
        <v>105000</v>
      </c>
      <c r="H99" s="93">
        <v>105000</v>
      </c>
      <c r="I99" s="93">
        <v>105000</v>
      </c>
      <c r="J99" s="93">
        <v>105000</v>
      </c>
      <c r="K99" s="93">
        <v>105000</v>
      </c>
      <c r="L99" s="93">
        <v>105000</v>
      </c>
      <c r="M99" s="93">
        <v>105000</v>
      </c>
      <c r="N99" s="93">
        <v>105000</v>
      </c>
      <c r="O99" s="93">
        <v>105000</v>
      </c>
      <c r="P99" s="93">
        <f t="shared" si="38"/>
        <v>1260000</v>
      </c>
      <c r="Q99" s="93">
        <f t="shared" si="39"/>
        <v>420000</v>
      </c>
      <c r="R99" s="93">
        <v>421818.32</v>
      </c>
      <c r="S99" s="559">
        <f t="shared" si="40"/>
        <v>-1818.320000000007</v>
      </c>
    </row>
    <row r="100" spans="1:22">
      <c r="A100" s="89">
        <v>5135</v>
      </c>
      <c r="B100" s="89">
        <v>35101</v>
      </c>
      <c r="C100" s="90" t="s">
        <v>139</v>
      </c>
      <c r="D100" s="93">
        <v>84163.891166666668</v>
      </c>
      <c r="E100" s="93">
        <v>84163.891166666668</v>
      </c>
      <c r="F100" s="93">
        <v>84163.891166666668</v>
      </c>
      <c r="G100" s="93">
        <v>84163.891166666668</v>
      </c>
      <c r="H100" s="93">
        <v>84163.891166666668</v>
      </c>
      <c r="I100" s="93">
        <v>84163.891166666668</v>
      </c>
      <c r="J100" s="93">
        <v>84163.891166666668</v>
      </c>
      <c r="K100" s="93">
        <v>84163.891166666668</v>
      </c>
      <c r="L100" s="93">
        <v>84163.891166666668</v>
      </c>
      <c r="M100" s="93">
        <v>84163.891166666668</v>
      </c>
      <c r="N100" s="93">
        <v>84163.891166666668</v>
      </c>
      <c r="O100" s="93">
        <v>84163.891166666668</v>
      </c>
      <c r="P100" s="93">
        <f t="shared" si="38"/>
        <v>1009966.6939999998</v>
      </c>
      <c r="Q100" s="93">
        <f t="shared" si="39"/>
        <v>336655.56466666667</v>
      </c>
      <c r="R100" s="93">
        <v>188564.93</v>
      </c>
      <c r="S100" s="559">
        <f t="shared" si="40"/>
        <v>148090.63466666668</v>
      </c>
    </row>
    <row r="101" spans="1:22">
      <c r="A101" s="89">
        <v>5135</v>
      </c>
      <c r="B101" s="89">
        <v>35701</v>
      </c>
      <c r="C101" s="90" t="s">
        <v>140</v>
      </c>
      <c r="D101" s="93">
        <v>1599999.9600000002</v>
      </c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>
        <f t="shared" si="38"/>
        <v>1599999.9600000002</v>
      </c>
      <c r="Q101" s="93">
        <f t="shared" si="39"/>
        <v>1599999.9600000002</v>
      </c>
      <c r="R101" s="93">
        <v>115352.8</v>
      </c>
      <c r="S101" s="559">
        <f t="shared" si="40"/>
        <v>1484647.1600000001</v>
      </c>
    </row>
    <row r="102" spans="1:22" s="2" customFormat="1">
      <c r="A102" s="111" t="s">
        <v>156</v>
      </c>
      <c r="B102" s="110"/>
      <c r="C102" s="94"/>
      <c r="D102" s="117">
        <f>+D96+D93</f>
        <v>2278684.3631666671</v>
      </c>
      <c r="E102" s="117">
        <f t="shared" ref="E102:S102" si="41">+E96+E93</f>
        <v>278684.40316666663</v>
      </c>
      <c r="F102" s="117">
        <f t="shared" si="41"/>
        <v>278684.40316666663</v>
      </c>
      <c r="G102" s="117">
        <f t="shared" si="41"/>
        <v>678684.40316666663</v>
      </c>
      <c r="H102" s="117">
        <f t="shared" si="41"/>
        <v>278684.40316666663</v>
      </c>
      <c r="I102" s="117">
        <f t="shared" si="41"/>
        <v>278684.40316666663</v>
      </c>
      <c r="J102" s="117">
        <f t="shared" si="41"/>
        <v>678684.40316666663</v>
      </c>
      <c r="K102" s="117">
        <f t="shared" si="41"/>
        <v>278684.40316666663</v>
      </c>
      <c r="L102" s="117">
        <f t="shared" si="41"/>
        <v>278684.40316666663</v>
      </c>
      <c r="M102" s="117">
        <f t="shared" si="41"/>
        <v>678684.40316666663</v>
      </c>
      <c r="N102" s="117">
        <f t="shared" si="41"/>
        <v>278684.40316666663</v>
      </c>
      <c r="O102" s="117">
        <f t="shared" si="41"/>
        <v>278684.40316666663</v>
      </c>
      <c r="P102" s="117">
        <f t="shared" si="41"/>
        <v>6544212.7980000004</v>
      </c>
      <c r="Q102" s="117">
        <f t="shared" si="41"/>
        <v>3514737.5726666669</v>
      </c>
      <c r="R102" s="117">
        <f t="shared" si="41"/>
        <v>834646.91</v>
      </c>
      <c r="S102" s="117">
        <f t="shared" si="41"/>
        <v>2680090.6626666668</v>
      </c>
      <c r="V102" s="73"/>
    </row>
    <row r="103" spans="1:22">
      <c r="A103" s="114"/>
      <c r="B103" s="114"/>
    </row>
    <row r="104" spans="1:22">
      <c r="A104" s="114"/>
      <c r="B104" s="114"/>
    </row>
    <row r="105" spans="1:22">
      <c r="A105" s="610" t="s">
        <v>100</v>
      </c>
      <c r="B105" s="611"/>
      <c r="C105" s="612"/>
      <c r="D105" s="607" t="s">
        <v>51</v>
      </c>
      <c r="E105" s="607" t="s">
        <v>52</v>
      </c>
      <c r="F105" s="607" t="s">
        <v>53</v>
      </c>
      <c r="G105" s="607" t="s">
        <v>54</v>
      </c>
      <c r="H105" s="607" t="s">
        <v>55</v>
      </c>
      <c r="I105" s="607" t="s">
        <v>56</v>
      </c>
      <c r="J105" s="607" t="s">
        <v>57</v>
      </c>
      <c r="K105" s="607" t="s">
        <v>58</v>
      </c>
      <c r="L105" s="607" t="s">
        <v>59</v>
      </c>
      <c r="M105" s="607" t="s">
        <v>60</v>
      </c>
      <c r="N105" s="607" t="s">
        <v>61</v>
      </c>
      <c r="O105" s="607" t="s">
        <v>62</v>
      </c>
      <c r="P105" s="607" t="s">
        <v>5931</v>
      </c>
      <c r="Q105" s="607" t="s">
        <v>25</v>
      </c>
      <c r="R105" s="659" t="s">
        <v>236</v>
      </c>
      <c r="S105" s="607" t="s">
        <v>63</v>
      </c>
    </row>
    <row r="106" spans="1:22">
      <c r="A106" s="111" t="s">
        <v>147</v>
      </c>
      <c r="B106" s="110"/>
      <c r="C106" s="94"/>
      <c r="D106" s="117">
        <f t="shared" ref="D106:S106" si="42">+D107</f>
        <v>25000</v>
      </c>
      <c r="E106" s="117">
        <f t="shared" si="42"/>
        <v>25000</v>
      </c>
      <c r="F106" s="117">
        <f t="shared" si="42"/>
        <v>25000</v>
      </c>
      <c r="G106" s="117">
        <f t="shared" si="42"/>
        <v>25000</v>
      </c>
      <c r="H106" s="117">
        <f t="shared" si="42"/>
        <v>25000</v>
      </c>
      <c r="I106" s="117">
        <f t="shared" si="42"/>
        <v>25000</v>
      </c>
      <c r="J106" s="117">
        <f t="shared" si="42"/>
        <v>25000</v>
      </c>
      <c r="K106" s="117">
        <f t="shared" si="42"/>
        <v>25000</v>
      </c>
      <c r="L106" s="117">
        <f t="shared" si="42"/>
        <v>25000</v>
      </c>
      <c r="M106" s="117">
        <f t="shared" si="42"/>
        <v>25000</v>
      </c>
      <c r="N106" s="117">
        <f t="shared" si="42"/>
        <v>25000</v>
      </c>
      <c r="O106" s="117">
        <f t="shared" si="42"/>
        <v>25000</v>
      </c>
      <c r="P106" s="117">
        <f t="shared" si="42"/>
        <v>300000</v>
      </c>
      <c r="Q106" s="117">
        <f t="shared" si="42"/>
        <v>100000</v>
      </c>
      <c r="R106" s="117">
        <f t="shared" si="42"/>
        <v>0</v>
      </c>
      <c r="S106" s="117">
        <f t="shared" si="42"/>
        <v>100000</v>
      </c>
    </row>
    <row r="107" spans="1:22">
      <c r="A107" s="108">
        <v>5135</v>
      </c>
      <c r="B107" s="108">
        <v>35101</v>
      </c>
      <c r="C107" s="109" t="s">
        <v>139</v>
      </c>
      <c r="D107" s="93">
        <v>25000</v>
      </c>
      <c r="E107" s="93">
        <v>25000</v>
      </c>
      <c r="F107" s="93">
        <v>25000</v>
      </c>
      <c r="G107" s="93">
        <v>25000</v>
      </c>
      <c r="H107" s="93">
        <v>25000</v>
      </c>
      <c r="I107" s="93">
        <v>25000</v>
      </c>
      <c r="J107" s="93">
        <v>25000</v>
      </c>
      <c r="K107" s="93">
        <v>25000</v>
      </c>
      <c r="L107" s="93">
        <v>25000</v>
      </c>
      <c r="M107" s="93">
        <v>25000</v>
      </c>
      <c r="N107" s="93">
        <v>25000</v>
      </c>
      <c r="O107" s="93">
        <v>25000</v>
      </c>
      <c r="P107" s="93">
        <f>SUM(D107:O107)</f>
        <v>300000</v>
      </c>
      <c r="Q107" s="93">
        <f>SUM(D107:G107)</f>
        <v>100000</v>
      </c>
      <c r="R107" s="779">
        <v>0</v>
      </c>
      <c r="S107" s="559">
        <f>+Q107-R107</f>
        <v>100000</v>
      </c>
    </row>
    <row r="108" spans="1:22">
      <c r="A108" s="111" t="s">
        <v>157</v>
      </c>
      <c r="B108" s="110"/>
      <c r="C108" s="94"/>
      <c r="D108" s="120">
        <f t="shared" ref="D108:P108" si="43">+D106</f>
        <v>25000</v>
      </c>
      <c r="E108" s="120">
        <f t="shared" si="43"/>
        <v>25000</v>
      </c>
      <c r="F108" s="120">
        <f t="shared" si="43"/>
        <v>25000</v>
      </c>
      <c r="G108" s="120">
        <f t="shared" si="43"/>
        <v>25000</v>
      </c>
      <c r="H108" s="120">
        <f t="shared" si="43"/>
        <v>25000</v>
      </c>
      <c r="I108" s="120">
        <f t="shared" si="43"/>
        <v>25000</v>
      </c>
      <c r="J108" s="120">
        <f t="shared" si="43"/>
        <v>25000</v>
      </c>
      <c r="K108" s="120">
        <f t="shared" si="43"/>
        <v>25000</v>
      </c>
      <c r="L108" s="120">
        <f t="shared" si="43"/>
        <v>25000</v>
      </c>
      <c r="M108" s="120">
        <f t="shared" si="43"/>
        <v>25000</v>
      </c>
      <c r="N108" s="120">
        <f t="shared" si="43"/>
        <v>25000</v>
      </c>
      <c r="O108" s="120">
        <f t="shared" si="43"/>
        <v>25000</v>
      </c>
      <c r="P108" s="120">
        <f t="shared" si="43"/>
        <v>300000</v>
      </c>
      <c r="Q108" s="120">
        <f>+Q106</f>
        <v>100000</v>
      </c>
      <c r="R108" s="120">
        <f>+R106</f>
        <v>0</v>
      </c>
      <c r="S108" s="120">
        <f>+S106</f>
        <v>100000</v>
      </c>
    </row>
    <row r="109" spans="1:22">
      <c r="A109" s="114"/>
      <c r="B109" s="114"/>
    </row>
    <row r="110" spans="1:22">
      <c r="A110" s="613" t="s">
        <v>152</v>
      </c>
      <c r="B110" s="614"/>
      <c r="C110" s="615"/>
      <c r="D110" s="607" t="s">
        <v>51</v>
      </c>
      <c r="E110" s="607" t="s">
        <v>52</v>
      </c>
      <c r="F110" s="607" t="s">
        <v>53</v>
      </c>
      <c r="G110" s="607" t="s">
        <v>54</v>
      </c>
      <c r="H110" s="607" t="s">
        <v>55</v>
      </c>
      <c r="I110" s="607" t="s">
        <v>56</v>
      </c>
      <c r="J110" s="607" t="s">
        <v>57</v>
      </c>
      <c r="K110" s="607" t="s">
        <v>58</v>
      </c>
      <c r="L110" s="607" t="s">
        <v>59</v>
      </c>
      <c r="M110" s="607" t="s">
        <v>60</v>
      </c>
      <c r="N110" s="607" t="s">
        <v>61</v>
      </c>
      <c r="O110" s="607" t="s">
        <v>62</v>
      </c>
      <c r="P110" s="607" t="s">
        <v>5931</v>
      </c>
      <c r="Q110" s="607" t="s">
        <v>25</v>
      </c>
      <c r="R110" s="659" t="s">
        <v>236</v>
      </c>
      <c r="S110" s="607" t="s">
        <v>63</v>
      </c>
    </row>
    <row r="111" spans="1:22">
      <c r="A111" s="111" t="s">
        <v>146</v>
      </c>
      <c r="B111" s="116"/>
      <c r="C111" s="113"/>
      <c r="D111" s="117">
        <f t="shared" ref="D111:S111" si="44">SUM(D112)</f>
        <v>4754.8799999999992</v>
      </c>
      <c r="E111" s="117">
        <f t="shared" si="44"/>
        <v>4754.8799999999992</v>
      </c>
      <c r="F111" s="117">
        <f t="shared" si="44"/>
        <v>4754.8799999999992</v>
      </c>
      <c r="G111" s="117">
        <f t="shared" si="44"/>
        <v>4754.8799999999992</v>
      </c>
      <c r="H111" s="117">
        <f t="shared" si="44"/>
        <v>4754.8799999999992</v>
      </c>
      <c r="I111" s="117">
        <f t="shared" si="44"/>
        <v>4754.8799999999992</v>
      </c>
      <c r="J111" s="117">
        <f t="shared" si="44"/>
        <v>4754.8799999999992</v>
      </c>
      <c r="K111" s="117">
        <f t="shared" si="44"/>
        <v>4754.8799999999992</v>
      </c>
      <c r="L111" s="117">
        <f t="shared" si="44"/>
        <v>4754.8799999999992</v>
      </c>
      <c r="M111" s="117">
        <f t="shared" si="44"/>
        <v>4754.8799999999992</v>
      </c>
      <c r="N111" s="117">
        <f t="shared" si="44"/>
        <v>4754.8799999999992</v>
      </c>
      <c r="O111" s="117">
        <f t="shared" si="44"/>
        <v>4754.8799999999992</v>
      </c>
      <c r="P111" s="120">
        <f t="shared" si="44"/>
        <v>57058.559999999976</v>
      </c>
      <c r="Q111" s="120">
        <f t="shared" si="44"/>
        <v>19019.519999999997</v>
      </c>
      <c r="R111" s="120">
        <f t="shared" si="44"/>
        <v>4800</v>
      </c>
      <c r="S111" s="120">
        <f t="shared" si="44"/>
        <v>14219.519999999997</v>
      </c>
    </row>
    <row r="112" spans="1:22">
      <c r="A112" s="89">
        <v>5126</v>
      </c>
      <c r="B112" s="89">
        <v>26101</v>
      </c>
      <c r="C112" s="90" t="s">
        <v>118</v>
      </c>
      <c r="D112" s="93">
        <v>4754.8799999999992</v>
      </c>
      <c r="E112" s="93">
        <v>4754.8799999999992</v>
      </c>
      <c r="F112" s="93">
        <v>4754.8799999999992</v>
      </c>
      <c r="G112" s="93">
        <v>4754.8799999999992</v>
      </c>
      <c r="H112" s="93">
        <v>4754.8799999999992</v>
      </c>
      <c r="I112" s="93">
        <v>4754.8799999999992</v>
      </c>
      <c r="J112" s="93">
        <v>4754.8799999999992</v>
      </c>
      <c r="K112" s="93">
        <v>4754.8799999999992</v>
      </c>
      <c r="L112" s="93">
        <v>4754.8799999999992</v>
      </c>
      <c r="M112" s="93">
        <v>4754.8799999999992</v>
      </c>
      <c r="N112" s="93">
        <v>4754.8799999999992</v>
      </c>
      <c r="O112" s="93">
        <v>4754.8799999999992</v>
      </c>
      <c r="P112" s="93">
        <f>SUM(D112:O112)</f>
        <v>57058.559999999976</v>
      </c>
      <c r="Q112" s="93">
        <f>SUM(D112:G112)</f>
        <v>19019.519999999997</v>
      </c>
      <c r="R112" s="93">
        <v>4800</v>
      </c>
      <c r="S112" s="559">
        <f>+Q112-R112</f>
        <v>14219.519999999997</v>
      </c>
    </row>
    <row r="113" spans="1:22">
      <c r="A113" s="89"/>
      <c r="B113" s="89"/>
      <c r="C113" s="90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</row>
    <row r="114" spans="1:22">
      <c r="A114" s="111" t="s">
        <v>147</v>
      </c>
      <c r="B114" s="110"/>
      <c r="C114" s="94"/>
      <c r="D114" s="117">
        <f t="shared" ref="D114:S114" si="45">SUM(D115:D118)</f>
        <v>1214579.7985833334</v>
      </c>
      <c r="E114" s="117">
        <f t="shared" si="45"/>
        <v>114579.75858333334</v>
      </c>
      <c r="F114" s="117">
        <f t="shared" si="45"/>
        <v>114579.75858333334</v>
      </c>
      <c r="G114" s="117">
        <f t="shared" si="45"/>
        <v>414579.75858333334</v>
      </c>
      <c r="H114" s="117">
        <f t="shared" si="45"/>
        <v>114579.75858333334</v>
      </c>
      <c r="I114" s="117">
        <f t="shared" si="45"/>
        <v>114579.75858333334</v>
      </c>
      <c r="J114" s="117">
        <f t="shared" si="45"/>
        <v>414579.75858333334</v>
      </c>
      <c r="K114" s="117">
        <f t="shared" si="45"/>
        <v>114579.75858333334</v>
      </c>
      <c r="L114" s="117">
        <f t="shared" si="45"/>
        <v>114579.75858333334</v>
      </c>
      <c r="M114" s="117">
        <f t="shared" si="45"/>
        <v>414579.75858333334</v>
      </c>
      <c r="N114" s="117">
        <f t="shared" si="45"/>
        <v>114579.75858333334</v>
      </c>
      <c r="O114" s="117">
        <f t="shared" si="45"/>
        <v>114579.75858333334</v>
      </c>
      <c r="P114" s="117">
        <f t="shared" si="45"/>
        <v>3374957.1430000002</v>
      </c>
      <c r="Q114" s="117">
        <f t="shared" si="45"/>
        <v>1858319.0743333334</v>
      </c>
      <c r="R114" s="117">
        <f t="shared" si="45"/>
        <v>235376.01</v>
      </c>
      <c r="S114" s="117">
        <f t="shared" si="45"/>
        <v>1622943.0643333336</v>
      </c>
    </row>
    <row r="115" spans="1:22">
      <c r="A115" s="108">
        <v>5131</v>
      </c>
      <c r="B115" s="108">
        <v>31101</v>
      </c>
      <c r="C115" s="109" t="s">
        <v>11</v>
      </c>
      <c r="D115" s="93">
        <v>14700</v>
      </c>
      <c r="E115" s="93">
        <v>14700</v>
      </c>
      <c r="F115" s="93">
        <v>14700</v>
      </c>
      <c r="G115" s="93">
        <v>14700</v>
      </c>
      <c r="H115" s="93">
        <v>14700</v>
      </c>
      <c r="I115" s="93">
        <v>14700</v>
      </c>
      <c r="J115" s="93">
        <v>14700</v>
      </c>
      <c r="K115" s="93">
        <v>14700</v>
      </c>
      <c r="L115" s="93">
        <v>14700</v>
      </c>
      <c r="M115" s="93">
        <v>14700</v>
      </c>
      <c r="N115" s="93">
        <v>14700</v>
      </c>
      <c r="O115" s="93">
        <v>14700</v>
      </c>
      <c r="P115" s="93">
        <f t="shared" ref="P115:P118" si="46">SUM(D115:O115)</f>
        <v>176400</v>
      </c>
      <c r="Q115" s="93">
        <f t="shared" ref="Q115:Q118" si="47">SUM(D115:G115)</f>
        <v>58800</v>
      </c>
      <c r="R115" s="93">
        <v>30498.37</v>
      </c>
      <c r="S115" s="559">
        <f>+Q115-R115</f>
        <v>28301.63</v>
      </c>
    </row>
    <row r="116" spans="1:22">
      <c r="A116" s="89">
        <v>5131</v>
      </c>
      <c r="B116" s="89">
        <v>31301</v>
      </c>
      <c r="C116" s="90" t="s">
        <v>22</v>
      </c>
      <c r="D116" s="93">
        <v>300000</v>
      </c>
      <c r="E116" s="93">
        <v>0</v>
      </c>
      <c r="F116" s="93">
        <v>0</v>
      </c>
      <c r="G116" s="93">
        <v>300000</v>
      </c>
      <c r="H116" s="93">
        <v>0</v>
      </c>
      <c r="I116" s="93">
        <v>0</v>
      </c>
      <c r="J116" s="93">
        <v>300000</v>
      </c>
      <c r="K116" s="93">
        <v>0</v>
      </c>
      <c r="L116" s="93">
        <v>0</v>
      </c>
      <c r="M116" s="93">
        <v>300000</v>
      </c>
      <c r="N116" s="93">
        <v>0</v>
      </c>
      <c r="O116" s="93">
        <v>0</v>
      </c>
      <c r="P116" s="93">
        <f t="shared" si="46"/>
        <v>1200000</v>
      </c>
      <c r="Q116" s="93">
        <f t="shared" si="47"/>
        <v>600000</v>
      </c>
      <c r="R116" s="93">
        <v>3323</v>
      </c>
      <c r="S116" s="559">
        <f>+Q116-R116</f>
        <v>596677</v>
      </c>
    </row>
    <row r="117" spans="1:22">
      <c r="A117" s="89">
        <v>5135</v>
      </c>
      <c r="B117" s="89">
        <v>35101</v>
      </c>
      <c r="C117" s="90" t="s">
        <v>139</v>
      </c>
      <c r="D117" s="93">
        <v>99879.758583333343</v>
      </c>
      <c r="E117" s="93">
        <v>99879.758583333343</v>
      </c>
      <c r="F117" s="93">
        <v>99879.758583333343</v>
      </c>
      <c r="G117" s="93">
        <v>99879.758583333343</v>
      </c>
      <c r="H117" s="93">
        <v>99879.758583333343</v>
      </c>
      <c r="I117" s="93">
        <v>99879.758583333343</v>
      </c>
      <c r="J117" s="93">
        <v>99879.758583333343</v>
      </c>
      <c r="K117" s="93">
        <v>99879.758583333343</v>
      </c>
      <c r="L117" s="93">
        <v>99879.758583333343</v>
      </c>
      <c r="M117" s="93">
        <v>99879.758583333343</v>
      </c>
      <c r="N117" s="93">
        <v>99879.758583333343</v>
      </c>
      <c r="O117" s="93">
        <v>99879.758583333343</v>
      </c>
      <c r="P117" s="93">
        <f t="shared" si="46"/>
        <v>1198557.1030000001</v>
      </c>
      <c r="Q117" s="93">
        <f t="shared" si="47"/>
        <v>399519.03433333337</v>
      </c>
      <c r="R117" s="93">
        <v>132130.42000000001</v>
      </c>
      <c r="S117" s="559">
        <f>+Q117-R117</f>
        <v>267388.61433333333</v>
      </c>
    </row>
    <row r="118" spans="1:22">
      <c r="A118" s="106">
        <v>5135</v>
      </c>
      <c r="B118" s="106">
        <v>35701</v>
      </c>
      <c r="C118" s="107" t="s">
        <v>140</v>
      </c>
      <c r="D118" s="42">
        <v>800000.04000000015</v>
      </c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93">
        <f t="shared" si="46"/>
        <v>800000.04000000015</v>
      </c>
      <c r="Q118" s="93">
        <f t="shared" si="47"/>
        <v>800000.04000000015</v>
      </c>
      <c r="R118" s="93">
        <v>69424.22</v>
      </c>
      <c r="S118" s="559">
        <f>+Q118-R118</f>
        <v>730575.82000000018</v>
      </c>
    </row>
    <row r="119" spans="1:22">
      <c r="A119" s="111" t="s">
        <v>158</v>
      </c>
      <c r="B119" s="110"/>
      <c r="C119" s="94"/>
      <c r="D119" s="120">
        <f>+D114+D111</f>
        <v>1219334.6785833333</v>
      </c>
      <c r="E119" s="120">
        <f t="shared" ref="E119:S119" si="48">+E114+E111</f>
        <v>119334.63858333335</v>
      </c>
      <c r="F119" s="120">
        <f t="shared" si="48"/>
        <v>119334.63858333335</v>
      </c>
      <c r="G119" s="120">
        <f t="shared" si="48"/>
        <v>419334.63858333335</v>
      </c>
      <c r="H119" s="120">
        <f t="shared" si="48"/>
        <v>119334.63858333335</v>
      </c>
      <c r="I119" s="120">
        <f t="shared" si="48"/>
        <v>119334.63858333335</v>
      </c>
      <c r="J119" s="120">
        <f t="shared" si="48"/>
        <v>419334.63858333335</v>
      </c>
      <c r="K119" s="120">
        <f t="shared" si="48"/>
        <v>119334.63858333335</v>
      </c>
      <c r="L119" s="120">
        <f t="shared" si="48"/>
        <v>119334.63858333335</v>
      </c>
      <c r="M119" s="120">
        <f t="shared" si="48"/>
        <v>419334.63858333335</v>
      </c>
      <c r="N119" s="120">
        <f t="shared" si="48"/>
        <v>119334.63858333335</v>
      </c>
      <c r="O119" s="120">
        <f t="shared" si="48"/>
        <v>119334.63858333335</v>
      </c>
      <c r="P119" s="120">
        <f t="shared" si="48"/>
        <v>3432015.7030000002</v>
      </c>
      <c r="Q119" s="120">
        <f t="shared" si="48"/>
        <v>1877338.5943333334</v>
      </c>
      <c r="R119" s="120">
        <f t="shared" si="48"/>
        <v>240176.01</v>
      </c>
      <c r="S119" s="120">
        <f t="shared" si="48"/>
        <v>1637162.5843333337</v>
      </c>
    </row>
    <row r="120" spans="1:22">
      <c r="A120" s="115"/>
      <c r="B120" s="114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</row>
    <row r="121" spans="1:22">
      <c r="A121" s="610" t="s">
        <v>159</v>
      </c>
      <c r="B121" s="611"/>
      <c r="C121" s="612"/>
      <c r="D121" s="607" t="s">
        <v>51</v>
      </c>
      <c r="E121" s="607" t="s">
        <v>52</v>
      </c>
      <c r="F121" s="607" t="s">
        <v>53</v>
      </c>
      <c r="G121" s="607" t="s">
        <v>54</v>
      </c>
      <c r="H121" s="607" t="s">
        <v>55</v>
      </c>
      <c r="I121" s="607" t="s">
        <v>56</v>
      </c>
      <c r="J121" s="607" t="s">
        <v>57</v>
      </c>
      <c r="K121" s="607" t="s">
        <v>58</v>
      </c>
      <c r="L121" s="607" t="s">
        <v>59</v>
      </c>
      <c r="M121" s="607" t="s">
        <v>60</v>
      </c>
      <c r="N121" s="607" t="s">
        <v>61</v>
      </c>
      <c r="O121" s="607" t="s">
        <v>62</v>
      </c>
      <c r="P121" s="607" t="s">
        <v>5931</v>
      </c>
      <c r="Q121" s="607" t="s">
        <v>25</v>
      </c>
      <c r="R121" s="659" t="s">
        <v>236</v>
      </c>
      <c r="S121" s="607" t="s">
        <v>63</v>
      </c>
    </row>
    <row r="122" spans="1:22">
      <c r="A122" s="111" t="s">
        <v>146</v>
      </c>
      <c r="B122" s="116"/>
      <c r="C122" s="113"/>
      <c r="D122" s="117">
        <f t="shared" ref="D122:S122" si="49">SUM(D123)</f>
        <v>4655.04</v>
      </c>
      <c r="E122" s="117">
        <f t="shared" si="49"/>
        <v>4655.04</v>
      </c>
      <c r="F122" s="117">
        <f t="shared" si="49"/>
        <v>4655.04</v>
      </c>
      <c r="G122" s="117">
        <f t="shared" si="49"/>
        <v>4655.04</v>
      </c>
      <c r="H122" s="117">
        <f t="shared" si="49"/>
        <v>4655.04</v>
      </c>
      <c r="I122" s="117">
        <f t="shared" si="49"/>
        <v>4655.04</v>
      </c>
      <c r="J122" s="117">
        <f t="shared" si="49"/>
        <v>4655.04</v>
      </c>
      <c r="K122" s="117">
        <f t="shared" si="49"/>
        <v>4655.04</v>
      </c>
      <c r="L122" s="117">
        <f t="shared" si="49"/>
        <v>4655.04</v>
      </c>
      <c r="M122" s="117">
        <f t="shared" si="49"/>
        <v>4655.04</v>
      </c>
      <c r="N122" s="117">
        <f t="shared" si="49"/>
        <v>4655.04</v>
      </c>
      <c r="O122" s="117">
        <f t="shared" si="49"/>
        <v>4655.04</v>
      </c>
      <c r="P122" s="120">
        <f t="shared" si="49"/>
        <v>55860.480000000003</v>
      </c>
      <c r="Q122" s="120">
        <f t="shared" si="49"/>
        <v>18620.16</v>
      </c>
      <c r="R122" s="120">
        <f t="shared" si="49"/>
        <v>9400</v>
      </c>
      <c r="S122" s="120">
        <f t="shared" si="49"/>
        <v>9220.16</v>
      </c>
    </row>
    <row r="123" spans="1:22">
      <c r="A123" s="89">
        <v>5126</v>
      </c>
      <c r="B123" s="89">
        <v>26101</v>
      </c>
      <c r="C123" s="90" t="s">
        <v>118</v>
      </c>
      <c r="D123" s="93">
        <v>4655.04</v>
      </c>
      <c r="E123" s="93">
        <v>4655.04</v>
      </c>
      <c r="F123" s="93">
        <v>4655.04</v>
      </c>
      <c r="G123" s="93">
        <v>4655.04</v>
      </c>
      <c r="H123" s="93">
        <v>4655.04</v>
      </c>
      <c r="I123" s="93">
        <v>4655.04</v>
      </c>
      <c r="J123" s="93">
        <v>4655.04</v>
      </c>
      <c r="K123" s="93">
        <v>4655.04</v>
      </c>
      <c r="L123" s="93">
        <v>4655.04</v>
      </c>
      <c r="M123" s="93">
        <v>4655.04</v>
      </c>
      <c r="N123" s="93">
        <v>4655.04</v>
      </c>
      <c r="O123" s="93">
        <v>4655.04</v>
      </c>
      <c r="P123" s="93">
        <f>SUM(D123:O123)</f>
        <v>55860.480000000003</v>
      </c>
      <c r="Q123" s="93">
        <f>SUM(D123:G123)</f>
        <v>18620.16</v>
      </c>
      <c r="R123" s="93">
        <v>9400</v>
      </c>
      <c r="S123" s="559">
        <f>+Q123-R123</f>
        <v>9220.16</v>
      </c>
    </row>
    <row r="124" spans="1:22">
      <c r="A124" s="89"/>
      <c r="B124" s="89"/>
      <c r="C124" s="90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</row>
    <row r="125" spans="1:22">
      <c r="A125" s="111" t="s">
        <v>147</v>
      </c>
      <c r="B125" s="116"/>
      <c r="C125" s="113"/>
      <c r="D125" s="117">
        <f t="shared" ref="D125:S125" si="50">SUM(D126:D128)</f>
        <v>195020.27523333332</v>
      </c>
      <c r="E125" s="117">
        <f t="shared" si="50"/>
        <v>195020.27523333332</v>
      </c>
      <c r="F125" s="117">
        <f t="shared" si="50"/>
        <v>195020.27523333332</v>
      </c>
      <c r="G125" s="117">
        <f t="shared" si="50"/>
        <v>195020.27523333332</v>
      </c>
      <c r="H125" s="117">
        <f t="shared" si="50"/>
        <v>195020.27523333332</v>
      </c>
      <c r="I125" s="117">
        <f t="shared" si="50"/>
        <v>195020.27523333332</v>
      </c>
      <c r="J125" s="117">
        <f t="shared" si="50"/>
        <v>195020.27523333332</v>
      </c>
      <c r="K125" s="117">
        <f t="shared" si="50"/>
        <v>195020.27523333332</v>
      </c>
      <c r="L125" s="117">
        <f t="shared" si="50"/>
        <v>195020.27523333332</v>
      </c>
      <c r="M125" s="117">
        <f t="shared" si="50"/>
        <v>195020.27523333332</v>
      </c>
      <c r="N125" s="117">
        <f t="shared" si="50"/>
        <v>195020.27523333332</v>
      </c>
      <c r="O125" s="117">
        <f t="shared" si="50"/>
        <v>195020.27523333332</v>
      </c>
      <c r="P125" s="117">
        <f t="shared" si="50"/>
        <v>2340243.3028000002</v>
      </c>
      <c r="Q125" s="117">
        <f t="shared" si="50"/>
        <v>780081.10093333328</v>
      </c>
      <c r="R125" s="117">
        <f t="shared" si="50"/>
        <v>524510</v>
      </c>
      <c r="S125" s="117">
        <f t="shared" si="50"/>
        <v>255571.10093333331</v>
      </c>
    </row>
    <row r="126" spans="1:22">
      <c r="A126" s="89">
        <v>5131</v>
      </c>
      <c r="B126" s="89">
        <v>31101</v>
      </c>
      <c r="C126" s="90" t="s">
        <v>11</v>
      </c>
      <c r="D126" s="93">
        <v>47659.6224</v>
      </c>
      <c r="E126" s="93">
        <v>47659.6224</v>
      </c>
      <c r="F126" s="93">
        <v>47659.6224</v>
      </c>
      <c r="G126" s="93">
        <v>47659.6224</v>
      </c>
      <c r="H126" s="93">
        <v>47659.6224</v>
      </c>
      <c r="I126" s="93">
        <v>47659.6224</v>
      </c>
      <c r="J126" s="93">
        <v>47659.6224</v>
      </c>
      <c r="K126" s="93">
        <v>47659.6224</v>
      </c>
      <c r="L126" s="93">
        <v>47659.6224</v>
      </c>
      <c r="M126" s="93">
        <v>47659.6224</v>
      </c>
      <c r="N126" s="93">
        <v>47659.6224</v>
      </c>
      <c r="O126" s="93">
        <v>47659.6224</v>
      </c>
      <c r="P126" s="93">
        <f t="shared" ref="P126:P128" si="51">SUM(D126:O126)</f>
        <v>571915.46880000003</v>
      </c>
      <c r="Q126" s="93">
        <f t="shared" ref="Q126:Q128" si="52">SUM(D126:G126)</f>
        <v>190638.4896</v>
      </c>
      <c r="R126" s="93">
        <v>60744.3</v>
      </c>
      <c r="S126" s="559">
        <f>+Q126-R126</f>
        <v>129894.1896</v>
      </c>
    </row>
    <row r="127" spans="1:22">
      <c r="A127" s="89">
        <v>5133</v>
      </c>
      <c r="B127" s="89">
        <v>33801</v>
      </c>
      <c r="C127" s="90" t="s">
        <v>138</v>
      </c>
      <c r="D127" s="93">
        <v>85000</v>
      </c>
      <c r="E127" s="93">
        <v>85000</v>
      </c>
      <c r="F127" s="93">
        <v>85000</v>
      </c>
      <c r="G127" s="93">
        <v>85000</v>
      </c>
      <c r="H127" s="93">
        <v>85000</v>
      </c>
      <c r="I127" s="93">
        <v>85000</v>
      </c>
      <c r="J127" s="93">
        <v>85000</v>
      </c>
      <c r="K127" s="93">
        <v>85000</v>
      </c>
      <c r="L127" s="93">
        <v>85000</v>
      </c>
      <c r="M127" s="93">
        <v>85000</v>
      </c>
      <c r="N127" s="93">
        <v>85000</v>
      </c>
      <c r="O127" s="93">
        <v>85000</v>
      </c>
      <c r="P127" s="93">
        <f t="shared" si="51"/>
        <v>1020000</v>
      </c>
      <c r="Q127" s="93">
        <f t="shared" si="52"/>
        <v>340000</v>
      </c>
      <c r="R127" s="93">
        <v>310500</v>
      </c>
      <c r="S127" s="559">
        <f>+Q127-R127</f>
        <v>29500</v>
      </c>
    </row>
    <row r="128" spans="1:22">
      <c r="A128" s="89">
        <v>5135</v>
      </c>
      <c r="B128" s="89">
        <v>35101</v>
      </c>
      <c r="C128" s="90" t="s">
        <v>139</v>
      </c>
      <c r="D128" s="93">
        <v>62360.652833333334</v>
      </c>
      <c r="E128" s="93">
        <v>62360.652833333334</v>
      </c>
      <c r="F128" s="93">
        <v>62360.652833333334</v>
      </c>
      <c r="G128" s="93">
        <v>62360.652833333334</v>
      </c>
      <c r="H128" s="93">
        <v>62360.652833333334</v>
      </c>
      <c r="I128" s="93">
        <v>62360.652833333334</v>
      </c>
      <c r="J128" s="93">
        <v>62360.652833333334</v>
      </c>
      <c r="K128" s="93">
        <v>62360.652833333334</v>
      </c>
      <c r="L128" s="93">
        <v>62360.652833333334</v>
      </c>
      <c r="M128" s="93">
        <v>62360.652833333334</v>
      </c>
      <c r="N128" s="93">
        <v>62360.652833333334</v>
      </c>
      <c r="O128" s="93">
        <v>62360.652833333334</v>
      </c>
      <c r="P128" s="93">
        <f t="shared" si="51"/>
        <v>748327.83400000015</v>
      </c>
      <c r="Q128" s="93">
        <f t="shared" si="52"/>
        <v>249442.61133333333</v>
      </c>
      <c r="R128" s="93">
        <v>153265.70000000001</v>
      </c>
      <c r="S128" s="559">
        <f>+Q128-R128</f>
        <v>96176.911333333323</v>
      </c>
      <c r="V128" s="124"/>
    </row>
    <row r="129" spans="1:21">
      <c r="A129" s="111" t="s">
        <v>215</v>
      </c>
      <c r="B129" s="110"/>
      <c r="C129" s="94"/>
      <c r="D129" s="117">
        <f>+D125+D122</f>
        <v>199675.31523333333</v>
      </c>
      <c r="E129" s="117">
        <f t="shared" ref="E129:S129" si="53">+E125+E122</f>
        <v>199675.31523333333</v>
      </c>
      <c r="F129" s="117">
        <f t="shared" si="53"/>
        <v>199675.31523333333</v>
      </c>
      <c r="G129" s="117">
        <f t="shared" si="53"/>
        <v>199675.31523333333</v>
      </c>
      <c r="H129" s="117">
        <f t="shared" si="53"/>
        <v>199675.31523333333</v>
      </c>
      <c r="I129" s="117">
        <f t="shared" si="53"/>
        <v>199675.31523333333</v>
      </c>
      <c r="J129" s="117">
        <f t="shared" si="53"/>
        <v>199675.31523333333</v>
      </c>
      <c r="K129" s="117">
        <f t="shared" si="53"/>
        <v>199675.31523333333</v>
      </c>
      <c r="L129" s="117">
        <f t="shared" si="53"/>
        <v>199675.31523333333</v>
      </c>
      <c r="M129" s="117">
        <f t="shared" si="53"/>
        <v>199675.31523333333</v>
      </c>
      <c r="N129" s="117">
        <f t="shared" si="53"/>
        <v>199675.31523333333</v>
      </c>
      <c r="O129" s="117">
        <f t="shared" si="53"/>
        <v>199675.31523333333</v>
      </c>
      <c r="P129" s="117">
        <f t="shared" si="53"/>
        <v>2396103.7828000002</v>
      </c>
      <c r="Q129" s="117">
        <f t="shared" si="53"/>
        <v>798701.26093333331</v>
      </c>
      <c r="R129" s="117">
        <f t="shared" si="53"/>
        <v>533910</v>
      </c>
      <c r="S129" s="117">
        <f t="shared" si="53"/>
        <v>264791.26093333331</v>
      </c>
    </row>
    <row r="130" spans="1:21">
      <c r="A130" s="115"/>
      <c r="B130" s="114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</row>
    <row r="131" spans="1:21">
      <c r="A131" s="111" t="s">
        <v>8</v>
      </c>
      <c r="B131" s="110"/>
      <c r="C131" s="94"/>
      <c r="D131" s="117">
        <f t="shared" ref="D131:O131" si="54">+D119+D108+D102+D89+D77+D129</f>
        <v>25299140.029066671</v>
      </c>
      <c r="E131" s="117">
        <f t="shared" si="54"/>
        <v>2299140.1090666666</v>
      </c>
      <c r="F131" s="117">
        <f t="shared" si="54"/>
        <v>2299140.1090666666</v>
      </c>
      <c r="G131" s="117">
        <f t="shared" si="54"/>
        <v>17299140.109066669</v>
      </c>
      <c r="H131" s="117">
        <f t="shared" si="54"/>
        <v>2299140.1090666666</v>
      </c>
      <c r="I131" s="117">
        <f t="shared" si="54"/>
        <v>2299140.1090666666</v>
      </c>
      <c r="J131" s="117">
        <f t="shared" si="54"/>
        <v>17299140.109066669</v>
      </c>
      <c r="K131" s="117">
        <f t="shared" si="54"/>
        <v>2299140.1090666666</v>
      </c>
      <c r="L131" s="117">
        <f t="shared" si="54"/>
        <v>2299140.1090666666</v>
      </c>
      <c r="M131" s="117">
        <f t="shared" si="54"/>
        <v>17299140.109066669</v>
      </c>
      <c r="N131" s="117">
        <f t="shared" si="54"/>
        <v>2299140.1090666666</v>
      </c>
      <c r="O131" s="117">
        <f t="shared" si="54"/>
        <v>2299140.1090666666</v>
      </c>
      <c r="P131" s="117">
        <f t="shared" ref="P131:S131" si="55">+P119+P108+P102+P89+P77+P129</f>
        <v>95589681.228800014</v>
      </c>
      <c r="Q131" s="117">
        <f t="shared" si="55"/>
        <v>47196560.35626667</v>
      </c>
      <c r="R131" s="117">
        <f t="shared" si="55"/>
        <v>6989906.9199999999</v>
      </c>
      <c r="S131" s="117">
        <f t="shared" si="55"/>
        <v>40206653.436266668</v>
      </c>
      <c r="U131" s="727"/>
    </row>
    <row r="133" spans="1:21" ht="15">
      <c r="A133" s="616" t="s">
        <v>102</v>
      </c>
      <c r="B133" s="616"/>
      <c r="C133" s="616"/>
      <c r="D133" s="617">
        <f t="shared" ref="D133:S133" si="56">+D131+D59</f>
        <v>33771006.547041416</v>
      </c>
      <c r="E133" s="617">
        <f t="shared" si="56"/>
        <v>4983267.9870414156</v>
      </c>
      <c r="F133" s="617">
        <f t="shared" si="56"/>
        <v>4557277.9870414156</v>
      </c>
      <c r="G133" s="617">
        <f t="shared" si="56"/>
        <v>22632319.667041421</v>
      </c>
      <c r="H133" s="617">
        <f t="shared" si="56"/>
        <v>5117905.9870414156</v>
      </c>
      <c r="I133" s="617">
        <f t="shared" si="56"/>
        <v>4644867.6620414164</v>
      </c>
      <c r="J133" s="617">
        <f t="shared" si="56"/>
        <v>22632319.667041421</v>
      </c>
      <c r="K133" s="617">
        <f t="shared" si="56"/>
        <v>4555305.9870414156</v>
      </c>
      <c r="L133" s="617">
        <f t="shared" si="56"/>
        <v>4555305.9870414156</v>
      </c>
      <c r="M133" s="617">
        <f t="shared" si="56"/>
        <v>19787885.987041418</v>
      </c>
      <c r="N133" s="617">
        <f t="shared" si="56"/>
        <v>4558321.9870414156</v>
      </c>
      <c r="O133" s="617">
        <f t="shared" si="56"/>
        <v>6464497.9640414156</v>
      </c>
      <c r="P133" s="617">
        <f t="shared" si="56"/>
        <v>138260283.41649699</v>
      </c>
      <c r="Q133" s="617">
        <f t="shared" si="56"/>
        <v>65943872.188165672</v>
      </c>
      <c r="R133" s="617">
        <f t="shared" si="56"/>
        <v>15020502.309999999</v>
      </c>
      <c r="S133" s="617">
        <f t="shared" si="56"/>
        <v>50923369.87816567</v>
      </c>
      <c r="T133" s="128"/>
    </row>
    <row r="134" spans="1:21">
      <c r="A134" s="91"/>
      <c r="B134" s="91"/>
      <c r="C134" s="91"/>
    </row>
    <row r="135" spans="1:21">
      <c r="A135" s="91"/>
      <c r="B135" s="91"/>
      <c r="C135" s="91"/>
    </row>
    <row r="136" spans="1:21">
      <c r="A136" s="563" t="s">
        <v>1855</v>
      </c>
      <c r="B136" s="587"/>
      <c r="C136" s="149"/>
      <c r="D136" s="131">
        <f>SUM(D137:D141)</f>
        <v>3762500</v>
      </c>
      <c r="E136" s="131">
        <f t="shared" ref="E136:S136" si="57">SUM(E137:E141)</f>
        <v>3762500</v>
      </c>
      <c r="F136" s="131">
        <f t="shared" si="57"/>
        <v>3762500</v>
      </c>
      <c r="G136" s="131">
        <f t="shared" si="57"/>
        <v>3762500</v>
      </c>
      <c r="H136" s="131">
        <f t="shared" si="57"/>
        <v>3762500</v>
      </c>
      <c r="I136" s="131">
        <f t="shared" si="57"/>
        <v>3762500</v>
      </c>
      <c r="J136" s="131">
        <f t="shared" si="57"/>
        <v>3762500</v>
      </c>
      <c r="K136" s="131">
        <f t="shared" si="57"/>
        <v>3762500</v>
      </c>
      <c r="L136" s="131">
        <f t="shared" si="57"/>
        <v>3762500</v>
      </c>
      <c r="M136" s="131">
        <f t="shared" si="57"/>
        <v>3762500</v>
      </c>
      <c r="N136" s="131">
        <f t="shared" si="57"/>
        <v>3762500</v>
      </c>
      <c r="O136" s="131">
        <f t="shared" si="57"/>
        <v>3762500</v>
      </c>
      <c r="P136" s="131">
        <f t="shared" si="57"/>
        <v>45150000</v>
      </c>
      <c r="Q136" s="131">
        <f t="shared" si="57"/>
        <v>15050000</v>
      </c>
      <c r="R136" s="131">
        <f t="shared" si="57"/>
        <v>1447456.3599999999</v>
      </c>
      <c r="S136" s="131">
        <f t="shared" si="57"/>
        <v>13602543.640000001</v>
      </c>
    </row>
    <row r="137" spans="1:21">
      <c r="A137" s="89" t="s">
        <v>1856</v>
      </c>
      <c r="B137" s="588"/>
      <c r="C137" s="90" t="s">
        <v>27</v>
      </c>
      <c r="D137" s="93">
        <v>375000</v>
      </c>
      <c r="E137" s="93">
        <v>375000</v>
      </c>
      <c r="F137" s="93">
        <v>375000</v>
      </c>
      <c r="G137" s="93">
        <v>375000</v>
      </c>
      <c r="H137" s="93">
        <v>375000</v>
      </c>
      <c r="I137" s="93">
        <v>375000</v>
      </c>
      <c r="J137" s="93">
        <v>375000</v>
      </c>
      <c r="K137" s="93">
        <v>375000</v>
      </c>
      <c r="L137" s="93">
        <v>375000</v>
      </c>
      <c r="M137" s="93">
        <v>375000</v>
      </c>
      <c r="N137" s="93">
        <v>375000</v>
      </c>
      <c r="O137" s="93">
        <v>375000</v>
      </c>
      <c r="P137" s="93">
        <f t="shared" ref="P137:P141" si="58">SUM(D137:O137)</f>
        <v>4500000</v>
      </c>
      <c r="Q137" s="93">
        <f t="shared" ref="Q137:Q141" si="59">SUM(D137:G137)</f>
        <v>1500000</v>
      </c>
      <c r="R137" s="93">
        <f>1021107.45+351359.47</f>
        <v>1372466.92</v>
      </c>
      <c r="S137" s="559">
        <f t="shared" ref="S137:S141" si="60">+Q137-R137</f>
        <v>127533.08000000007</v>
      </c>
    </row>
    <row r="138" spans="1:21">
      <c r="A138" s="89">
        <v>5594</v>
      </c>
      <c r="B138" s="89">
        <v>10001</v>
      </c>
      <c r="C138" s="90" t="s">
        <v>1857</v>
      </c>
      <c r="D138" s="93">
        <v>25000</v>
      </c>
      <c r="E138" s="93">
        <v>25000</v>
      </c>
      <c r="F138" s="93">
        <v>25000</v>
      </c>
      <c r="G138" s="93">
        <v>25000</v>
      </c>
      <c r="H138" s="93">
        <v>25000</v>
      </c>
      <c r="I138" s="93">
        <v>25000</v>
      </c>
      <c r="J138" s="93">
        <v>25000</v>
      </c>
      <c r="K138" s="93">
        <v>25000</v>
      </c>
      <c r="L138" s="93">
        <v>25000</v>
      </c>
      <c r="M138" s="93">
        <v>25000</v>
      </c>
      <c r="N138" s="93">
        <v>25000</v>
      </c>
      <c r="O138" s="93">
        <v>25000</v>
      </c>
      <c r="P138" s="93">
        <f t="shared" si="58"/>
        <v>300000</v>
      </c>
      <c r="Q138" s="93">
        <f t="shared" si="59"/>
        <v>100000</v>
      </c>
      <c r="R138" s="93">
        <v>43408.46</v>
      </c>
      <c r="S138" s="559">
        <f t="shared" si="60"/>
        <v>56591.54</v>
      </c>
    </row>
    <row r="139" spans="1:21">
      <c r="A139" s="89">
        <v>5599</v>
      </c>
      <c r="B139" s="89">
        <v>10001</v>
      </c>
      <c r="C139" s="90" t="s">
        <v>3258</v>
      </c>
      <c r="D139" s="93">
        <v>20833.333333333332</v>
      </c>
      <c r="E139" s="93">
        <v>20833.333333333332</v>
      </c>
      <c r="F139" s="93">
        <v>20833.333333333332</v>
      </c>
      <c r="G139" s="93">
        <v>20833.333333333332</v>
      </c>
      <c r="H139" s="93">
        <v>20833.333333333332</v>
      </c>
      <c r="I139" s="93">
        <v>20833.333333333332</v>
      </c>
      <c r="J139" s="93">
        <v>20833.333333333332</v>
      </c>
      <c r="K139" s="93">
        <v>20833.333333333332</v>
      </c>
      <c r="L139" s="93">
        <v>20833.333333333332</v>
      </c>
      <c r="M139" s="93">
        <v>20833.333333333332</v>
      </c>
      <c r="N139" s="93">
        <v>20833.333333333332</v>
      </c>
      <c r="O139" s="93">
        <v>20833.333333333332</v>
      </c>
      <c r="P139" s="93">
        <f t="shared" si="58"/>
        <v>250000.00000000003</v>
      </c>
      <c r="Q139" s="93">
        <f t="shared" si="59"/>
        <v>83333.333333333328</v>
      </c>
      <c r="R139" s="93">
        <v>23898.76</v>
      </c>
      <c r="S139" s="559">
        <f t="shared" si="60"/>
        <v>59434.573333333334</v>
      </c>
    </row>
    <row r="140" spans="1:21">
      <c r="A140" s="89">
        <v>5599</v>
      </c>
      <c r="B140" s="89">
        <v>10002</v>
      </c>
      <c r="C140" s="90" t="s">
        <v>3259</v>
      </c>
      <c r="D140" s="93">
        <v>8333.3333333333339</v>
      </c>
      <c r="E140" s="93">
        <v>8333.3333333333339</v>
      </c>
      <c r="F140" s="93">
        <v>8333.3333333333339</v>
      </c>
      <c r="G140" s="93">
        <v>8333.3333333333339</v>
      </c>
      <c r="H140" s="93">
        <v>8333.3333333333339</v>
      </c>
      <c r="I140" s="93">
        <v>8333.3333333333339</v>
      </c>
      <c r="J140" s="93">
        <v>8333.3333333333339</v>
      </c>
      <c r="K140" s="93">
        <v>8333.3333333333339</v>
      </c>
      <c r="L140" s="93">
        <v>8333.3333333333339</v>
      </c>
      <c r="M140" s="93">
        <v>8333.3333333333339</v>
      </c>
      <c r="N140" s="93">
        <v>8333.3333333333339</v>
      </c>
      <c r="O140" s="93">
        <v>8333.3333333333339</v>
      </c>
      <c r="P140" s="93">
        <f t="shared" si="58"/>
        <v>99999.999999999985</v>
      </c>
      <c r="Q140" s="93">
        <f t="shared" si="59"/>
        <v>33333.333333333336</v>
      </c>
      <c r="R140" s="93">
        <v>7682.22</v>
      </c>
      <c r="S140" s="559">
        <f t="shared" si="60"/>
        <v>25651.113333333335</v>
      </c>
    </row>
    <row r="141" spans="1:21">
      <c r="A141" s="89" t="s">
        <v>3154</v>
      </c>
      <c r="B141" s="89"/>
      <c r="C141" s="90" t="s">
        <v>3155</v>
      </c>
      <c r="D141" s="93">
        <v>3333333.3333333335</v>
      </c>
      <c r="E141" s="93">
        <v>3333333.3333333335</v>
      </c>
      <c r="F141" s="93">
        <v>3333333.3333333335</v>
      </c>
      <c r="G141" s="93">
        <v>3333333.3333333335</v>
      </c>
      <c r="H141" s="93">
        <v>3333333.3333333335</v>
      </c>
      <c r="I141" s="93">
        <v>3333333.3333333335</v>
      </c>
      <c r="J141" s="93">
        <v>3333333.3333333335</v>
      </c>
      <c r="K141" s="93">
        <v>3333333.3333333335</v>
      </c>
      <c r="L141" s="93">
        <v>3333333.3333333335</v>
      </c>
      <c r="M141" s="93">
        <v>3333333.3333333335</v>
      </c>
      <c r="N141" s="93">
        <v>3333333.3333333335</v>
      </c>
      <c r="O141" s="93">
        <v>3333333.3333333335</v>
      </c>
      <c r="P141" s="93">
        <f t="shared" si="58"/>
        <v>40000000</v>
      </c>
      <c r="Q141" s="93">
        <f t="shared" si="59"/>
        <v>13333333.333333334</v>
      </c>
      <c r="R141" s="93"/>
      <c r="S141" s="559">
        <f t="shared" si="60"/>
        <v>13333333.333333334</v>
      </c>
    </row>
    <row r="142" spans="1:21">
      <c r="A142" s="563" t="s">
        <v>1858</v>
      </c>
      <c r="B142" s="110"/>
      <c r="C142" s="94"/>
      <c r="D142" s="150">
        <f>+D136</f>
        <v>3762500</v>
      </c>
      <c r="E142" s="150">
        <f t="shared" ref="E142:O142" si="61">+E136</f>
        <v>3762500</v>
      </c>
      <c r="F142" s="150">
        <f t="shared" si="61"/>
        <v>3762500</v>
      </c>
      <c r="G142" s="150">
        <f t="shared" si="61"/>
        <v>3762500</v>
      </c>
      <c r="H142" s="150">
        <f t="shared" si="61"/>
        <v>3762500</v>
      </c>
      <c r="I142" s="150">
        <f t="shared" si="61"/>
        <v>3762500</v>
      </c>
      <c r="J142" s="150">
        <f t="shared" si="61"/>
        <v>3762500</v>
      </c>
      <c r="K142" s="150">
        <f t="shared" si="61"/>
        <v>3762500</v>
      </c>
      <c r="L142" s="150">
        <f t="shared" si="61"/>
        <v>3762500</v>
      </c>
      <c r="M142" s="150">
        <f t="shared" si="61"/>
        <v>3762500</v>
      </c>
      <c r="N142" s="150">
        <f t="shared" si="61"/>
        <v>3762500</v>
      </c>
      <c r="O142" s="150">
        <f t="shared" si="61"/>
        <v>3762500</v>
      </c>
      <c r="P142" s="150">
        <f t="shared" ref="P142:S142" si="62">+P136</f>
        <v>45150000</v>
      </c>
      <c r="Q142" s="150">
        <f t="shared" si="62"/>
        <v>15050000</v>
      </c>
      <c r="R142" s="150">
        <f t="shared" si="62"/>
        <v>1447456.3599999999</v>
      </c>
      <c r="S142" s="150">
        <f t="shared" si="62"/>
        <v>13602543.640000001</v>
      </c>
    </row>
    <row r="143" spans="1:21">
      <c r="A143" s="91"/>
      <c r="B143" s="91"/>
      <c r="C143" s="91"/>
      <c r="R143" s="10"/>
    </row>
    <row r="144" spans="1:21" ht="15">
      <c r="A144" s="618"/>
      <c r="B144" s="619"/>
      <c r="C144" s="620" t="s">
        <v>142</v>
      </c>
      <c r="D144" s="590"/>
      <c r="E144" s="590"/>
      <c r="F144" s="590"/>
      <c r="G144" s="590"/>
      <c r="H144" s="590"/>
      <c r="I144" s="590"/>
      <c r="J144" s="590"/>
      <c r="K144" s="590"/>
      <c r="L144" s="590"/>
      <c r="M144" s="590"/>
      <c r="N144" s="590"/>
      <c r="O144" s="590"/>
      <c r="P144" s="624"/>
      <c r="Q144" s="625"/>
      <c r="R144" s="625"/>
      <c r="S144" s="626"/>
    </row>
    <row r="145" spans="1:19" ht="15">
      <c r="A145" s="621"/>
      <c r="B145" s="621"/>
      <c r="C145" s="620" t="s">
        <v>144</v>
      </c>
      <c r="D145" s="607" t="s">
        <v>51</v>
      </c>
      <c r="E145" s="607" t="s">
        <v>52</v>
      </c>
      <c r="F145" s="607" t="s">
        <v>53</v>
      </c>
      <c r="G145" s="607" t="s">
        <v>54</v>
      </c>
      <c r="H145" s="607" t="s">
        <v>55</v>
      </c>
      <c r="I145" s="607" t="s">
        <v>56</v>
      </c>
      <c r="J145" s="607" t="s">
        <v>57</v>
      </c>
      <c r="K145" s="607" t="s">
        <v>58</v>
      </c>
      <c r="L145" s="607" t="s">
        <v>59</v>
      </c>
      <c r="M145" s="607" t="s">
        <v>60</v>
      </c>
      <c r="N145" s="607" t="s">
        <v>61</v>
      </c>
      <c r="O145" s="607" t="s">
        <v>62</v>
      </c>
      <c r="P145" s="607" t="s">
        <v>5931</v>
      </c>
      <c r="Q145" s="607" t="s">
        <v>25</v>
      </c>
      <c r="R145" s="659" t="s">
        <v>236</v>
      </c>
      <c r="S145" s="607" t="s">
        <v>63</v>
      </c>
    </row>
    <row r="146" spans="1:19">
      <c r="A146" s="91"/>
      <c r="B146" s="91"/>
      <c r="C146" s="589"/>
    </row>
    <row r="147" spans="1:19">
      <c r="A147" s="91"/>
      <c r="B147" s="91"/>
      <c r="C147" s="112" t="s">
        <v>3261</v>
      </c>
      <c r="D147" s="1369">
        <f>SUM(D148:D150)</f>
        <v>241500</v>
      </c>
      <c r="E147" s="1369">
        <f t="shared" ref="E147:S147" si="63">SUM(E148:E150)</f>
        <v>7741500</v>
      </c>
      <c r="F147" s="1369">
        <f t="shared" si="63"/>
        <v>112000</v>
      </c>
      <c r="G147" s="1369">
        <f t="shared" si="63"/>
        <v>0</v>
      </c>
      <c r="H147" s="1369">
        <f t="shared" si="63"/>
        <v>0</v>
      </c>
      <c r="I147" s="1369">
        <f t="shared" si="63"/>
        <v>0</v>
      </c>
      <c r="J147" s="1369">
        <f t="shared" si="63"/>
        <v>0</v>
      </c>
      <c r="K147" s="1369">
        <f t="shared" si="63"/>
        <v>0</v>
      </c>
      <c r="L147" s="1369">
        <f t="shared" si="63"/>
        <v>0</v>
      </c>
      <c r="M147" s="1369">
        <f t="shared" si="63"/>
        <v>0</v>
      </c>
      <c r="N147" s="1369">
        <f t="shared" si="63"/>
        <v>0</v>
      </c>
      <c r="O147" s="1369">
        <f t="shared" si="63"/>
        <v>0</v>
      </c>
      <c r="P147" s="1369">
        <f t="shared" si="63"/>
        <v>8095000</v>
      </c>
      <c r="Q147" s="1369">
        <f t="shared" si="63"/>
        <v>8095000</v>
      </c>
      <c r="R147" s="1369">
        <f t="shared" si="63"/>
        <v>39004.33</v>
      </c>
      <c r="S147" s="1369">
        <f t="shared" si="63"/>
        <v>8055995.6699999999</v>
      </c>
    </row>
    <row r="148" spans="1:19">
      <c r="A148" s="91"/>
      <c r="B148" s="91"/>
      <c r="C148" s="517" t="s">
        <v>3262</v>
      </c>
      <c r="D148" s="780"/>
      <c r="E148" s="780"/>
      <c r="F148" s="780">
        <v>112000</v>
      </c>
      <c r="G148" s="780"/>
      <c r="H148" s="780"/>
      <c r="I148" s="780"/>
      <c r="J148" s="780"/>
      <c r="K148" s="780"/>
      <c r="L148" s="780"/>
      <c r="M148" s="780"/>
      <c r="N148" s="780"/>
      <c r="O148" s="780"/>
      <c r="P148" s="780">
        <f>SUM(D148:O148)</f>
        <v>112000</v>
      </c>
      <c r="Q148" s="93">
        <f t="shared" ref="Q148:Q150" si="64">SUM(D148:G148)</f>
        <v>112000</v>
      </c>
      <c r="R148" s="93"/>
      <c r="S148" s="729">
        <f>+Q148-R148</f>
        <v>112000</v>
      </c>
    </row>
    <row r="149" spans="1:19">
      <c r="A149" s="91"/>
      <c r="B149" s="91"/>
      <c r="C149" s="517" t="s">
        <v>2991</v>
      </c>
      <c r="D149" s="780">
        <v>241500</v>
      </c>
      <c r="E149" s="780">
        <v>241500</v>
      </c>
      <c r="F149" s="780"/>
      <c r="G149" s="780"/>
      <c r="H149" s="780"/>
      <c r="I149" s="780"/>
      <c r="J149" s="780"/>
      <c r="K149" s="780"/>
      <c r="L149" s="780"/>
      <c r="M149" s="780"/>
      <c r="N149" s="780"/>
      <c r="O149" s="780"/>
      <c r="P149" s="780">
        <f t="shared" ref="P149:P150" si="65">SUM(D149:O149)</f>
        <v>483000</v>
      </c>
      <c r="Q149" s="93">
        <f t="shared" si="64"/>
        <v>483000</v>
      </c>
      <c r="R149" s="93">
        <f>35815.54+3188.79</f>
        <v>39004.33</v>
      </c>
      <c r="S149" s="729">
        <f t="shared" ref="S149:S150" si="66">+Q149-R149</f>
        <v>443995.67</v>
      </c>
    </row>
    <row r="150" spans="1:19">
      <c r="A150" s="91"/>
      <c r="B150" s="91"/>
      <c r="C150" s="90" t="s">
        <v>3263</v>
      </c>
      <c r="D150" s="780"/>
      <c r="E150" s="780">
        <v>7500000</v>
      </c>
      <c r="F150" s="780"/>
      <c r="G150" s="780"/>
      <c r="H150" s="780"/>
      <c r="I150" s="780"/>
      <c r="J150" s="780"/>
      <c r="K150" s="780"/>
      <c r="L150" s="780"/>
      <c r="M150" s="780"/>
      <c r="N150" s="780"/>
      <c r="O150" s="780"/>
      <c r="P150" s="780">
        <f t="shared" si="65"/>
        <v>7500000</v>
      </c>
      <c r="Q150" s="93">
        <f t="shared" si="64"/>
        <v>7500000</v>
      </c>
      <c r="R150" s="93"/>
      <c r="S150" s="729">
        <f t="shared" si="66"/>
        <v>7500000</v>
      </c>
    </row>
    <row r="151" spans="1:19">
      <c r="A151" s="91"/>
      <c r="B151" s="91"/>
      <c r="C151" s="112" t="s">
        <v>142</v>
      </c>
      <c r="D151" s="1365"/>
      <c r="E151" s="1365"/>
      <c r="F151" s="1365"/>
      <c r="G151" s="1365"/>
      <c r="H151" s="1365"/>
      <c r="I151" s="1365"/>
      <c r="J151" s="1365"/>
      <c r="K151" s="1365"/>
      <c r="L151" s="1365"/>
      <c r="M151" s="1365"/>
      <c r="N151" s="1365"/>
      <c r="O151" s="1365"/>
      <c r="P151" s="131"/>
      <c r="Q151" s="131"/>
      <c r="R151" s="131"/>
      <c r="S151" s="131"/>
    </row>
    <row r="152" spans="1:19">
      <c r="A152" s="91"/>
      <c r="B152" s="91"/>
      <c r="C152" s="112" t="s">
        <v>149</v>
      </c>
      <c r="D152" s="131">
        <f>SUM(D153:D158)</f>
        <v>2570000</v>
      </c>
      <c r="E152" s="131">
        <f t="shared" ref="E152:O152" si="67">SUM(E153:E158)</f>
        <v>1841000</v>
      </c>
      <c r="F152" s="131">
        <f t="shared" si="67"/>
        <v>2315000</v>
      </c>
      <c r="G152" s="131">
        <f t="shared" si="67"/>
        <v>1900000</v>
      </c>
      <c r="H152" s="131">
        <f t="shared" si="67"/>
        <v>2000000</v>
      </c>
      <c r="I152" s="131">
        <f t="shared" si="67"/>
        <v>2500000</v>
      </c>
      <c r="J152" s="131">
        <f t="shared" si="67"/>
        <v>800000</v>
      </c>
      <c r="K152" s="131">
        <f t="shared" si="67"/>
        <v>250000</v>
      </c>
      <c r="L152" s="131">
        <f t="shared" si="67"/>
        <v>0</v>
      </c>
      <c r="M152" s="131">
        <f t="shared" si="67"/>
        <v>0</v>
      </c>
      <c r="N152" s="131">
        <f t="shared" si="67"/>
        <v>0</v>
      </c>
      <c r="O152" s="131">
        <f t="shared" si="67"/>
        <v>0</v>
      </c>
      <c r="P152" s="131">
        <f>SUM(P153:P159)</f>
        <v>14176000</v>
      </c>
      <c r="Q152" s="131">
        <f t="shared" ref="Q152:S152" si="68">SUM(Q153:Q159)</f>
        <v>8626000</v>
      </c>
      <c r="R152" s="131">
        <f t="shared" si="68"/>
        <v>2003555.3399999999</v>
      </c>
      <c r="S152" s="131">
        <f t="shared" si="68"/>
        <v>6622444.6599999992</v>
      </c>
    </row>
    <row r="153" spans="1:19">
      <c r="A153" s="91"/>
      <c r="B153" s="1376">
        <v>1</v>
      </c>
      <c r="C153" s="126" t="s">
        <v>3264</v>
      </c>
      <c r="D153" s="780">
        <v>0</v>
      </c>
      <c r="E153" s="780">
        <v>0</v>
      </c>
      <c r="F153" s="780">
        <v>890000</v>
      </c>
      <c r="G153" s="780">
        <v>600000</v>
      </c>
      <c r="H153" s="780">
        <v>800000</v>
      </c>
      <c r="I153" s="780">
        <v>1200000</v>
      </c>
      <c r="J153" s="780">
        <v>300000</v>
      </c>
      <c r="K153" s="780">
        <v>200000</v>
      </c>
      <c r="L153" s="780">
        <v>0</v>
      </c>
      <c r="M153" s="780">
        <v>0</v>
      </c>
      <c r="N153" s="780">
        <v>0</v>
      </c>
      <c r="O153" s="780">
        <v>0</v>
      </c>
      <c r="P153" s="780">
        <f t="shared" ref="P153:P158" si="69">SUM(D153:O153)</f>
        <v>3990000</v>
      </c>
      <c r="Q153" s="93">
        <f t="shared" ref="Q153:Q158" si="70">SUM(D153:G153)</f>
        <v>1490000</v>
      </c>
      <c r="R153" s="779">
        <f>854947.69+37715.03+751428.82</f>
        <v>1644091.54</v>
      </c>
      <c r="S153" s="729">
        <f t="shared" ref="S153:S159" si="71">+Q153-R153</f>
        <v>-154091.54000000004</v>
      </c>
    </row>
    <row r="154" spans="1:19">
      <c r="A154" s="91"/>
      <c r="B154" s="1376">
        <v>2</v>
      </c>
      <c r="C154" s="90" t="s">
        <v>3265</v>
      </c>
      <c r="D154" s="780">
        <v>350000</v>
      </c>
      <c r="E154" s="780"/>
      <c r="F154" s="780"/>
      <c r="G154" s="780"/>
      <c r="H154" s="780"/>
      <c r="I154" s="780"/>
      <c r="J154" s="780"/>
      <c r="K154" s="780"/>
      <c r="L154" s="780"/>
      <c r="M154" s="780"/>
      <c r="N154" s="780"/>
      <c r="O154" s="780"/>
      <c r="P154" s="780">
        <f t="shared" si="69"/>
        <v>350000</v>
      </c>
      <c r="Q154" s="93">
        <f t="shared" si="70"/>
        <v>350000</v>
      </c>
      <c r="R154" s="93"/>
      <c r="S154" s="729">
        <f t="shared" si="71"/>
        <v>350000</v>
      </c>
    </row>
    <row r="155" spans="1:19">
      <c r="A155" s="91"/>
      <c r="B155" s="1376">
        <v>3</v>
      </c>
      <c r="C155" s="90" t="s">
        <v>3266</v>
      </c>
      <c r="D155" s="780">
        <v>300000</v>
      </c>
      <c r="E155" s="780">
        <v>220000</v>
      </c>
      <c r="F155" s="780">
        <v>100000</v>
      </c>
      <c r="G155" s="780">
        <v>100000</v>
      </c>
      <c r="H155" s="780">
        <v>0</v>
      </c>
      <c r="I155" s="780">
        <v>100000</v>
      </c>
      <c r="J155" s="780">
        <v>50000</v>
      </c>
      <c r="K155" s="780">
        <v>0</v>
      </c>
      <c r="L155" s="780">
        <v>0</v>
      </c>
      <c r="M155" s="780">
        <v>0</v>
      </c>
      <c r="N155" s="780">
        <v>0</v>
      </c>
      <c r="O155" s="780">
        <v>0</v>
      </c>
      <c r="P155" s="780">
        <f t="shared" si="69"/>
        <v>870000</v>
      </c>
      <c r="Q155" s="93">
        <f t="shared" si="70"/>
        <v>720000</v>
      </c>
      <c r="R155" s="93">
        <f>146842.78-229134.44+58091.65+56515.22+64510.04+21536.99</f>
        <v>118362.24000000001</v>
      </c>
      <c r="S155" s="729">
        <f t="shared" si="71"/>
        <v>601637.76</v>
      </c>
    </row>
    <row r="156" spans="1:19">
      <c r="A156" s="91"/>
      <c r="B156" s="1376">
        <v>4</v>
      </c>
      <c r="C156" s="778" t="s">
        <v>4050</v>
      </c>
      <c r="D156" s="780">
        <v>1600000</v>
      </c>
      <c r="E156" s="780">
        <v>1200000</v>
      </c>
      <c r="F156" s="780">
        <v>1325000</v>
      </c>
      <c r="G156" s="780">
        <v>1200000</v>
      </c>
      <c r="H156" s="780">
        <v>1200000</v>
      </c>
      <c r="I156" s="780">
        <v>1200000</v>
      </c>
      <c r="J156" s="780">
        <v>450000</v>
      </c>
      <c r="K156" s="780">
        <v>50000</v>
      </c>
      <c r="L156" s="780">
        <v>0</v>
      </c>
      <c r="M156" s="780">
        <v>0</v>
      </c>
      <c r="N156" s="780">
        <v>0</v>
      </c>
      <c r="O156" s="780">
        <v>0</v>
      </c>
      <c r="P156" s="780">
        <f t="shared" si="69"/>
        <v>8225000</v>
      </c>
      <c r="Q156" s="93">
        <f t="shared" si="70"/>
        <v>5325000</v>
      </c>
      <c r="R156" s="93"/>
      <c r="S156" s="729">
        <f t="shared" si="71"/>
        <v>5325000</v>
      </c>
    </row>
    <row r="157" spans="1:19">
      <c r="A157" s="91"/>
      <c r="B157" s="1376"/>
      <c r="C157" s="778" t="s">
        <v>4051</v>
      </c>
      <c r="D157" s="780"/>
      <c r="E157" s="780">
        <v>300000</v>
      </c>
      <c r="F157" s="780"/>
      <c r="G157" s="780"/>
      <c r="H157" s="780"/>
      <c r="I157" s="780"/>
      <c r="J157" s="780"/>
      <c r="K157" s="780"/>
      <c r="L157" s="780"/>
      <c r="M157" s="780"/>
      <c r="N157" s="780"/>
      <c r="O157" s="780"/>
      <c r="P157" s="780">
        <f t="shared" si="69"/>
        <v>300000</v>
      </c>
      <c r="Q157" s="93">
        <f t="shared" si="70"/>
        <v>300000</v>
      </c>
      <c r="R157" s="93"/>
      <c r="S157" s="729">
        <f t="shared" si="71"/>
        <v>300000</v>
      </c>
    </row>
    <row r="158" spans="1:19">
      <c r="A158" s="91"/>
      <c r="B158" s="1376">
        <v>5</v>
      </c>
      <c r="C158" s="778" t="s">
        <v>4052</v>
      </c>
      <c r="D158" s="780">
        <v>320000</v>
      </c>
      <c r="E158" s="780">
        <v>121000</v>
      </c>
      <c r="F158" s="780">
        <v>0</v>
      </c>
      <c r="G158" s="780">
        <v>0</v>
      </c>
      <c r="H158" s="780">
        <v>0</v>
      </c>
      <c r="I158" s="780">
        <v>0</v>
      </c>
      <c r="J158" s="780">
        <v>0</v>
      </c>
      <c r="K158" s="780">
        <v>0</v>
      </c>
      <c r="L158" s="780">
        <v>0</v>
      </c>
      <c r="M158" s="780">
        <v>0</v>
      </c>
      <c r="N158" s="780">
        <v>0</v>
      </c>
      <c r="O158" s="780">
        <v>0</v>
      </c>
      <c r="P158" s="780">
        <f t="shared" si="69"/>
        <v>441000</v>
      </c>
      <c r="Q158" s="93">
        <f t="shared" si="70"/>
        <v>441000</v>
      </c>
      <c r="R158" s="93">
        <f>243829-370528.46+106501.36+59916.56+118268.41</f>
        <v>157986.87</v>
      </c>
      <c r="S158" s="729">
        <f t="shared" si="71"/>
        <v>283013.13</v>
      </c>
    </row>
    <row r="159" spans="1:19">
      <c r="A159" s="91"/>
      <c r="B159" s="1376"/>
      <c r="C159" s="778" t="s">
        <v>6488</v>
      </c>
      <c r="D159" s="780"/>
      <c r="E159" s="780"/>
      <c r="F159" s="780"/>
      <c r="G159" s="780"/>
      <c r="H159" s="780"/>
      <c r="I159" s="780"/>
      <c r="J159" s="780"/>
      <c r="K159" s="780"/>
      <c r="L159" s="780"/>
      <c r="M159" s="780"/>
      <c r="N159" s="780"/>
      <c r="O159" s="780"/>
      <c r="P159" s="780"/>
      <c r="Q159" s="93"/>
      <c r="R159" s="93">
        <f>-304108.61+87137.47+96765.06+203320.77</f>
        <v>83114.69</v>
      </c>
      <c r="S159" s="729">
        <f t="shared" si="71"/>
        <v>-83114.69</v>
      </c>
    </row>
    <row r="160" spans="1:19">
      <c r="A160" s="91"/>
      <c r="B160" s="1376"/>
      <c r="C160" s="112" t="s">
        <v>159</v>
      </c>
      <c r="D160" s="1370">
        <f t="shared" ref="D160:S160" si="72">SUM(D161:D164)</f>
        <v>23020000</v>
      </c>
      <c r="E160" s="1370">
        <f t="shared" si="72"/>
        <v>23030000</v>
      </c>
      <c r="F160" s="1370">
        <f t="shared" si="72"/>
        <v>550000</v>
      </c>
      <c r="G160" s="1370">
        <f t="shared" si="72"/>
        <v>150000</v>
      </c>
      <c r="H160" s="1370">
        <f t="shared" si="72"/>
        <v>100000</v>
      </c>
      <c r="I160" s="1370">
        <f t="shared" si="72"/>
        <v>150000</v>
      </c>
      <c r="J160" s="1370">
        <f t="shared" si="72"/>
        <v>0</v>
      </c>
      <c r="K160" s="1370">
        <f t="shared" si="72"/>
        <v>0</v>
      </c>
      <c r="L160" s="1370">
        <f t="shared" si="72"/>
        <v>0</v>
      </c>
      <c r="M160" s="1370">
        <f t="shared" si="72"/>
        <v>0</v>
      </c>
      <c r="N160" s="1370">
        <f t="shared" si="72"/>
        <v>0</v>
      </c>
      <c r="O160" s="1370">
        <f t="shared" si="72"/>
        <v>0</v>
      </c>
      <c r="P160" s="1370">
        <f t="shared" si="72"/>
        <v>47000000</v>
      </c>
      <c r="Q160" s="1370">
        <f t="shared" si="72"/>
        <v>46750000</v>
      </c>
      <c r="R160" s="1370">
        <f t="shared" si="72"/>
        <v>26611623.619999994</v>
      </c>
      <c r="S160" s="1370">
        <f t="shared" si="72"/>
        <v>20138376.380000006</v>
      </c>
    </row>
    <row r="161" spans="1:19">
      <c r="A161" s="91"/>
      <c r="B161" s="1376"/>
      <c r="C161" s="90" t="s">
        <v>3267</v>
      </c>
      <c r="D161" s="780">
        <v>22000000</v>
      </c>
      <c r="E161" s="780">
        <v>22000000</v>
      </c>
      <c r="F161" s="780"/>
      <c r="G161" s="780"/>
      <c r="H161" s="780"/>
      <c r="I161" s="780"/>
      <c r="J161" s="780"/>
      <c r="K161" s="780"/>
      <c r="L161" s="780"/>
      <c r="M161" s="780"/>
      <c r="N161" s="780"/>
      <c r="O161" s="780"/>
      <c r="P161" s="780">
        <f t="shared" ref="P161:P164" si="73">SUM(D161:O161)</f>
        <v>44000000</v>
      </c>
      <c r="Q161" s="93">
        <f t="shared" ref="Q161:Q164" si="74">SUM(D161:G161)</f>
        <v>44000000</v>
      </c>
      <c r="R161" s="93">
        <f>1089675.54+22650+58725.18+433861.94+1269589.02+52989.68+320537.89+102510.02+2420201.84+1516943.15+100768.59+107772.05+6911931.67+46880.4+212685.87+2310948.31+27768.63+1361180.24+3666695.69+3279520.22+72988.84</f>
        <v>25386824.769999996</v>
      </c>
      <c r="S161" s="729">
        <f t="shared" ref="S161:S164" si="75">+Q161-R161</f>
        <v>18613175.230000004</v>
      </c>
    </row>
    <row r="162" spans="1:19">
      <c r="A162" s="91"/>
      <c r="B162" s="1376">
        <v>6</v>
      </c>
      <c r="C162" s="778" t="s">
        <v>4053</v>
      </c>
      <c r="D162" s="1368">
        <v>350000</v>
      </c>
      <c r="E162" s="1368">
        <v>350000</v>
      </c>
      <c r="F162" s="1368">
        <v>100000</v>
      </c>
      <c r="G162" s="1368">
        <v>0</v>
      </c>
      <c r="H162" s="1368">
        <v>0</v>
      </c>
      <c r="I162" s="1368">
        <v>0</v>
      </c>
      <c r="J162" s="1368">
        <v>0</v>
      </c>
      <c r="K162" s="1368">
        <v>0</v>
      </c>
      <c r="L162" s="1368">
        <v>0</v>
      </c>
      <c r="M162" s="1368">
        <v>0</v>
      </c>
      <c r="N162" s="1368">
        <v>0</v>
      </c>
      <c r="O162" s="1368">
        <v>0</v>
      </c>
      <c r="P162" s="780">
        <f t="shared" si="73"/>
        <v>800000</v>
      </c>
      <c r="Q162" s="93">
        <f t="shared" si="74"/>
        <v>800000</v>
      </c>
      <c r="R162" s="93">
        <f>230586.14-341363.05+96819.42+392141.12+107516.73+6153.43</f>
        <v>491853.79</v>
      </c>
      <c r="S162" s="729">
        <f t="shared" si="75"/>
        <v>308146.21000000002</v>
      </c>
    </row>
    <row r="163" spans="1:19">
      <c r="A163" s="91"/>
      <c r="B163" s="1376"/>
      <c r="C163" s="778" t="s">
        <v>4054</v>
      </c>
      <c r="D163" s="780"/>
      <c r="E163" s="780">
        <v>150000</v>
      </c>
      <c r="F163" s="780"/>
      <c r="G163" s="780"/>
      <c r="H163" s="780"/>
      <c r="I163" s="780"/>
      <c r="J163" s="780"/>
      <c r="K163" s="780"/>
      <c r="L163" s="780"/>
      <c r="M163" s="780"/>
      <c r="N163" s="780"/>
      <c r="O163" s="780"/>
      <c r="P163" s="780">
        <f t="shared" si="73"/>
        <v>150000</v>
      </c>
      <c r="Q163" s="93">
        <f t="shared" si="74"/>
        <v>150000</v>
      </c>
      <c r="R163" s="93"/>
      <c r="S163" s="729">
        <f t="shared" si="75"/>
        <v>150000</v>
      </c>
    </row>
    <row r="164" spans="1:19">
      <c r="A164" s="91"/>
      <c r="B164" s="1376">
        <v>7</v>
      </c>
      <c r="C164" s="778" t="s">
        <v>4055</v>
      </c>
      <c r="D164" s="1368">
        <v>670000</v>
      </c>
      <c r="E164" s="1368">
        <v>530000</v>
      </c>
      <c r="F164" s="1368">
        <v>450000</v>
      </c>
      <c r="G164" s="1368">
        <v>150000</v>
      </c>
      <c r="H164" s="1368">
        <v>100000</v>
      </c>
      <c r="I164" s="1368">
        <v>150000</v>
      </c>
      <c r="J164" s="1368">
        <v>0</v>
      </c>
      <c r="K164" s="1368">
        <v>0</v>
      </c>
      <c r="L164" s="1368">
        <v>0</v>
      </c>
      <c r="M164" s="1368">
        <v>0</v>
      </c>
      <c r="N164" s="1368">
        <v>0</v>
      </c>
      <c r="O164" s="1368">
        <v>0</v>
      </c>
      <c r="P164" s="780">
        <f t="shared" si="73"/>
        <v>2050000</v>
      </c>
      <c r="Q164" s="93">
        <f t="shared" si="74"/>
        <v>1800000</v>
      </c>
      <c r="R164" s="93">
        <f>32264.45+293944.35+29455.33+109473.78+69778.03+18305.68+20407.85+27738.89+50984.28+80592.42</f>
        <v>732945.06000000017</v>
      </c>
      <c r="S164" s="729">
        <f t="shared" si="75"/>
        <v>1067054.94</v>
      </c>
    </row>
    <row r="165" spans="1:19">
      <c r="A165" s="91"/>
      <c r="B165" s="1376"/>
      <c r="C165" s="112" t="s">
        <v>3268</v>
      </c>
      <c r="D165" s="131">
        <f t="shared" ref="D165:S165" si="76">SUM(D166:D170)</f>
        <v>600000</v>
      </c>
      <c r="E165" s="131">
        <f t="shared" si="76"/>
        <v>250000</v>
      </c>
      <c r="F165" s="131">
        <f t="shared" si="76"/>
        <v>800000</v>
      </c>
      <c r="G165" s="131">
        <f t="shared" si="76"/>
        <v>200000</v>
      </c>
      <c r="H165" s="131">
        <f t="shared" si="76"/>
        <v>460000</v>
      </c>
      <c r="I165" s="131">
        <f t="shared" si="76"/>
        <v>350000</v>
      </c>
      <c r="J165" s="131">
        <f t="shared" si="76"/>
        <v>200000</v>
      </c>
      <c r="K165" s="131">
        <f t="shared" si="76"/>
        <v>200000</v>
      </c>
      <c r="L165" s="131">
        <f t="shared" si="76"/>
        <v>0</v>
      </c>
      <c r="M165" s="131">
        <f t="shared" si="76"/>
        <v>0</v>
      </c>
      <c r="N165" s="131">
        <f t="shared" si="76"/>
        <v>0</v>
      </c>
      <c r="O165" s="131">
        <f t="shared" si="76"/>
        <v>0</v>
      </c>
      <c r="P165" s="131">
        <f t="shared" si="76"/>
        <v>3060000</v>
      </c>
      <c r="Q165" s="131">
        <f t="shared" si="76"/>
        <v>1850000</v>
      </c>
      <c r="R165" s="131">
        <f t="shared" si="76"/>
        <v>991618.12</v>
      </c>
      <c r="S165" s="131">
        <f t="shared" si="76"/>
        <v>858381.87999999989</v>
      </c>
    </row>
    <row r="166" spans="1:19">
      <c r="A166" s="91"/>
      <c r="B166" s="1376">
        <v>8</v>
      </c>
      <c r="C166" s="90" t="s">
        <v>3269</v>
      </c>
      <c r="D166" s="780">
        <v>350000</v>
      </c>
      <c r="E166" s="780"/>
      <c r="F166" s="780"/>
      <c r="G166" s="780"/>
      <c r="H166" s="780"/>
      <c r="I166" s="780"/>
      <c r="J166" s="780"/>
      <c r="K166" s="780"/>
      <c r="L166" s="780"/>
      <c r="M166" s="780"/>
      <c r="N166" s="780"/>
      <c r="O166" s="780"/>
      <c r="P166" s="780">
        <f t="shared" ref="P166:P170" si="77">SUM(D166:O166)</f>
        <v>350000</v>
      </c>
      <c r="Q166" s="93">
        <f t="shared" ref="Q166:Q170" si="78">SUM(D166:G166)</f>
        <v>350000</v>
      </c>
      <c r="R166" s="93"/>
      <c r="S166" s="729">
        <f t="shared" ref="S166:S170" si="79">+Q166-R166</f>
        <v>350000</v>
      </c>
    </row>
    <row r="167" spans="1:19">
      <c r="A167" s="91"/>
      <c r="B167" s="1376">
        <v>9</v>
      </c>
      <c r="C167" s="778" t="s">
        <v>4056</v>
      </c>
      <c r="D167" s="780">
        <v>250000</v>
      </c>
      <c r="E167" s="780">
        <v>250000</v>
      </c>
      <c r="F167" s="780">
        <v>0</v>
      </c>
      <c r="G167" s="780">
        <v>0</v>
      </c>
      <c r="H167" s="780">
        <v>0</v>
      </c>
      <c r="I167" s="780">
        <v>0</v>
      </c>
      <c r="J167" s="780">
        <v>0</v>
      </c>
      <c r="K167" s="780">
        <v>0</v>
      </c>
      <c r="L167" s="780">
        <v>0</v>
      </c>
      <c r="M167" s="780">
        <v>0</v>
      </c>
      <c r="N167" s="780">
        <v>0</v>
      </c>
      <c r="O167" s="780">
        <v>0</v>
      </c>
      <c r="P167" s="780">
        <f t="shared" si="77"/>
        <v>500000</v>
      </c>
      <c r="Q167" s="93">
        <f t="shared" si="78"/>
        <v>500000</v>
      </c>
      <c r="R167" s="93">
        <f>135547.18-217328.37+62932.62+474385.49+69885.88+126145.23</f>
        <v>651568.03</v>
      </c>
      <c r="S167" s="729">
        <f t="shared" si="79"/>
        <v>-151568.03000000003</v>
      </c>
    </row>
    <row r="168" spans="1:19">
      <c r="A168" s="91"/>
      <c r="B168" s="1376"/>
      <c r="C168" s="778" t="s">
        <v>6489</v>
      </c>
      <c r="D168" s="780"/>
      <c r="E168" s="780"/>
      <c r="F168" s="780"/>
      <c r="G168" s="780"/>
      <c r="H168" s="780"/>
      <c r="I168" s="780"/>
      <c r="J168" s="780"/>
      <c r="K168" s="780"/>
      <c r="L168" s="780"/>
      <c r="M168" s="780"/>
      <c r="N168" s="780"/>
      <c r="O168" s="780"/>
      <c r="P168" s="780"/>
      <c r="Q168" s="93">
        <f t="shared" si="78"/>
        <v>0</v>
      </c>
      <c r="R168" s="93">
        <f>-171546.55+48409.71+53758.37+112956+271403.49</f>
        <v>314981.02</v>
      </c>
      <c r="S168" s="729">
        <f t="shared" si="79"/>
        <v>-314981.02</v>
      </c>
    </row>
    <row r="169" spans="1:19">
      <c r="A169" s="91"/>
      <c r="B169" s="1376"/>
      <c r="C169" s="778" t="s">
        <v>6488</v>
      </c>
      <c r="D169" s="780"/>
      <c r="E169" s="780"/>
      <c r="F169" s="780"/>
      <c r="G169" s="780"/>
      <c r="H169" s="780"/>
      <c r="I169" s="780"/>
      <c r="J169" s="780"/>
      <c r="K169" s="780"/>
      <c r="L169" s="780"/>
      <c r="M169" s="780"/>
      <c r="N169" s="780"/>
      <c r="O169" s="780"/>
      <c r="P169" s="780"/>
      <c r="Q169" s="93">
        <f t="shared" si="78"/>
        <v>0</v>
      </c>
      <c r="R169" s="93">
        <f>-82492.96+24204.85+26879.18+56478</f>
        <v>25069.069999999992</v>
      </c>
      <c r="S169" s="729">
        <f t="shared" si="79"/>
        <v>-25069.069999999992</v>
      </c>
    </row>
    <row r="170" spans="1:19">
      <c r="A170" s="91"/>
      <c r="B170" s="1376">
        <v>10</v>
      </c>
      <c r="C170" s="90" t="s">
        <v>5926</v>
      </c>
      <c r="D170" s="780">
        <v>0</v>
      </c>
      <c r="E170" s="780">
        <v>0</v>
      </c>
      <c r="F170" s="780">
        <v>800000</v>
      </c>
      <c r="G170" s="780">
        <v>200000</v>
      </c>
      <c r="H170" s="780">
        <v>460000</v>
      </c>
      <c r="I170" s="780">
        <v>350000</v>
      </c>
      <c r="J170" s="780">
        <v>200000</v>
      </c>
      <c r="K170" s="780">
        <v>200000</v>
      </c>
      <c r="L170" s="780">
        <v>0</v>
      </c>
      <c r="M170" s="780">
        <v>0</v>
      </c>
      <c r="N170" s="780">
        <v>0</v>
      </c>
      <c r="O170" s="780">
        <v>0</v>
      </c>
      <c r="P170" s="780">
        <f t="shared" si="77"/>
        <v>2210000</v>
      </c>
      <c r="Q170" s="93">
        <f t="shared" si="78"/>
        <v>1000000</v>
      </c>
      <c r="R170" s="93"/>
      <c r="S170" s="729">
        <f t="shared" si="79"/>
        <v>1000000</v>
      </c>
    </row>
    <row r="171" spans="1:19">
      <c r="A171" s="91"/>
      <c r="B171" s="1376"/>
      <c r="C171" s="112" t="s">
        <v>151</v>
      </c>
      <c r="D171" s="131">
        <f t="shared" ref="D171:S171" si="80">SUM(D172:D176)</f>
        <v>2950000</v>
      </c>
      <c r="E171" s="131">
        <f t="shared" si="80"/>
        <v>3450000</v>
      </c>
      <c r="F171" s="131">
        <f t="shared" si="80"/>
        <v>2590000</v>
      </c>
      <c r="G171" s="131">
        <f t="shared" si="80"/>
        <v>900000</v>
      </c>
      <c r="H171" s="131">
        <f t="shared" si="80"/>
        <v>700000</v>
      </c>
      <c r="I171" s="131">
        <f t="shared" si="80"/>
        <v>800000</v>
      </c>
      <c r="J171" s="131">
        <f t="shared" si="80"/>
        <v>700000</v>
      </c>
      <c r="K171" s="131">
        <f t="shared" si="80"/>
        <v>100000</v>
      </c>
      <c r="L171" s="131">
        <f t="shared" si="80"/>
        <v>0</v>
      </c>
      <c r="M171" s="131">
        <f t="shared" si="80"/>
        <v>0</v>
      </c>
      <c r="N171" s="131">
        <f t="shared" si="80"/>
        <v>0</v>
      </c>
      <c r="O171" s="131">
        <f t="shared" si="80"/>
        <v>0</v>
      </c>
      <c r="P171" s="131">
        <f t="shared" si="80"/>
        <v>12190000</v>
      </c>
      <c r="Q171" s="131">
        <f t="shared" si="80"/>
        <v>9890000</v>
      </c>
      <c r="R171" s="131">
        <f t="shared" si="80"/>
        <v>2728377.29</v>
      </c>
      <c r="S171" s="131">
        <f t="shared" si="80"/>
        <v>7161622.71</v>
      </c>
    </row>
    <row r="172" spans="1:19">
      <c r="A172" s="91"/>
      <c r="B172" s="1376">
        <v>11</v>
      </c>
      <c r="C172" s="90" t="s">
        <v>3270</v>
      </c>
      <c r="D172" s="786">
        <v>350000</v>
      </c>
      <c r="E172" s="786"/>
      <c r="F172" s="786"/>
      <c r="G172" s="786"/>
      <c r="H172" s="786"/>
      <c r="I172" s="786"/>
      <c r="J172" s="786"/>
      <c r="K172" s="786"/>
      <c r="L172" s="786"/>
      <c r="M172" s="786"/>
      <c r="N172" s="786"/>
      <c r="O172" s="786"/>
      <c r="P172" s="780">
        <f t="shared" ref="P172:P176" si="81">SUM(D172:O172)</f>
        <v>350000</v>
      </c>
      <c r="Q172" s="93">
        <f t="shared" ref="Q172:Q176" si="82">SUM(D172:G172)</f>
        <v>350000</v>
      </c>
      <c r="R172" s="93"/>
      <c r="S172" s="729">
        <f t="shared" ref="S172:S176" si="83">+Q172-R172</f>
        <v>350000</v>
      </c>
    </row>
    <row r="173" spans="1:19">
      <c r="A173" s="91"/>
      <c r="B173" s="1376">
        <v>12</v>
      </c>
      <c r="C173" s="778" t="s">
        <v>4058</v>
      </c>
      <c r="D173" s="786">
        <v>0</v>
      </c>
      <c r="E173" s="786">
        <v>150000</v>
      </c>
      <c r="F173" s="786">
        <v>200000</v>
      </c>
      <c r="G173" s="786">
        <v>0</v>
      </c>
      <c r="H173" s="786">
        <v>0</v>
      </c>
      <c r="I173" s="786">
        <v>0</v>
      </c>
      <c r="J173" s="786">
        <v>0</v>
      </c>
      <c r="K173" s="786">
        <v>0</v>
      </c>
      <c r="L173" s="786">
        <v>0</v>
      </c>
      <c r="M173" s="786">
        <v>0</v>
      </c>
      <c r="N173" s="786">
        <v>0</v>
      </c>
      <c r="O173" s="786">
        <v>0</v>
      </c>
      <c r="P173" s="780">
        <f t="shared" si="81"/>
        <v>350000</v>
      </c>
      <c r="Q173" s="93">
        <f t="shared" si="82"/>
        <v>350000</v>
      </c>
      <c r="R173" s="93"/>
      <c r="S173" s="729">
        <f t="shared" si="83"/>
        <v>350000</v>
      </c>
    </row>
    <row r="174" spans="1:19">
      <c r="A174" s="91"/>
      <c r="B174" s="1376">
        <v>13</v>
      </c>
      <c r="C174" s="778" t="s">
        <v>4059</v>
      </c>
      <c r="D174" s="786">
        <v>100000</v>
      </c>
      <c r="E174" s="786">
        <v>200000</v>
      </c>
      <c r="F174" s="786">
        <v>100000</v>
      </c>
      <c r="G174" s="786">
        <v>100000</v>
      </c>
      <c r="H174" s="786">
        <v>100000</v>
      </c>
      <c r="I174" s="786">
        <v>200000</v>
      </c>
      <c r="J174" s="786">
        <v>0</v>
      </c>
      <c r="K174" s="786">
        <v>50000</v>
      </c>
      <c r="L174" s="786">
        <v>0</v>
      </c>
      <c r="M174" s="786">
        <v>0</v>
      </c>
      <c r="N174" s="786">
        <v>0</v>
      </c>
      <c r="O174" s="786">
        <v>0</v>
      </c>
      <c r="P174" s="780">
        <f t="shared" si="81"/>
        <v>850000</v>
      </c>
      <c r="Q174" s="93">
        <f t="shared" si="82"/>
        <v>500000</v>
      </c>
      <c r="R174" s="93"/>
      <c r="S174" s="729">
        <f t="shared" si="83"/>
        <v>500000</v>
      </c>
    </row>
    <row r="175" spans="1:19">
      <c r="A175" s="91"/>
      <c r="B175" s="1376">
        <v>14</v>
      </c>
      <c r="C175" s="778" t="s">
        <v>4060</v>
      </c>
      <c r="D175" s="786">
        <v>2500000</v>
      </c>
      <c r="E175" s="786">
        <v>1600000</v>
      </c>
      <c r="F175" s="786">
        <v>890000</v>
      </c>
      <c r="G175" s="786">
        <v>200000</v>
      </c>
      <c r="H175" s="786">
        <v>100000</v>
      </c>
      <c r="I175" s="786">
        <v>0</v>
      </c>
      <c r="J175" s="786">
        <v>0</v>
      </c>
      <c r="K175" s="786">
        <v>50000</v>
      </c>
      <c r="L175" s="786">
        <v>0</v>
      </c>
      <c r="M175" s="786">
        <v>0</v>
      </c>
      <c r="N175" s="786">
        <v>0</v>
      </c>
      <c r="O175" s="786">
        <v>0</v>
      </c>
      <c r="P175" s="780">
        <f t="shared" si="81"/>
        <v>5340000</v>
      </c>
      <c r="Q175" s="93">
        <f t="shared" si="82"/>
        <v>5190000</v>
      </c>
      <c r="R175" s="93">
        <f>114392.1+596796.08+59803.23+222264.92+141670.54+37166.05+213417.56+82673.18</f>
        <v>1468183.66</v>
      </c>
      <c r="S175" s="729">
        <f t="shared" si="83"/>
        <v>3721816.34</v>
      </c>
    </row>
    <row r="176" spans="1:19">
      <c r="A176" s="91"/>
      <c r="B176" s="1376">
        <v>15</v>
      </c>
      <c r="C176" s="90" t="s">
        <v>5927</v>
      </c>
      <c r="D176" s="786">
        <v>0</v>
      </c>
      <c r="E176" s="786">
        <v>1500000</v>
      </c>
      <c r="F176" s="786">
        <v>1400000</v>
      </c>
      <c r="G176" s="786">
        <v>600000</v>
      </c>
      <c r="H176" s="786">
        <v>500000</v>
      </c>
      <c r="I176" s="786">
        <v>600000</v>
      </c>
      <c r="J176" s="786">
        <v>700000</v>
      </c>
      <c r="K176" s="786">
        <v>0</v>
      </c>
      <c r="L176" s="786">
        <v>0</v>
      </c>
      <c r="M176" s="786">
        <v>0</v>
      </c>
      <c r="N176" s="786">
        <v>0</v>
      </c>
      <c r="O176" s="786">
        <v>0</v>
      </c>
      <c r="P176" s="780">
        <f t="shared" si="81"/>
        <v>5300000</v>
      </c>
      <c r="Q176" s="93">
        <f t="shared" si="82"/>
        <v>3500000</v>
      </c>
      <c r="R176" s="93">
        <v>1260193.6299999999</v>
      </c>
      <c r="S176" s="729">
        <f t="shared" si="83"/>
        <v>2239806.37</v>
      </c>
    </row>
    <row r="177" spans="1:19">
      <c r="A177" s="91"/>
      <c r="B177" s="1376"/>
      <c r="C177" s="112" t="s">
        <v>447</v>
      </c>
      <c r="D177" s="131">
        <f>SUM(D178:D180)</f>
        <v>650000</v>
      </c>
      <c r="E177" s="131">
        <f t="shared" ref="E177:S177" si="84">SUM(E178:E180)</f>
        <v>800000</v>
      </c>
      <c r="F177" s="131">
        <f t="shared" si="84"/>
        <v>1400000</v>
      </c>
      <c r="G177" s="131">
        <f t="shared" si="84"/>
        <v>1700000</v>
      </c>
      <c r="H177" s="131">
        <f t="shared" si="84"/>
        <v>100000</v>
      </c>
      <c r="I177" s="131">
        <f t="shared" si="84"/>
        <v>0</v>
      </c>
      <c r="J177" s="131">
        <f t="shared" si="84"/>
        <v>50000</v>
      </c>
      <c r="K177" s="131">
        <f t="shared" si="84"/>
        <v>0</v>
      </c>
      <c r="L177" s="131">
        <f t="shared" si="84"/>
        <v>0</v>
      </c>
      <c r="M177" s="131">
        <f t="shared" si="84"/>
        <v>0</v>
      </c>
      <c r="N177" s="131">
        <f t="shared" si="84"/>
        <v>0</v>
      </c>
      <c r="O177" s="131">
        <f t="shared" si="84"/>
        <v>0</v>
      </c>
      <c r="P177" s="131">
        <f t="shared" si="84"/>
        <v>4700000</v>
      </c>
      <c r="Q177" s="131">
        <f t="shared" si="84"/>
        <v>4550000</v>
      </c>
      <c r="R177" s="131">
        <f t="shared" si="84"/>
        <v>283232.43</v>
      </c>
      <c r="S177" s="131">
        <f t="shared" si="84"/>
        <v>4266767.57</v>
      </c>
    </row>
    <row r="178" spans="1:19">
      <c r="A178" s="91"/>
      <c r="B178" s="1376">
        <v>16</v>
      </c>
      <c r="C178" s="778" t="s">
        <v>4057</v>
      </c>
      <c r="D178" s="786">
        <v>300000</v>
      </c>
      <c r="E178" s="786">
        <v>350000</v>
      </c>
      <c r="F178" s="786">
        <v>200000</v>
      </c>
      <c r="G178" s="786">
        <v>100000</v>
      </c>
      <c r="H178" s="786">
        <v>100000</v>
      </c>
      <c r="I178" s="786">
        <v>0</v>
      </c>
      <c r="J178" s="786">
        <v>50000</v>
      </c>
      <c r="K178" s="786">
        <v>0</v>
      </c>
      <c r="L178" s="786">
        <v>0</v>
      </c>
      <c r="M178" s="786">
        <v>0</v>
      </c>
      <c r="N178" s="786">
        <v>0</v>
      </c>
      <c r="O178" s="786">
        <v>0</v>
      </c>
      <c r="P178" s="780">
        <f t="shared" ref="P178:P180" si="85">SUM(D178:O178)</f>
        <v>1100000</v>
      </c>
      <c r="Q178" s="93">
        <f t="shared" ref="Q178:Q180" si="86">SUM(D178:G178)</f>
        <v>950000</v>
      </c>
      <c r="R178" s="93"/>
      <c r="S178" s="729">
        <f t="shared" ref="S178:S180" si="87">+Q178-R178</f>
        <v>950000</v>
      </c>
    </row>
    <row r="179" spans="1:19">
      <c r="A179" s="91"/>
      <c r="B179" s="1376">
        <v>17</v>
      </c>
      <c r="C179" s="778" t="s">
        <v>4061</v>
      </c>
      <c r="D179" s="786">
        <v>350000</v>
      </c>
      <c r="E179" s="786">
        <v>450000</v>
      </c>
      <c r="F179" s="786">
        <v>0</v>
      </c>
      <c r="G179" s="786">
        <v>0</v>
      </c>
      <c r="H179" s="786">
        <v>0</v>
      </c>
      <c r="I179" s="786">
        <v>0</v>
      </c>
      <c r="J179" s="786">
        <v>0</v>
      </c>
      <c r="K179" s="786">
        <v>0</v>
      </c>
      <c r="L179" s="786">
        <v>0</v>
      </c>
      <c r="M179" s="786">
        <v>0</v>
      </c>
      <c r="N179" s="786">
        <v>0</v>
      </c>
      <c r="O179" s="786">
        <v>0</v>
      </c>
      <c r="P179" s="780">
        <f t="shared" si="85"/>
        <v>800000</v>
      </c>
      <c r="Q179" s="93">
        <f t="shared" si="86"/>
        <v>800000</v>
      </c>
      <c r="R179" s="779">
        <v>283232.43</v>
      </c>
      <c r="S179" s="729">
        <f t="shared" si="87"/>
        <v>516767.57</v>
      </c>
    </row>
    <row r="180" spans="1:19">
      <c r="A180" s="91"/>
      <c r="B180" s="1376">
        <v>18</v>
      </c>
      <c r="C180" s="90" t="s">
        <v>5928</v>
      </c>
      <c r="D180" s="786">
        <v>0</v>
      </c>
      <c r="E180" s="786">
        <v>0</v>
      </c>
      <c r="F180" s="786">
        <v>1200000</v>
      </c>
      <c r="G180" s="786">
        <v>1600000</v>
      </c>
      <c r="H180" s="786">
        <v>0</v>
      </c>
      <c r="I180" s="786">
        <v>0</v>
      </c>
      <c r="J180" s="786">
        <v>0</v>
      </c>
      <c r="K180" s="786">
        <v>0</v>
      </c>
      <c r="L180" s="786">
        <v>0</v>
      </c>
      <c r="M180" s="786">
        <v>0</v>
      </c>
      <c r="N180" s="786">
        <v>0</v>
      </c>
      <c r="O180" s="786">
        <v>0</v>
      </c>
      <c r="P180" s="780">
        <f t="shared" si="85"/>
        <v>2800000</v>
      </c>
      <c r="Q180" s="93">
        <f t="shared" si="86"/>
        <v>2800000</v>
      </c>
      <c r="R180" s="93"/>
      <c r="S180" s="729">
        <f t="shared" si="87"/>
        <v>2800000</v>
      </c>
    </row>
    <row r="181" spans="1:19">
      <c r="A181" s="91"/>
      <c r="B181" s="1376"/>
      <c r="C181" s="112" t="s">
        <v>100</v>
      </c>
      <c r="D181" s="131">
        <f>SUM(D182:D183)</f>
        <v>650000</v>
      </c>
      <c r="E181" s="131">
        <f t="shared" ref="E181:S181" si="88">SUM(E182:E183)</f>
        <v>750000</v>
      </c>
      <c r="F181" s="131">
        <f t="shared" si="88"/>
        <v>200000</v>
      </c>
      <c r="G181" s="131">
        <f t="shared" si="88"/>
        <v>100000</v>
      </c>
      <c r="H181" s="131">
        <f t="shared" si="88"/>
        <v>100000</v>
      </c>
      <c r="I181" s="131">
        <f t="shared" si="88"/>
        <v>0</v>
      </c>
      <c r="J181" s="131">
        <f t="shared" si="88"/>
        <v>50000</v>
      </c>
      <c r="K181" s="131">
        <f t="shared" si="88"/>
        <v>0</v>
      </c>
      <c r="L181" s="131">
        <f t="shared" si="88"/>
        <v>0</v>
      </c>
      <c r="M181" s="131">
        <f t="shared" si="88"/>
        <v>0</v>
      </c>
      <c r="N181" s="131">
        <f t="shared" si="88"/>
        <v>0</v>
      </c>
      <c r="O181" s="131">
        <f t="shared" si="88"/>
        <v>0</v>
      </c>
      <c r="P181" s="131">
        <f t="shared" si="88"/>
        <v>1850000</v>
      </c>
      <c r="Q181" s="131">
        <f t="shared" si="88"/>
        <v>1700000</v>
      </c>
      <c r="R181" s="131">
        <f t="shared" si="88"/>
        <v>0</v>
      </c>
      <c r="S181" s="131">
        <f t="shared" si="88"/>
        <v>1700000</v>
      </c>
    </row>
    <row r="182" spans="1:19">
      <c r="A182" s="91"/>
      <c r="B182" s="1376">
        <v>19</v>
      </c>
      <c r="C182" s="778" t="s">
        <v>4061</v>
      </c>
      <c r="D182" s="786">
        <v>350000</v>
      </c>
      <c r="E182" s="786">
        <v>400000</v>
      </c>
      <c r="F182" s="786">
        <v>0</v>
      </c>
      <c r="G182" s="786">
        <v>0</v>
      </c>
      <c r="H182" s="786">
        <v>0</v>
      </c>
      <c r="I182" s="786">
        <v>0</v>
      </c>
      <c r="J182" s="786">
        <v>0</v>
      </c>
      <c r="K182" s="786">
        <v>0</v>
      </c>
      <c r="L182" s="786">
        <v>0</v>
      </c>
      <c r="M182" s="786">
        <v>0</v>
      </c>
      <c r="N182" s="786">
        <v>0</v>
      </c>
      <c r="O182" s="786">
        <v>0</v>
      </c>
      <c r="P182" s="780">
        <f t="shared" ref="P182:P183" si="89">SUM(D182:O182)</f>
        <v>750000</v>
      </c>
      <c r="Q182" s="93">
        <f t="shared" ref="Q182:Q183" si="90">SUM(D182:G182)</f>
        <v>750000</v>
      </c>
      <c r="R182" s="93"/>
      <c r="S182" s="729">
        <f t="shared" ref="S182:S183" si="91">+Q182-R182</f>
        <v>750000</v>
      </c>
    </row>
    <row r="183" spans="1:19">
      <c r="A183" s="91"/>
      <c r="B183" s="1376">
        <v>20</v>
      </c>
      <c r="C183" s="778" t="s">
        <v>4062</v>
      </c>
      <c r="D183" s="786">
        <v>300000</v>
      </c>
      <c r="E183" s="786">
        <v>350000</v>
      </c>
      <c r="F183" s="786">
        <v>200000</v>
      </c>
      <c r="G183" s="786">
        <v>100000</v>
      </c>
      <c r="H183" s="786">
        <v>100000</v>
      </c>
      <c r="I183" s="786">
        <v>0</v>
      </c>
      <c r="J183" s="786">
        <v>50000</v>
      </c>
      <c r="K183" s="786">
        <v>0</v>
      </c>
      <c r="L183" s="786">
        <v>0</v>
      </c>
      <c r="M183" s="786">
        <v>0</v>
      </c>
      <c r="N183" s="786">
        <v>0</v>
      </c>
      <c r="O183" s="786">
        <v>0</v>
      </c>
      <c r="P183" s="780">
        <f t="shared" si="89"/>
        <v>1100000</v>
      </c>
      <c r="Q183" s="93">
        <f t="shared" si="90"/>
        <v>950000</v>
      </c>
      <c r="R183" s="93"/>
      <c r="S183" s="729">
        <f t="shared" si="91"/>
        <v>950000</v>
      </c>
    </row>
    <row r="184" spans="1:19">
      <c r="A184" s="91"/>
      <c r="B184" s="1376"/>
      <c r="C184" s="112" t="s">
        <v>4063</v>
      </c>
      <c r="D184" s="131">
        <f>SUM(D185)</f>
        <v>300000</v>
      </c>
      <c r="E184" s="131">
        <f t="shared" ref="E184:S184" si="92">SUM(E185)</f>
        <v>350000</v>
      </c>
      <c r="F184" s="131">
        <f t="shared" si="92"/>
        <v>200000</v>
      </c>
      <c r="G184" s="131">
        <f t="shared" si="92"/>
        <v>100000</v>
      </c>
      <c r="H184" s="131">
        <f t="shared" si="92"/>
        <v>100000</v>
      </c>
      <c r="I184" s="131">
        <f t="shared" si="92"/>
        <v>0</v>
      </c>
      <c r="J184" s="131">
        <f t="shared" si="92"/>
        <v>50000</v>
      </c>
      <c r="K184" s="131">
        <f t="shared" si="92"/>
        <v>0</v>
      </c>
      <c r="L184" s="131">
        <f t="shared" si="92"/>
        <v>0</v>
      </c>
      <c r="M184" s="131">
        <f t="shared" si="92"/>
        <v>0</v>
      </c>
      <c r="N184" s="131">
        <f t="shared" si="92"/>
        <v>0</v>
      </c>
      <c r="O184" s="131">
        <f t="shared" si="92"/>
        <v>0</v>
      </c>
      <c r="P184" s="131">
        <f t="shared" si="92"/>
        <v>1100000</v>
      </c>
      <c r="Q184" s="131">
        <f t="shared" si="92"/>
        <v>950000</v>
      </c>
      <c r="R184" s="131">
        <f t="shared" si="92"/>
        <v>0</v>
      </c>
      <c r="S184" s="131">
        <f t="shared" si="92"/>
        <v>950000</v>
      </c>
    </row>
    <row r="185" spans="1:19">
      <c r="A185" s="91"/>
      <c r="B185" s="1376">
        <v>21</v>
      </c>
      <c r="C185" s="778" t="s">
        <v>4057</v>
      </c>
      <c r="D185" s="786">
        <v>300000</v>
      </c>
      <c r="E185" s="786">
        <v>350000</v>
      </c>
      <c r="F185" s="786">
        <v>200000</v>
      </c>
      <c r="G185" s="786">
        <v>100000</v>
      </c>
      <c r="H185" s="786">
        <v>100000</v>
      </c>
      <c r="I185" s="786">
        <v>0</v>
      </c>
      <c r="J185" s="786">
        <v>50000</v>
      </c>
      <c r="K185" s="786">
        <v>0</v>
      </c>
      <c r="L185" s="786">
        <v>0</v>
      </c>
      <c r="M185" s="786">
        <v>0</v>
      </c>
      <c r="N185" s="786">
        <v>0</v>
      </c>
      <c r="O185" s="786">
        <v>0</v>
      </c>
      <c r="P185" s="780">
        <f>SUM(D185:O185)</f>
        <v>1100000</v>
      </c>
      <c r="Q185" s="93">
        <f>SUM(D185:G185)</f>
        <v>950000</v>
      </c>
      <c r="R185" s="93"/>
      <c r="S185" s="729">
        <f>+Q185-R185</f>
        <v>950000</v>
      </c>
    </row>
    <row r="186" spans="1:19">
      <c r="A186" s="91"/>
      <c r="B186" s="1376"/>
      <c r="C186" s="112" t="s">
        <v>4064</v>
      </c>
      <c r="D186" s="131">
        <f>SUM(D187)</f>
        <v>300000</v>
      </c>
      <c r="E186" s="131">
        <f t="shared" ref="E186" si="93">SUM(E187)</f>
        <v>350000</v>
      </c>
      <c r="F186" s="131">
        <f t="shared" ref="F186" si="94">SUM(F187)</f>
        <v>200000</v>
      </c>
      <c r="G186" s="131">
        <f t="shared" ref="G186" si="95">SUM(G187)</f>
        <v>100000</v>
      </c>
      <c r="H186" s="131">
        <f t="shared" ref="H186" si="96">SUM(H187)</f>
        <v>100000</v>
      </c>
      <c r="I186" s="131">
        <f t="shared" ref="I186" si="97">SUM(I187)</f>
        <v>0</v>
      </c>
      <c r="J186" s="131">
        <f t="shared" ref="J186" si="98">SUM(J187)</f>
        <v>50000</v>
      </c>
      <c r="K186" s="131">
        <f t="shared" ref="K186" si="99">SUM(K187)</f>
        <v>0</v>
      </c>
      <c r="L186" s="131">
        <f t="shared" ref="L186" si="100">SUM(L187)</f>
        <v>0</v>
      </c>
      <c r="M186" s="131">
        <f t="shared" ref="M186" si="101">SUM(M187)</f>
        <v>0</v>
      </c>
      <c r="N186" s="131">
        <f t="shared" ref="N186" si="102">SUM(N187)</f>
        <v>0</v>
      </c>
      <c r="O186" s="131">
        <f t="shared" ref="O186" si="103">SUM(O187)</f>
        <v>0</v>
      </c>
      <c r="P186" s="131">
        <f t="shared" ref="P186" si="104">SUM(P187)</f>
        <v>1100000</v>
      </c>
      <c r="Q186" s="131">
        <f t="shared" ref="Q186" si="105">SUM(Q187)</f>
        <v>950000</v>
      </c>
      <c r="R186" s="131">
        <f t="shared" ref="R186" si="106">SUM(R187)</f>
        <v>0</v>
      </c>
      <c r="S186" s="131">
        <f t="shared" ref="S186" si="107">SUM(S187)</f>
        <v>950000</v>
      </c>
    </row>
    <row r="187" spans="1:19">
      <c r="A187" s="91"/>
      <c r="B187" s="1376">
        <v>22</v>
      </c>
      <c r="C187" s="778" t="s">
        <v>4057</v>
      </c>
      <c r="D187" s="786">
        <v>300000</v>
      </c>
      <c r="E187" s="786">
        <v>350000</v>
      </c>
      <c r="F187" s="786">
        <v>200000</v>
      </c>
      <c r="G187" s="786">
        <v>100000</v>
      </c>
      <c r="H187" s="786">
        <v>100000</v>
      </c>
      <c r="I187" s="786">
        <v>0</v>
      </c>
      <c r="J187" s="786">
        <v>50000</v>
      </c>
      <c r="K187" s="786">
        <v>0</v>
      </c>
      <c r="L187" s="786">
        <v>0</v>
      </c>
      <c r="M187" s="786">
        <v>0</v>
      </c>
      <c r="N187" s="786">
        <v>0</v>
      </c>
      <c r="O187" s="786">
        <v>0</v>
      </c>
      <c r="P187" s="780">
        <f>SUM(D187:O187)</f>
        <v>1100000</v>
      </c>
      <c r="Q187" s="93">
        <f>SUM(D187:G187)</f>
        <v>950000</v>
      </c>
      <c r="R187" s="93"/>
      <c r="S187" s="729">
        <f>+Q187-R187</f>
        <v>950000</v>
      </c>
    </row>
    <row r="188" spans="1:19">
      <c r="A188" s="91"/>
      <c r="B188" s="1376"/>
      <c r="C188" s="112" t="s">
        <v>4065</v>
      </c>
      <c r="D188" s="131">
        <f>SUM(D189)</f>
        <v>300000</v>
      </c>
      <c r="E188" s="131">
        <f t="shared" ref="E188" si="108">SUM(E189)</f>
        <v>350000</v>
      </c>
      <c r="F188" s="131">
        <f t="shared" ref="F188" si="109">SUM(F189)</f>
        <v>200000</v>
      </c>
      <c r="G188" s="131">
        <f t="shared" ref="G188" si="110">SUM(G189)</f>
        <v>100000</v>
      </c>
      <c r="H188" s="131">
        <f t="shared" ref="H188" si="111">SUM(H189)</f>
        <v>100000</v>
      </c>
      <c r="I188" s="131">
        <f t="shared" ref="I188" si="112">SUM(I189)</f>
        <v>0</v>
      </c>
      <c r="J188" s="131">
        <f t="shared" ref="J188" si="113">SUM(J189)</f>
        <v>50000</v>
      </c>
      <c r="K188" s="131">
        <f t="shared" ref="K188" si="114">SUM(K189)</f>
        <v>0</v>
      </c>
      <c r="L188" s="131">
        <f t="shared" ref="L188" si="115">SUM(L189)</f>
        <v>0</v>
      </c>
      <c r="M188" s="131">
        <f t="shared" ref="M188" si="116">SUM(M189)</f>
        <v>0</v>
      </c>
      <c r="N188" s="131">
        <f t="shared" ref="N188" si="117">SUM(N189)</f>
        <v>0</v>
      </c>
      <c r="O188" s="131">
        <f t="shared" ref="O188" si="118">SUM(O189)</f>
        <v>0</v>
      </c>
      <c r="P188" s="131">
        <f t="shared" ref="P188" si="119">SUM(P189)</f>
        <v>1100000</v>
      </c>
      <c r="Q188" s="131">
        <f t="shared" ref="Q188" si="120">SUM(Q189)</f>
        <v>950000</v>
      </c>
      <c r="R188" s="131">
        <f t="shared" ref="R188" si="121">SUM(R189)</f>
        <v>0</v>
      </c>
      <c r="S188" s="131">
        <f t="shared" ref="S188" si="122">SUM(S189)</f>
        <v>950000</v>
      </c>
    </row>
    <row r="189" spans="1:19">
      <c r="A189" s="91"/>
      <c r="B189" s="1376">
        <v>23</v>
      </c>
      <c r="C189" s="778" t="s">
        <v>4057</v>
      </c>
      <c r="D189" s="786">
        <v>300000</v>
      </c>
      <c r="E189" s="786">
        <v>350000</v>
      </c>
      <c r="F189" s="786">
        <v>200000</v>
      </c>
      <c r="G189" s="786">
        <v>100000</v>
      </c>
      <c r="H189" s="786">
        <v>100000</v>
      </c>
      <c r="I189" s="786">
        <v>0</v>
      </c>
      <c r="J189" s="786">
        <v>50000</v>
      </c>
      <c r="K189" s="786">
        <v>0</v>
      </c>
      <c r="L189" s="786">
        <v>0</v>
      </c>
      <c r="M189" s="786">
        <v>0</v>
      </c>
      <c r="N189" s="786">
        <v>0</v>
      </c>
      <c r="O189" s="786">
        <v>0</v>
      </c>
      <c r="P189" s="780">
        <f>SUM(D189:O189)</f>
        <v>1100000</v>
      </c>
      <c r="Q189" s="93">
        <f>SUM(D189:G189)</f>
        <v>950000</v>
      </c>
      <c r="R189" s="93"/>
      <c r="S189" s="729">
        <f>+Q189-R189</f>
        <v>950000</v>
      </c>
    </row>
    <row r="190" spans="1:19">
      <c r="A190" s="1371"/>
      <c r="B190" s="1371"/>
      <c r="C190" s="90"/>
      <c r="D190" s="1364"/>
      <c r="E190" s="1364"/>
      <c r="F190" s="1364"/>
      <c r="G190" s="1364"/>
      <c r="H190" s="1364"/>
      <c r="I190" s="1364"/>
      <c r="J190" s="1364"/>
      <c r="K190" s="1364"/>
      <c r="L190" s="1364"/>
      <c r="M190" s="1364"/>
      <c r="N190" s="1364"/>
      <c r="O190" s="1364"/>
      <c r="P190" s="1364"/>
      <c r="Q190" s="93"/>
      <c r="R190" s="93"/>
      <c r="S190" s="559"/>
    </row>
    <row r="191" spans="1:19">
      <c r="A191" s="1372"/>
      <c r="B191" s="1372"/>
      <c r="C191" s="112" t="s">
        <v>3271</v>
      </c>
      <c r="D191" s="131">
        <f t="shared" ref="D191:S191" si="123">+D188+D186+D184+D181+D177+D171+D165+D160+D152+D147</f>
        <v>31581500</v>
      </c>
      <c r="E191" s="131">
        <f t="shared" si="123"/>
        <v>38912500</v>
      </c>
      <c r="F191" s="131">
        <f t="shared" si="123"/>
        <v>8567000</v>
      </c>
      <c r="G191" s="131">
        <f t="shared" si="123"/>
        <v>5250000</v>
      </c>
      <c r="H191" s="131">
        <f t="shared" si="123"/>
        <v>3760000</v>
      </c>
      <c r="I191" s="131">
        <f t="shared" si="123"/>
        <v>3800000</v>
      </c>
      <c r="J191" s="131">
        <f t="shared" si="123"/>
        <v>1950000</v>
      </c>
      <c r="K191" s="131">
        <f t="shared" si="123"/>
        <v>550000</v>
      </c>
      <c r="L191" s="131">
        <f t="shared" si="123"/>
        <v>0</v>
      </c>
      <c r="M191" s="131">
        <f t="shared" si="123"/>
        <v>0</v>
      </c>
      <c r="N191" s="131">
        <f t="shared" si="123"/>
        <v>0</v>
      </c>
      <c r="O191" s="131">
        <f t="shared" si="123"/>
        <v>0</v>
      </c>
      <c r="P191" s="131">
        <f t="shared" si="123"/>
        <v>94371000</v>
      </c>
      <c r="Q191" s="131">
        <f t="shared" si="123"/>
        <v>84311000</v>
      </c>
      <c r="R191" s="131">
        <f t="shared" si="123"/>
        <v>32657411.129999992</v>
      </c>
      <c r="S191" s="131">
        <f t="shared" si="123"/>
        <v>51653588.870000005</v>
      </c>
    </row>
    <row r="193" spans="3:19">
      <c r="C193" s="782"/>
    </row>
    <row r="195" spans="3:19">
      <c r="S195" s="124"/>
    </row>
    <row r="200" spans="3:19">
      <c r="P200" s="128" t="s">
        <v>1001</v>
      </c>
    </row>
    <row r="201" spans="3:19">
      <c r="C201" s="73" t="s">
        <v>5955</v>
      </c>
      <c r="P201" s="124">
        <f>(+P73+P99+P127)/12</f>
        <v>523333.33333333331</v>
      </c>
    </row>
    <row r="202" spans="3:19">
      <c r="C202" s="73" t="s">
        <v>5956</v>
      </c>
      <c r="P202" s="124">
        <f>(+P131-P72-P73-P76-P86-P88-P98-P99-P101-P116-P118-P127)/12</f>
        <v>1775806.7757333342</v>
      </c>
    </row>
  </sheetData>
  <mergeCells count="5">
    <mergeCell ref="A2:S2"/>
    <mergeCell ref="A3:S3"/>
    <mergeCell ref="A4:S4"/>
    <mergeCell ref="A8:S8"/>
    <mergeCell ref="A64:S64"/>
  </mergeCells>
  <pageMargins left="0.55118110236220474" right="0.31496062992125984" top="0.70866141732283472" bottom="0.59055118110236227" header="0.11811023622047245" footer="0.11811023622047245"/>
  <pageSetup scale="72" fitToHeight="3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555373-5819-43A8-B373-9818B4B90034}">
  <dimension ref="B1:S97"/>
  <sheetViews>
    <sheetView workbookViewId="0">
      <selection activeCell="G10" sqref="G10"/>
    </sheetView>
  </sheetViews>
  <sheetFormatPr baseColWidth="10" defaultColWidth="11.42578125" defaultRowHeight="12"/>
  <cols>
    <col min="1" max="1" width="3.5703125" style="1" customWidth="1"/>
    <col min="2" max="2" width="38" style="1" customWidth="1"/>
    <col min="3" max="8" width="14.7109375" style="1" customWidth="1"/>
    <col min="9" max="9" width="3.7109375" style="1" customWidth="1"/>
    <col min="10" max="16384" width="11.42578125" style="1"/>
  </cols>
  <sheetData>
    <row r="1" spans="2:9" ht="11.25" customHeight="1" thickBot="1">
      <c r="I1" s="1289" t="s">
        <v>5318</v>
      </c>
    </row>
    <row r="2" spans="2:9">
      <c r="B2" s="1839" t="s">
        <v>2992</v>
      </c>
      <c r="C2" s="1840"/>
      <c r="D2" s="1840"/>
      <c r="E2" s="1840"/>
      <c r="F2" s="1840"/>
      <c r="G2" s="1840"/>
      <c r="H2" s="1841"/>
    </row>
    <row r="3" spans="2:9">
      <c r="B3" s="1842" t="s">
        <v>5240</v>
      </c>
      <c r="C3" s="1843"/>
      <c r="D3" s="1843"/>
      <c r="E3" s="1843"/>
      <c r="F3" s="1843"/>
      <c r="G3" s="1843"/>
      <c r="H3" s="1844"/>
    </row>
    <row r="4" spans="2:9">
      <c r="B4" s="1842" t="s">
        <v>819</v>
      </c>
      <c r="C4" s="1843"/>
      <c r="D4" s="1843"/>
      <c r="E4" s="1843"/>
      <c r="F4" s="1843"/>
      <c r="G4" s="1843"/>
      <c r="H4" s="1844"/>
    </row>
    <row r="5" spans="2:9">
      <c r="B5" s="1845"/>
      <c r="C5" s="1846"/>
      <c r="D5" s="1846"/>
      <c r="E5" s="1846"/>
      <c r="F5" s="1846"/>
      <c r="G5" s="1846"/>
      <c r="H5" s="1847"/>
    </row>
    <row r="6" spans="2:9" ht="12.75" thickBot="1">
      <c r="B6" s="1848" t="s">
        <v>5022</v>
      </c>
      <c r="C6" s="1849"/>
      <c r="D6" s="1849"/>
      <c r="E6" s="1849"/>
      <c r="F6" s="1849"/>
      <c r="G6" s="1849"/>
      <c r="H6" s="1850"/>
    </row>
    <row r="7" spans="2:9" ht="12.75" thickBot="1">
      <c r="B7" s="1834" t="s">
        <v>5023</v>
      </c>
      <c r="C7" s="1836" t="s">
        <v>75</v>
      </c>
      <c r="D7" s="1837"/>
      <c r="E7" s="1837"/>
      <c r="F7" s="1837"/>
      <c r="G7" s="1838"/>
      <c r="H7" s="1834" t="s">
        <v>5241</v>
      </c>
    </row>
    <row r="8" spans="2:9" ht="24.75" thickBot="1">
      <c r="B8" s="1835"/>
      <c r="C8" s="1327" t="s">
        <v>5137</v>
      </c>
      <c r="D8" s="1327" t="s">
        <v>822</v>
      </c>
      <c r="E8" s="1327" t="s">
        <v>797</v>
      </c>
      <c r="F8" s="1327" t="s">
        <v>236</v>
      </c>
      <c r="G8" s="1327" t="s">
        <v>823</v>
      </c>
      <c r="H8" s="1835"/>
    </row>
    <row r="9" spans="2:9" ht="24.75" customHeight="1">
      <c r="B9" s="1328" t="s">
        <v>5319</v>
      </c>
      <c r="C9" s="1329">
        <f>SUM(C10:C17)</f>
        <v>138260283.41649699</v>
      </c>
      <c r="D9" s="1329">
        <f>SUM(D10:D17)</f>
        <v>0</v>
      </c>
      <c r="E9" s="1330">
        <f>SUM(C9:D9)</f>
        <v>138260283.41649699</v>
      </c>
      <c r="F9" s="1329">
        <f t="shared" ref="F9:G9" si="0">SUM(F10:F17)</f>
        <v>15020502.310000001</v>
      </c>
      <c r="G9" s="1329">
        <f t="shared" si="0"/>
        <v>15020502.310000001</v>
      </c>
      <c r="H9" s="1330">
        <f>SUM(E9-F9)</f>
        <v>123239781.10649699</v>
      </c>
    </row>
    <row r="10" spans="2:9" ht="24">
      <c r="B10" s="1331" t="s">
        <v>3125</v>
      </c>
      <c r="C10" s="834">
        <f>+CAdmon!D12</f>
        <v>138260283.41649699</v>
      </c>
      <c r="D10" s="834">
        <f>+CAdmon!E12</f>
        <v>0</v>
      </c>
      <c r="E10" s="866">
        <f>SUM(C10:D10)</f>
        <v>138260283.41649699</v>
      </c>
      <c r="F10" s="834">
        <f>+CAdmon!G12</f>
        <v>15020502.310000001</v>
      </c>
      <c r="G10" s="834">
        <f>+CAdmon!H12</f>
        <v>15020502.310000001</v>
      </c>
      <c r="H10" s="866">
        <f>SUM(E10-F10)</f>
        <v>123239781.10649699</v>
      </c>
    </row>
    <row r="11" spans="2:9">
      <c r="B11" s="1331"/>
      <c r="C11" s="834">
        <v>0</v>
      </c>
      <c r="D11" s="834">
        <v>0</v>
      </c>
      <c r="E11" s="866">
        <f t="shared" ref="E11:E17" si="1">SUM(C11:D11)</f>
        <v>0</v>
      </c>
      <c r="F11" s="834">
        <v>0</v>
      </c>
      <c r="G11" s="834">
        <v>0</v>
      </c>
      <c r="H11" s="866">
        <f t="shared" ref="H11:H17" si="2">SUM(E11-F11)</f>
        <v>0</v>
      </c>
    </row>
    <row r="12" spans="2:9">
      <c r="B12" s="1331"/>
      <c r="C12" s="834">
        <v>0</v>
      </c>
      <c r="D12" s="834">
        <v>0</v>
      </c>
      <c r="E12" s="866">
        <f t="shared" si="1"/>
        <v>0</v>
      </c>
      <c r="F12" s="834">
        <v>0</v>
      </c>
      <c r="G12" s="834">
        <v>0</v>
      </c>
      <c r="H12" s="866">
        <f t="shared" si="2"/>
        <v>0</v>
      </c>
    </row>
    <row r="13" spans="2:9">
      <c r="B13" s="1331"/>
      <c r="C13" s="834">
        <v>0</v>
      </c>
      <c r="D13" s="834">
        <v>0</v>
      </c>
      <c r="E13" s="866">
        <f t="shared" si="1"/>
        <v>0</v>
      </c>
      <c r="F13" s="834">
        <v>0</v>
      </c>
      <c r="G13" s="834">
        <v>0</v>
      </c>
      <c r="H13" s="866">
        <f t="shared" si="2"/>
        <v>0</v>
      </c>
    </row>
    <row r="14" spans="2:9">
      <c r="B14" s="1331"/>
      <c r="C14" s="834">
        <v>0</v>
      </c>
      <c r="D14" s="834">
        <v>0</v>
      </c>
      <c r="E14" s="866">
        <f t="shared" si="1"/>
        <v>0</v>
      </c>
      <c r="F14" s="834">
        <v>0</v>
      </c>
      <c r="G14" s="834">
        <v>0</v>
      </c>
      <c r="H14" s="866">
        <f t="shared" si="2"/>
        <v>0</v>
      </c>
    </row>
    <row r="15" spans="2:9">
      <c r="B15" s="1331"/>
      <c r="C15" s="834">
        <v>0</v>
      </c>
      <c r="D15" s="834">
        <v>0</v>
      </c>
      <c r="E15" s="866">
        <f t="shared" si="1"/>
        <v>0</v>
      </c>
      <c r="F15" s="834">
        <v>0</v>
      </c>
      <c r="G15" s="834">
        <v>0</v>
      </c>
      <c r="H15" s="866">
        <f t="shared" si="2"/>
        <v>0</v>
      </c>
    </row>
    <row r="16" spans="2:9">
      <c r="B16" s="1331"/>
      <c r="C16" s="834">
        <v>0</v>
      </c>
      <c r="D16" s="834">
        <v>0</v>
      </c>
      <c r="E16" s="866">
        <f t="shared" si="1"/>
        <v>0</v>
      </c>
      <c r="F16" s="834">
        <v>0</v>
      </c>
      <c r="G16" s="834">
        <v>0</v>
      </c>
      <c r="H16" s="866">
        <f t="shared" si="2"/>
        <v>0</v>
      </c>
    </row>
    <row r="17" spans="2:8">
      <c r="B17" s="1331"/>
      <c r="C17" s="834">
        <v>0</v>
      </c>
      <c r="D17" s="834">
        <v>0</v>
      </c>
      <c r="E17" s="866">
        <f t="shared" si="1"/>
        <v>0</v>
      </c>
      <c r="F17" s="834">
        <v>0</v>
      </c>
      <c r="G17" s="834">
        <v>0</v>
      </c>
      <c r="H17" s="866">
        <f t="shared" si="2"/>
        <v>0</v>
      </c>
    </row>
    <row r="18" spans="2:8" ht="12" customHeight="1">
      <c r="B18" s="1332"/>
      <c r="C18" s="869"/>
      <c r="D18" s="869"/>
      <c r="E18" s="865"/>
      <c r="F18" s="869"/>
      <c r="G18" s="869"/>
      <c r="H18" s="865"/>
    </row>
    <row r="19" spans="2:8" ht="25.5" customHeight="1">
      <c r="B19" s="1173" t="s">
        <v>5328</v>
      </c>
      <c r="C19" s="1333">
        <f>SUM(C20:C27)</f>
        <v>0</v>
      </c>
      <c r="D19" s="1333">
        <f t="shared" ref="D19:G19" si="3">SUM(D20:D27)</f>
        <v>0</v>
      </c>
      <c r="E19" s="1334">
        <f t="shared" ref="E19:E27" si="4">SUM(C19:D19)</f>
        <v>0</v>
      </c>
      <c r="F19" s="1333">
        <f t="shared" si="3"/>
        <v>0</v>
      </c>
      <c r="G19" s="1333">
        <f t="shared" si="3"/>
        <v>0</v>
      </c>
      <c r="H19" s="1334">
        <f t="shared" ref="H19:H27" si="5">SUM(E19-F19)</f>
        <v>0</v>
      </c>
    </row>
    <row r="20" spans="2:8">
      <c r="B20" s="1331" t="s">
        <v>5320</v>
      </c>
      <c r="C20" s="834">
        <v>0</v>
      </c>
      <c r="D20" s="834">
        <v>0</v>
      </c>
      <c r="E20" s="866">
        <f t="shared" si="4"/>
        <v>0</v>
      </c>
      <c r="F20" s="834">
        <v>0</v>
      </c>
      <c r="G20" s="834">
        <v>0</v>
      </c>
      <c r="H20" s="866">
        <f t="shared" si="5"/>
        <v>0</v>
      </c>
    </row>
    <row r="21" spans="2:8">
      <c r="B21" s="1331" t="s">
        <v>5321</v>
      </c>
      <c r="C21" s="834">
        <v>0</v>
      </c>
      <c r="D21" s="834">
        <v>0</v>
      </c>
      <c r="E21" s="866">
        <f t="shared" si="4"/>
        <v>0</v>
      </c>
      <c r="F21" s="834">
        <v>0</v>
      </c>
      <c r="G21" s="834">
        <v>0</v>
      </c>
      <c r="H21" s="866">
        <f t="shared" si="5"/>
        <v>0</v>
      </c>
    </row>
    <row r="22" spans="2:8">
      <c r="B22" s="1331" t="s">
        <v>5322</v>
      </c>
      <c r="C22" s="834">
        <v>0</v>
      </c>
      <c r="D22" s="834">
        <v>0</v>
      </c>
      <c r="E22" s="866">
        <f t="shared" si="4"/>
        <v>0</v>
      </c>
      <c r="F22" s="834">
        <v>0</v>
      </c>
      <c r="G22" s="834">
        <v>0</v>
      </c>
      <c r="H22" s="866">
        <f t="shared" si="5"/>
        <v>0</v>
      </c>
    </row>
    <row r="23" spans="2:8">
      <c r="B23" s="1331" t="s">
        <v>5323</v>
      </c>
      <c r="C23" s="834">
        <v>0</v>
      </c>
      <c r="D23" s="834">
        <v>0</v>
      </c>
      <c r="E23" s="866">
        <f t="shared" si="4"/>
        <v>0</v>
      </c>
      <c r="F23" s="834">
        <v>0</v>
      </c>
      <c r="G23" s="834">
        <v>0</v>
      </c>
      <c r="H23" s="866">
        <f t="shared" si="5"/>
        <v>0</v>
      </c>
    </row>
    <row r="24" spans="2:8">
      <c r="B24" s="1331" t="s">
        <v>5324</v>
      </c>
      <c r="C24" s="834">
        <v>0</v>
      </c>
      <c r="D24" s="834">
        <v>0</v>
      </c>
      <c r="E24" s="866">
        <f t="shared" si="4"/>
        <v>0</v>
      </c>
      <c r="F24" s="834">
        <v>0</v>
      </c>
      <c r="G24" s="834">
        <v>0</v>
      </c>
      <c r="H24" s="866">
        <f t="shared" si="5"/>
        <v>0</v>
      </c>
    </row>
    <row r="25" spans="2:8">
      <c r="B25" s="1331" t="s">
        <v>5325</v>
      </c>
      <c r="C25" s="834">
        <v>0</v>
      </c>
      <c r="D25" s="834">
        <v>0</v>
      </c>
      <c r="E25" s="866">
        <f t="shared" si="4"/>
        <v>0</v>
      </c>
      <c r="F25" s="834">
        <v>0</v>
      </c>
      <c r="G25" s="834">
        <v>0</v>
      </c>
      <c r="H25" s="866">
        <f t="shared" si="5"/>
        <v>0</v>
      </c>
    </row>
    <row r="26" spans="2:8">
      <c r="B26" s="1331" t="s">
        <v>5326</v>
      </c>
      <c r="C26" s="834">
        <v>0</v>
      </c>
      <c r="D26" s="834">
        <v>0</v>
      </c>
      <c r="E26" s="866">
        <f t="shared" si="4"/>
        <v>0</v>
      </c>
      <c r="F26" s="834">
        <v>0</v>
      </c>
      <c r="G26" s="834">
        <v>0</v>
      </c>
      <c r="H26" s="866">
        <f t="shared" si="5"/>
        <v>0</v>
      </c>
    </row>
    <row r="27" spans="2:8">
      <c r="B27" s="1331" t="s">
        <v>5327</v>
      </c>
      <c r="C27" s="834">
        <v>0</v>
      </c>
      <c r="D27" s="834">
        <v>0</v>
      </c>
      <c r="E27" s="866">
        <f t="shared" si="4"/>
        <v>0</v>
      </c>
      <c r="F27" s="834">
        <v>0</v>
      </c>
      <c r="G27" s="834">
        <v>0</v>
      </c>
      <c r="H27" s="866">
        <f t="shared" si="5"/>
        <v>0</v>
      </c>
    </row>
    <row r="28" spans="2:8" ht="12" customHeight="1">
      <c r="B28" s="1335"/>
      <c r="C28" s="869"/>
      <c r="D28" s="869"/>
      <c r="E28" s="865"/>
      <c r="F28" s="869"/>
      <c r="G28" s="869"/>
      <c r="H28" s="865"/>
    </row>
    <row r="29" spans="2:8">
      <c r="B29" s="1169" t="s">
        <v>5317</v>
      </c>
      <c r="C29" s="868">
        <f>SUM(C9,C19)</f>
        <v>138260283.41649699</v>
      </c>
      <c r="D29" s="868">
        <f t="shared" ref="D29:H29" si="6">SUM(D9,D19)</f>
        <v>0</v>
      </c>
      <c r="E29" s="868">
        <f t="shared" si="6"/>
        <v>138260283.41649699</v>
      </c>
      <c r="F29" s="868">
        <f t="shared" si="6"/>
        <v>15020502.310000001</v>
      </c>
      <c r="G29" s="868">
        <f t="shared" si="6"/>
        <v>15020502.310000001</v>
      </c>
      <c r="H29" s="868">
        <f t="shared" si="6"/>
        <v>123239781.10649699</v>
      </c>
    </row>
    <row r="30" spans="2:8" ht="12.75" thickBot="1">
      <c r="B30" s="1010"/>
      <c r="C30" s="1336"/>
      <c r="D30" s="1336"/>
      <c r="E30" s="1336"/>
      <c r="F30" s="1336"/>
      <c r="G30" s="1336"/>
      <c r="H30" s="1336"/>
    </row>
    <row r="31" spans="2:8" ht="11.25" customHeight="1"/>
    <row r="97" spans="19:19">
      <c r="S97" s="1" t="s">
        <v>5329</v>
      </c>
    </row>
  </sheetData>
  <mergeCells count="8">
    <mergeCell ref="B7:B8"/>
    <mergeCell ref="C7:G7"/>
    <mergeCell ref="H7:H8"/>
    <mergeCell ref="B2:H2"/>
    <mergeCell ref="B3:H3"/>
    <mergeCell ref="B4:H4"/>
    <mergeCell ref="B5:H5"/>
    <mergeCell ref="B6:H6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3">
    <pageSetUpPr fitToPage="1"/>
  </sheetPr>
  <dimension ref="A1:J21"/>
  <sheetViews>
    <sheetView workbookViewId="0">
      <selection activeCell="H12" sqref="H12"/>
    </sheetView>
  </sheetViews>
  <sheetFormatPr baseColWidth="10" defaultRowHeight="15"/>
  <cols>
    <col min="1" max="1" width="2.5703125" style="354" customWidth="1"/>
    <col min="2" max="2" width="2" style="346" customWidth="1"/>
    <col min="3" max="3" width="45.85546875" style="346" customWidth="1"/>
    <col min="4" max="9" width="12.7109375" style="346" customWidth="1"/>
    <col min="10" max="10" width="4" style="354" customWidth="1"/>
    <col min="11" max="16384" width="11.42578125" style="361"/>
  </cols>
  <sheetData>
    <row r="1" spans="2:9" s="354" customFormat="1">
      <c r="B1" s="317"/>
      <c r="C1" s="317"/>
      <c r="D1" s="317"/>
      <c r="E1" s="317"/>
      <c r="F1" s="317"/>
      <c r="G1" s="317"/>
      <c r="H1" s="317"/>
      <c r="I1" s="317"/>
    </row>
    <row r="2" spans="2:9">
      <c r="B2" s="1734"/>
      <c r="C2" s="1735"/>
      <c r="D2" s="1735"/>
      <c r="E2" s="1735"/>
      <c r="F2" s="1735"/>
      <c r="G2" s="1735"/>
      <c r="H2" s="1735"/>
      <c r="I2" s="1736"/>
    </row>
    <row r="3" spans="2:9">
      <c r="B3" s="1737" t="s">
        <v>2992</v>
      </c>
      <c r="C3" s="1738"/>
      <c r="D3" s="1738"/>
      <c r="E3" s="1738"/>
      <c r="F3" s="1738"/>
      <c r="G3" s="1738"/>
      <c r="H3" s="1738"/>
      <c r="I3" s="1739"/>
    </row>
    <row r="4" spans="2:9">
      <c r="B4" s="1737" t="s">
        <v>818</v>
      </c>
      <c r="C4" s="1738"/>
      <c r="D4" s="1738"/>
      <c r="E4" s="1738"/>
      <c r="F4" s="1738"/>
      <c r="G4" s="1738"/>
      <c r="H4" s="1738"/>
      <c r="I4" s="1739"/>
    </row>
    <row r="5" spans="2:9">
      <c r="B5" s="1737" t="s">
        <v>827</v>
      </c>
      <c r="C5" s="1738"/>
      <c r="D5" s="1738"/>
      <c r="E5" s="1738"/>
      <c r="F5" s="1738"/>
      <c r="G5" s="1738"/>
      <c r="H5" s="1738"/>
      <c r="I5" s="1739"/>
    </row>
    <row r="6" spans="2:9">
      <c r="B6" s="1740" t="str">
        <f>+EA!C3</f>
        <v>Del 1 de enero al 30 de abril de 2021</v>
      </c>
      <c r="C6" s="1741"/>
      <c r="D6" s="1741"/>
      <c r="E6" s="1741"/>
      <c r="F6" s="1741"/>
      <c r="G6" s="1741"/>
      <c r="H6" s="1741"/>
      <c r="I6" s="1742"/>
    </row>
    <row r="7" spans="2:9" s="354" customFormat="1">
      <c r="B7" s="317"/>
      <c r="C7" s="452"/>
      <c r="D7" s="317"/>
      <c r="E7" s="317"/>
      <c r="F7" s="317"/>
      <c r="G7" s="317"/>
      <c r="H7" s="317"/>
      <c r="I7" s="317"/>
    </row>
    <row r="8" spans="2:9">
      <c r="B8" s="1851" t="s">
        <v>230</v>
      </c>
      <c r="C8" s="1852"/>
      <c r="D8" s="1820" t="s">
        <v>828</v>
      </c>
      <c r="E8" s="1820"/>
      <c r="F8" s="1820"/>
      <c r="G8" s="1820"/>
      <c r="H8" s="1820"/>
      <c r="I8" s="1820" t="s">
        <v>820</v>
      </c>
    </row>
    <row r="9" spans="2:9" ht="22.5">
      <c r="B9" s="1853"/>
      <c r="C9" s="1854"/>
      <c r="D9" s="653" t="s">
        <v>821</v>
      </c>
      <c r="E9" s="653" t="s">
        <v>822</v>
      </c>
      <c r="F9" s="653" t="s">
        <v>797</v>
      </c>
      <c r="G9" s="653" t="s">
        <v>236</v>
      </c>
      <c r="H9" s="653" t="s">
        <v>823</v>
      </c>
      <c r="I9" s="1820"/>
    </row>
    <row r="10" spans="2:9">
      <c r="B10" s="1855"/>
      <c r="C10" s="1856"/>
      <c r="D10" s="653">
        <v>1</v>
      </c>
      <c r="E10" s="653">
        <v>2</v>
      </c>
      <c r="F10" s="653" t="s">
        <v>824</v>
      </c>
      <c r="G10" s="653">
        <v>4</v>
      </c>
      <c r="H10" s="653">
        <v>5</v>
      </c>
      <c r="I10" s="653" t="s">
        <v>825</v>
      </c>
    </row>
    <row r="11" spans="2:9">
      <c r="B11" s="370"/>
      <c r="C11" s="371"/>
      <c r="D11" s="372"/>
      <c r="E11" s="372"/>
      <c r="F11" s="372"/>
      <c r="G11" s="372"/>
      <c r="H11" s="372"/>
      <c r="I11" s="372"/>
    </row>
    <row r="12" spans="2:9">
      <c r="B12" s="355"/>
      <c r="C12" s="373" t="s">
        <v>829</v>
      </c>
      <c r="D12" s="374">
        <f>+COG!D32</f>
        <v>138260283.41649699</v>
      </c>
      <c r="E12" s="374">
        <f>+COG!E32</f>
        <v>0</v>
      </c>
      <c r="F12" s="374">
        <f>+D12+E12</f>
        <v>138260283.41649699</v>
      </c>
      <c r="G12" s="374">
        <f>+COG!G32</f>
        <v>15020502.310000001</v>
      </c>
      <c r="H12" s="374">
        <f>+COG!H32</f>
        <v>15020502.310000001</v>
      </c>
      <c r="I12" s="374">
        <f>+F12-G12</f>
        <v>123239781.10649699</v>
      </c>
    </row>
    <row r="13" spans="2:9">
      <c r="B13" s="355"/>
      <c r="C13" s="356"/>
      <c r="D13" s="374"/>
      <c r="E13" s="374"/>
      <c r="F13" s="374"/>
      <c r="G13" s="374"/>
      <c r="H13" s="374"/>
      <c r="I13" s="374"/>
    </row>
    <row r="14" spans="2:9">
      <c r="B14" s="375"/>
      <c r="C14" s="373" t="s">
        <v>830</v>
      </c>
      <c r="D14" s="374"/>
      <c r="E14" s="374"/>
      <c r="F14" s="374">
        <f>+D14+E14</f>
        <v>0</v>
      </c>
      <c r="G14" s="374"/>
      <c r="H14" s="374"/>
      <c r="I14" s="374">
        <f>+F14-G14</f>
        <v>0</v>
      </c>
    </row>
    <row r="15" spans="2:9">
      <c r="B15" s="355"/>
      <c r="C15" s="356"/>
      <c r="D15" s="374"/>
      <c r="E15" s="374"/>
      <c r="F15" s="374"/>
      <c r="G15" s="374"/>
      <c r="H15" s="374"/>
      <c r="I15" s="374"/>
    </row>
    <row r="16" spans="2:9">
      <c r="B16" s="375"/>
      <c r="C16" s="373" t="s">
        <v>831</v>
      </c>
      <c r="D16" s="374"/>
      <c r="E16" s="374"/>
      <c r="F16" s="374">
        <f>+D16+E16</f>
        <v>0</v>
      </c>
      <c r="G16" s="374"/>
      <c r="H16" s="374"/>
      <c r="I16" s="374">
        <f>+F16-G16</f>
        <v>0</v>
      </c>
    </row>
    <row r="17" spans="1:10">
      <c r="B17" s="376"/>
      <c r="C17" s="377"/>
      <c r="D17" s="378"/>
      <c r="E17" s="378"/>
      <c r="F17" s="378"/>
      <c r="G17" s="378"/>
      <c r="H17" s="378"/>
      <c r="I17" s="378"/>
    </row>
    <row r="18" spans="1:10" s="369" customFormat="1">
      <c r="A18" s="365"/>
      <c r="B18" s="376"/>
      <c r="C18" s="377" t="s">
        <v>826</v>
      </c>
      <c r="D18" s="379">
        <f>+D12+D14+D16</f>
        <v>138260283.41649699</v>
      </c>
      <c r="E18" s="379">
        <f t="shared" ref="E18:I18" si="0">+E12+E14+E16</f>
        <v>0</v>
      </c>
      <c r="F18" s="379">
        <f t="shared" si="0"/>
        <v>138260283.41649699</v>
      </c>
      <c r="G18" s="379">
        <f t="shared" si="0"/>
        <v>15020502.310000001</v>
      </c>
      <c r="H18" s="379">
        <f t="shared" si="0"/>
        <v>15020502.310000001</v>
      </c>
      <c r="I18" s="379">
        <f t="shared" si="0"/>
        <v>123239781.10649699</v>
      </c>
      <c r="J18" s="365"/>
    </row>
    <row r="19" spans="1:10" s="354" customFormat="1">
      <c r="B19" s="317"/>
      <c r="C19" s="317"/>
      <c r="D19" s="317"/>
      <c r="E19" s="317"/>
      <c r="F19" s="317"/>
      <c r="G19" s="317"/>
      <c r="H19" s="317"/>
      <c r="I19" s="317"/>
    </row>
    <row r="21" spans="1:10">
      <c r="D21" s="380" t="str">
        <f>IF(D18=CAdmon!D22," ","ERROR")</f>
        <v xml:space="preserve"> </v>
      </c>
      <c r="E21" s="380" t="str">
        <f>IF(E18=CAdmon!E22," ","ERROR")</f>
        <v xml:space="preserve"> </v>
      </c>
      <c r="F21" s="380" t="str">
        <f>IF(F18=CAdmon!F22," ","ERROR")</f>
        <v xml:space="preserve"> </v>
      </c>
      <c r="G21" s="380" t="str">
        <f>IF(G18=CAdmon!G22," ","ERROR")</f>
        <v xml:space="preserve"> </v>
      </c>
      <c r="H21" s="380" t="str">
        <f>IF(H18=CAdmon!H22," ","ERROR")</f>
        <v xml:space="preserve"> </v>
      </c>
      <c r="I21" s="380" t="str">
        <f>IF(I18=CAdmon!I22," ","ERROR")</f>
        <v xml:space="preserve"> </v>
      </c>
    </row>
  </sheetData>
  <mergeCells count="8">
    <mergeCell ref="B8:C10"/>
    <mergeCell ref="D8:H8"/>
    <mergeCell ref="I8:I9"/>
    <mergeCell ref="B2:I2"/>
    <mergeCell ref="B3:I3"/>
    <mergeCell ref="B4:I4"/>
    <mergeCell ref="B5:I5"/>
    <mergeCell ref="B6:I6"/>
  </mergeCells>
  <pageMargins left="0.7" right="0.7" top="0.75" bottom="0.75" header="0.3" footer="0.3"/>
  <pageSetup scale="95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922597-B687-45FF-89E8-3C550ED4B344}">
  <dimension ref="B2:H20"/>
  <sheetViews>
    <sheetView workbookViewId="0">
      <selection activeCell="C16" sqref="C16"/>
    </sheetView>
  </sheetViews>
  <sheetFormatPr baseColWidth="10" defaultColWidth="11.5703125" defaultRowHeight="12"/>
  <cols>
    <col min="1" max="1" width="4.7109375" style="1104" customWidth="1"/>
    <col min="2" max="2" width="39.5703125" style="1104" customWidth="1"/>
    <col min="3" max="3" width="14.42578125" style="1104" bestFit="1" customWidth="1"/>
    <col min="4" max="4" width="13.5703125" style="1104" customWidth="1"/>
    <col min="5" max="8" width="14.42578125" style="1104" bestFit="1" customWidth="1"/>
    <col min="9" max="9" width="4.7109375" style="1104" customWidth="1"/>
    <col min="10" max="16384" width="11.5703125" style="1104"/>
  </cols>
  <sheetData>
    <row r="2" spans="2:8">
      <c r="B2" s="1761" t="s">
        <v>2992</v>
      </c>
      <c r="C2" s="1762"/>
      <c r="D2" s="1762"/>
      <c r="E2" s="1762"/>
      <c r="F2" s="1762"/>
      <c r="G2" s="1762"/>
      <c r="H2" s="1763"/>
    </row>
    <row r="3" spans="2:8">
      <c r="B3" s="1801" t="s">
        <v>4949</v>
      </c>
      <c r="C3" s="1802"/>
      <c r="D3" s="1802"/>
      <c r="E3" s="1802"/>
      <c r="F3" s="1802"/>
      <c r="G3" s="1802"/>
      <c r="H3" s="1828"/>
    </row>
    <row r="4" spans="2:8">
      <c r="B4" s="1801" t="s">
        <v>827</v>
      </c>
      <c r="C4" s="1802"/>
      <c r="D4" s="1802"/>
      <c r="E4" s="1802"/>
      <c r="F4" s="1802"/>
      <c r="G4" s="1802"/>
      <c r="H4" s="1828"/>
    </row>
    <row r="5" spans="2:8" ht="12.75" thickBot="1">
      <c r="B5" s="1831"/>
      <c r="C5" s="1832"/>
      <c r="D5" s="1832"/>
      <c r="E5" s="1832"/>
      <c r="F5" s="1832"/>
      <c r="G5" s="1832"/>
      <c r="H5" s="1833"/>
    </row>
    <row r="6" spans="2:8" ht="12.75" thickBot="1">
      <c r="B6" s="1810" t="s">
        <v>230</v>
      </c>
      <c r="C6" s="1812" t="s">
        <v>75</v>
      </c>
      <c r="D6" s="1813"/>
      <c r="E6" s="1813"/>
      <c r="F6" s="1813"/>
      <c r="G6" s="1814"/>
      <c r="H6" s="1815" t="s">
        <v>4950</v>
      </c>
    </row>
    <row r="7" spans="2:8" ht="24.75" thickBot="1">
      <c r="B7" s="1823"/>
      <c r="C7" s="1105" t="s">
        <v>4951</v>
      </c>
      <c r="D7" s="1105" t="s">
        <v>4952</v>
      </c>
      <c r="E7" s="1105" t="s">
        <v>4953</v>
      </c>
      <c r="F7" s="1105" t="s">
        <v>236</v>
      </c>
      <c r="G7" s="1105" t="s">
        <v>4954</v>
      </c>
      <c r="H7" s="1816"/>
    </row>
    <row r="8" spans="2:8" ht="12.75" thickBot="1">
      <c r="B8" s="1811"/>
      <c r="C8" s="1106">
        <v>1</v>
      </c>
      <c r="D8" s="1106">
        <v>2</v>
      </c>
      <c r="E8" s="1106" t="s">
        <v>4955</v>
      </c>
      <c r="F8" s="1106">
        <v>4</v>
      </c>
      <c r="G8" s="1106">
        <v>5</v>
      </c>
      <c r="H8" s="1107" t="s">
        <v>4956</v>
      </c>
    </row>
    <row r="9" spans="2:8">
      <c r="B9" s="1129"/>
      <c r="C9" s="1130"/>
      <c r="D9" s="1131"/>
      <c r="E9" s="1130"/>
      <c r="F9" s="1131"/>
      <c r="G9" s="1130"/>
      <c r="H9" s="1132"/>
    </row>
    <row r="10" spans="2:8">
      <c r="B10" s="1133" t="s">
        <v>829</v>
      </c>
      <c r="C10" s="1134">
        <f>+CTG!D12-C16</f>
        <v>137483289.13227999</v>
      </c>
      <c r="D10" s="1135">
        <f>+CTG!E12-D16</f>
        <v>0</v>
      </c>
      <c r="E10" s="1136">
        <f>C10+D10</f>
        <v>137483289.13227999</v>
      </c>
      <c r="F10" s="1135">
        <f>+CTG!G12-F16</f>
        <v>14910710.470000001</v>
      </c>
      <c r="G10" s="1134">
        <f>+CTG!H12-G16</f>
        <v>14910710.470000001</v>
      </c>
      <c r="H10" s="1137">
        <f>E10-F10</f>
        <v>122572578.66227999</v>
      </c>
    </row>
    <row r="11" spans="2:8">
      <c r="B11" s="1138"/>
      <c r="C11" s="1136"/>
      <c r="D11" s="1139"/>
      <c r="E11" s="1136"/>
      <c r="F11" s="1139"/>
      <c r="G11" s="1136"/>
      <c r="H11" s="1137"/>
    </row>
    <row r="12" spans="2:8">
      <c r="B12" s="1133" t="s">
        <v>830</v>
      </c>
      <c r="C12" s="1134">
        <v>0</v>
      </c>
      <c r="D12" s="1135">
        <v>0</v>
      </c>
      <c r="E12" s="1136">
        <f>C12+D12</f>
        <v>0</v>
      </c>
      <c r="F12" s="1135">
        <v>0</v>
      </c>
      <c r="G12" s="1134">
        <v>0</v>
      </c>
      <c r="H12" s="1137">
        <f>E12-F12</f>
        <v>0</v>
      </c>
    </row>
    <row r="13" spans="2:8">
      <c r="B13" s="1138"/>
      <c r="C13" s="1136"/>
      <c r="D13" s="1139"/>
      <c r="E13" s="1136"/>
      <c r="F13" s="1139"/>
      <c r="G13" s="1136"/>
      <c r="H13" s="1137"/>
    </row>
    <row r="14" spans="2:8" ht="24">
      <c r="B14" s="1133" t="s">
        <v>831</v>
      </c>
      <c r="C14" s="1134">
        <v>0</v>
      </c>
      <c r="D14" s="1135">
        <v>0</v>
      </c>
      <c r="E14" s="1136">
        <f>C14+D14</f>
        <v>0</v>
      </c>
      <c r="F14" s="1135">
        <v>0</v>
      </c>
      <c r="G14" s="1134">
        <v>0</v>
      </c>
      <c r="H14" s="1137">
        <f>E14-F14</f>
        <v>0</v>
      </c>
    </row>
    <row r="15" spans="2:8">
      <c r="B15" s="1138"/>
      <c r="C15" s="1136"/>
      <c r="D15" s="1139"/>
      <c r="E15" s="1136"/>
      <c r="F15" s="1139"/>
      <c r="G15" s="1136"/>
      <c r="H15" s="1137"/>
    </row>
    <row r="16" spans="2:8">
      <c r="B16" s="1133" t="s">
        <v>634</v>
      </c>
      <c r="C16" s="1134">
        <f>+COG!D31</f>
        <v>776994.28421700012</v>
      </c>
      <c r="D16" s="1135">
        <f>+COG!E31</f>
        <v>0</v>
      </c>
      <c r="E16" s="1136">
        <f>C16+D16</f>
        <v>776994.28421700012</v>
      </c>
      <c r="F16" s="1135">
        <f>+COG!G31</f>
        <v>109791.84</v>
      </c>
      <c r="G16" s="1134">
        <f>+COG!H31</f>
        <v>109791.84</v>
      </c>
      <c r="H16" s="1137">
        <f>E16-F16</f>
        <v>667202.44421700016</v>
      </c>
    </row>
    <row r="17" spans="2:8">
      <c r="B17" s="1138"/>
      <c r="C17" s="1136"/>
      <c r="D17" s="1139"/>
      <c r="E17" s="1136"/>
      <c r="F17" s="1139"/>
      <c r="G17" s="1136"/>
      <c r="H17" s="1137"/>
    </row>
    <row r="18" spans="2:8">
      <c r="B18" s="1133" t="s">
        <v>645</v>
      </c>
      <c r="C18" s="1134">
        <v>0</v>
      </c>
      <c r="D18" s="1135">
        <v>0</v>
      </c>
      <c r="E18" s="1136">
        <f>C18+D18</f>
        <v>0</v>
      </c>
      <c r="F18" s="1135">
        <v>0</v>
      </c>
      <c r="G18" s="1134">
        <v>0</v>
      </c>
      <c r="H18" s="1137">
        <f>E18-F18</f>
        <v>0</v>
      </c>
    </row>
    <row r="19" spans="2:8" ht="12.75" thickBot="1">
      <c r="B19" s="1138"/>
      <c r="C19" s="1136"/>
      <c r="D19" s="1139"/>
      <c r="E19" s="1136"/>
      <c r="F19" s="1139"/>
      <c r="G19" s="1136"/>
      <c r="H19" s="1137"/>
    </row>
    <row r="20" spans="2:8" ht="12.75" thickBot="1">
      <c r="B20" s="1140" t="s">
        <v>4957</v>
      </c>
      <c r="C20" s="1141">
        <f>SUM(C18,C16,C14,C10,C12)</f>
        <v>138260283.41649699</v>
      </c>
      <c r="D20" s="1142">
        <f>SUM(D18,D16,D14,D12,D10)</f>
        <v>0</v>
      </c>
      <c r="E20" s="1141">
        <f>SUM(E18,E16,E14,E12,E10)</f>
        <v>138260283.41649699</v>
      </c>
      <c r="F20" s="1142">
        <f>SUM(F18,F16,F14,F12,F10)</f>
        <v>15020502.310000001</v>
      </c>
      <c r="G20" s="1141">
        <f>SUM(G18,G16,G14,G12,G10)</f>
        <v>15020502.310000001</v>
      </c>
      <c r="H20" s="1143">
        <f>E20-F20</f>
        <v>123239781.10649699</v>
      </c>
    </row>
  </sheetData>
  <mergeCells count="7">
    <mergeCell ref="B2:H2"/>
    <mergeCell ref="B3:H3"/>
    <mergeCell ref="B4:H4"/>
    <mergeCell ref="B5:H5"/>
    <mergeCell ref="B6:B8"/>
    <mergeCell ref="C6:G6"/>
    <mergeCell ref="H6:H7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4">
    <pageSetUpPr fitToPage="1"/>
  </sheetPr>
  <dimension ref="A1:J50"/>
  <sheetViews>
    <sheetView workbookViewId="0">
      <selection activeCell="E40" sqref="E40"/>
    </sheetView>
  </sheetViews>
  <sheetFormatPr baseColWidth="10" defaultRowHeight="15"/>
  <cols>
    <col min="1" max="1" width="1.5703125" style="354" customWidth="1"/>
    <col min="2" max="2" width="4.5703125" style="405" customWidth="1"/>
    <col min="3" max="3" width="60.28515625" style="346" customWidth="1"/>
    <col min="4" max="9" width="12.7109375" style="346" customWidth="1"/>
    <col min="10" max="10" width="3.28515625" style="354" customWidth="1"/>
    <col min="11" max="16384" width="11.42578125" style="361"/>
  </cols>
  <sheetData>
    <row r="1" spans="1:10" s="354" customFormat="1" ht="8.25" customHeight="1">
      <c r="B1" s="317"/>
      <c r="C1" s="317"/>
      <c r="D1" s="317"/>
      <c r="E1" s="317"/>
      <c r="F1" s="317"/>
      <c r="G1" s="317"/>
      <c r="H1" s="317"/>
      <c r="I1" s="317"/>
    </row>
    <row r="2" spans="1:10">
      <c r="B2" s="1734"/>
      <c r="C2" s="1735"/>
      <c r="D2" s="1735"/>
      <c r="E2" s="1735"/>
      <c r="F2" s="1735"/>
      <c r="G2" s="1735"/>
      <c r="H2" s="1735"/>
      <c r="I2" s="1736"/>
    </row>
    <row r="3" spans="1:10">
      <c r="B3" s="1737" t="s">
        <v>2992</v>
      </c>
      <c r="C3" s="1738"/>
      <c r="D3" s="1738"/>
      <c r="E3" s="1738"/>
      <c r="F3" s="1738"/>
      <c r="G3" s="1738"/>
      <c r="H3" s="1738"/>
      <c r="I3" s="1739"/>
    </row>
    <row r="4" spans="1:10">
      <c r="B4" s="1737" t="s">
        <v>818</v>
      </c>
      <c r="C4" s="1738"/>
      <c r="D4" s="1738"/>
      <c r="E4" s="1738"/>
      <c r="F4" s="1738"/>
      <c r="G4" s="1738"/>
      <c r="H4" s="1738"/>
      <c r="I4" s="1739"/>
    </row>
    <row r="5" spans="1:10">
      <c r="B5" s="1737" t="s">
        <v>848</v>
      </c>
      <c r="C5" s="1738"/>
      <c r="D5" s="1738"/>
      <c r="E5" s="1738"/>
      <c r="F5" s="1738"/>
      <c r="G5" s="1738"/>
      <c r="H5" s="1738"/>
      <c r="I5" s="1739"/>
    </row>
    <row r="6" spans="1:10">
      <c r="B6" s="1740" t="str">
        <f>+EA!C3</f>
        <v>Del 1 de enero al 30 de abril de 2021</v>
      </c>
      <c r="C6" s="1741"/>
      <c r="D6" s="1741"/>
      <c r="E6" s="1741"/>
      <c r="F6" s="1741"/>
      <c r="G6" s="1741"/>
      <c r="H6" s="1741"/>
      <c r="I6" s="1742"/>
    </row>
    <row r="7" spans="1:10" s="354" customFormat="1" ht="12.75" customHeight="1">
      <c r="B7" s="317"/>
      <c r="C7" s="452"/>
      <c r="D7" s="317"/>
      <c r="E7" s="317"/>
      <c r="F7" s="317"/>
      <c r="G7" s="317"/>
      <c r="H7" s="317"/>
      <c r="I7" s="317"/>
    </row>
    <row r="8" spans="1:10">
      <c r="B8" s="1819" t="s">
        <v>230</v>
      </c>
      <c r="C8" s="1819"/>
      <c r="D8" s="1820" t="s">
        <v>75</v>
      </c>
      <c r="E8" s="1820"/>
      <c r="F8" s="1820"/>
      <c r="G8" s="1820"/>
      <c r="H8" s="1820"/>
      <c r="I8" s="1820" t="s">
        <v>820</v>
      </c>
    </row>
    <row r="9" spans="1:10" ht="22.5">
      <c r="B9" s="1819"/>
      <c r="C9" s="1819"/>
      <c r="D9" s="653" t="s">
        <v>821</v>
      </c>
      <c r="E9" s="653" t="s">
        <v>822</v>
      </c>
      <c r="F9" s="653" t="s">
        <v>797</v>
      </c>
      <c r="G9" s="653" t="s">
        <v>236</v>
      </c>
      <c r="H9" s="653" t="s">
        <v>823</v>
      </c>
      <c r="I9" s="1820"/>
    </row>
    <row r="10" spans="1:10">
      <c r="B10" s="1819"/>
      <c r="C10" s="1819"/>
      <c r="D10" s="653">
        <v>1</v>
      </c>
      <c r="E10" s="653">
        <v>2</v>
      </c>
      <c r="F10" s="653" t="s">
        <v>824</v>
      </c>
      <c r="G10" s="653">
        <v>4</v>
      </c>
      <c r="H10" s="653">
        <v>5</v>
      </c>
      <c r="I10" s="653" t="s">
        <v>825</v>
      </c>
    </row>
    <row r="11" spans="1:10" ht="3" customHeight="1">
      <c r="B11" s="388"/>
      <c r="C11" s="371"/>
      <c r="D11" s="372"/>
      <c r="E11" s="372"/>
      <c r="F11" s="372"/>
      <c r="G11" s="372"/>
      <c r="H11" s="372"/>
      <c r="I11" s="372"/>
    </row>
    <row r="12" spans="1:10" s="391" customFormat="1">
      <c r="A12" s="389"/>
      <c r="B12" s="1857" t="s">
        <v>849</v>
      </c>
      <c r="C12" s="1858"/>
      <c r="D12" s="390">
        <f>SUM(D13:D20)</f>
        <v>0</v>
      </c>
      <c r="E12" s="390">
        <f t="shared" ref="E12:I12" si="0">SUM(E13:E20)</f>
        <v>0</v>
      </c>
      <c r="F12" s="390">
        <f t="shared" si="0"/>
        <v>0</v>
      </c>
      <c r="G12" s="390">
        <f t="shared" si="0"/>
        <v>0</v>
      </c>
      <c r="H12" s="390">
        <f t="shared" si="0"/>
        <v>0</v>
      </c>
      <c r="I12" s="390">
        <f t="shared" si="0"/>
        <v>0</v>
      </c>
      <c r="J12" s="389"/>
    </row>
    <row r="13" spans="1:10" s="391" customFormat="1">
      <c r="A13" s="389"/>
      <c r="B13" s="392"/>
      <c r="C13" s="393" t="s">
        <v>850</v>
      </c>
      <c r="D13" s="360"/>
      <c r="E13" s="360"/>
      <c r="F13" s="360">
        <f>+D13+E13</f>
        <v>0</v>
      </c>
      <c r="G13" s="360"/>
      <c r="H13" s="360"/>
      <c r="I13" s="360">
        <f>+F13-G13</f>
        <v>0</v>
      </c>
      <c r="J13" s="389"/>
    </row>
    <row r="14" spans="1:10" s="391" customFormat="1">
      <c r="A14" s="389"/>
      <c r="B14" s="392"/>
      <c r="C14" s="393" t="s">
        <v>851</v>
      </c>
      <c r="D14" s="360"/>
      <c r="E14" s="360"/>
      <c r="F14" s="360">
        <f t="shared" ref="F14:F20" si="1">+D14+E14</f>
        <v>0</v>
      </c>
      <c r="G14" s="360"/>
      <c r="H14" s="360"/>
      <c r="I14" s="360">
        <f t="shared" ref="I14:I20" si="2">+F14-G14</f>
        <v>0</v>
      </c>
      <c r="J14" s="389"/>
    </row>
    <row r="15" spans="1:10" s="391" customFormat="1">
      <c r="A15" s="389"/>
      <c r="B15" s="392"/>
      <c r="C15" s="393" t="s">
        <v>852</v>
      </c>
      <c r="D15" s="360"/>
      <c r="E15" s="360"/>
      <c r="F15" s="360">
        <f t="shared" si="1"/>
        <v>0</v>
      </c>
      <c r="G15" s="360"/>
      <c r="H15" s="360"/>
      <c r="I15" s="360">
        <f t="shared" si="2"/>
        <v>0</v>
      </c>
      <c r="J15" s="389"/>
    </row>
    <row r="16" spans="1:10" s="391" customFormat="1">
      <c r="A16" s="389"/>
      <c r="B16" s="392"/>
      <c r="C16" s="393" t="s">
        <v>853</v>
      </c>
      <c r="D16" s="360"/>
      <c r="E16" s="360"/>
      <c r="F16" s="360">
        <f t="shared" si="1"/>
        <v>0</v>
      </c>
      <c r="G16" s="360"/>
      <c r="H16" s="360"/>
      <c r="I16" s="360">
        <f t="shared" si="2"/>
        <v>0</v>
      </c>
      <c r="J16" s="389"/>
    </row>
    <row r="17" spans="1:10" s="391" customFormat="1">
      <c r="A17" s="389"/>
      <c r="B17" s="392"/>
      <c r="C17" s="393" t="s">
        <v>854</v>
      </c>
      <c r="D17" s="360"/>
      <c r="E17" s="360"/>
      <c r="F17" s="360">
        <f t="shared" si="1"/>
        <v>0</v>
      </c>
      <c r="G17" s="360"/>
      <c r="H17" s="360"/>
      <c r="I17" s="360">
        <f t="shared" si="2"/>
        <v>0</v>
      </c>
      <c r="J17" s="389"/>
    </row>
    <row r="18" spans="1:10" s="391" customFormat="1">
      <c r="A18" s="389"/>
      <c r="B18" s="392"/>
      <c r="C18" s="393" t="s">
        <v>855</v>
      </c>
      <c r="D18" s="360"/>
      <c r="E18" s="360"/>
      <c r="F18" s="360">
        <f t="shared" si="1"/>
        <v>0</v>
      </c>
      <c r="G18" s="360"/>
      <c r="H18" s="360"/>
      <c r="I18" s="360">
        <f t="shared" si="2"/>
        <v>0</v>
      </c>
      <c r="J18" s="389"/>
    </row>
    <row r="19" spans="1:10" s="391" customFormat="1">
      <c r="A19" s="389"/>
      <c r="B19" s="392"/>
      <c r="C19" s="393" t="s">
        <v>856</v>
      </c>
      <c r="D19" s="360"/>
      <c r="E19" s="360"/>
      <c r="F19" s="360">
        <f t="shared" si="1"/>
        <v>0</v>
      </c>
      <c r="G19" s="360"/>
      <c r="H19" s="360"/>
      <c r="I19" s="360">
        <f t="shared" si="2"/>
        <v>0</v>
      </c>
      <c r="J19" s="389"/>
    </row>
    <row r="20" spans="1:10" s="391" customFormat="1">
      <c r="A20" s="389"/>
      <c r="B20" s="392"/>
      <c r="C20" s="393" t="s">
        <v>137</v>
      </c>
      <c r="D20" s="360"/>
      <c r="E20" s="360"/>
      <c r="F20" s="360">
        <f t="shared" si="1"/>
        <v>0</v>
      </c>
      <c r="G20" s="360"/>
      <c r="H20" s="360"/>
      <c r="I20" s="360">
        <f t="shared" si="2"/>
        <v>0</v>
      </c>
      <c r="J20" s="389"/>
    </row>
    <row r="21" spans="1:10" s="391" customFormat="1">
      <c r="A21" s="389"/>
      <c r="B21" s="392"/>
      <c r="C21" s="393"/>
      <c r="D21" s="360"/>
      <c r="E21" s="360"/>
      <c r="F21" s="360"/>
      <c r="G21" s="360"/>
      <c r="H21" s="360"/>
      <c r="I21" s="360"/>
      <c r="J21" s="389"/>
    </row>
    <row r="22" spans="1:10" s="395" customFormat="1">
      <c r="A22" s="394"/>
      <c r="B22" s="1857" t="s">
        <v>857</v>
      </c>
      <c r="C22" s="1858"/>
      <c r="D22" s="390">
        <f>SUM(D23:D29)</f>
        <v>0</v>
      </c>
      <c r="E22" s="390">
        <f t="shared" ref="E22" si="3">SUM(E23:E29)</f>
        <v>0</v>
      </c>
      <c r="F22" s="390">
        <f>+D22+E22</f>
        <v>0</v>
      </c>
      <c r="G22" s="390">
        <f t="shared" ref="G22:H22" si="4">SUM(G23:G29)</f>
        <v>0</v>
      </c>
      <c r="H22" s="390">
        <f t="shared" si="4"/>
        <v>0</v>
      </c>
      <c r="I22" s="390">
        <f>+F22-G22</f>
        <v>0</v>
      </c>
      <c r="J22" s="394"/>
    </row>
    <row r="23" spans="1:10" s="391" customFormat="1">
      <c r="A23" s="389"/>
      <c r="B23" s="392"/>
      <c r="C23" s="393" t="s">
        <v>858</v>
      </c>
      <c r="D23" s="396"/>
      <c r="E23" s="396"/>
      <c r="F23" s="360">
        <f t="shared" ref="F23:F29" si="5">+D23+E23</f>
        <v>0</v>
      </c>
      <c r="G23" s="396"/>
      <c r="H23" s="396"/>
      <c r="I23" s="360">
        <f t="shared" ref="I23:I29" si="6">+F23-G23</f>
        <v>0</v>
      </c>
      <c r="J23" s="389"/>
    </row>
    <row r="24" spans="1:10" s="391" customFormat="1">
      <c r="A24" s="389"/>
      <c r="B24" s="392"/>
      <c r="C24" s="393" t="s">
        <v>859</v>
      </c>
      <c r="D24" s="396"/>
      <c r="E24" s="396"/>
      <c r="F24" s="360">
        <f t="shared" si="5"/>
        <v>0</v>
      </c>
      <c r="G24" s="396"/>
      <c r="H24" s="396"/>
      <c r="I24" s="360">
        <f t="shared" si="6"/>
        <v>0</v>
      </c>
      <c r="J24" s="389"/>
    </row>
    <row r="25" spans="1:10" s="391" customFormat="1">
      <c r="A25" s="389"/>
      <c r="B25" s="392"/>
      <c r="C25" s="393" t="s">
        <v>860</v>
      </c>
      <c r="D25" s="396"/>
      <c r="E25" s="396"/>
      <c r="F25" s="360">
        <f t="shared" si="5"/>
        <v>0</v>
      </c>
      <c r="G25" s="396"/>
      <c r="H25" s="396"/>
      <c r="I25" s="360">
        <f t="shared" si="6"/>
        <v>0</v>
      </c>
      <c r="J25" s="389"/>
    </row>
    <row r="26" spans="1:10" s="391" customFormat="1">
      <c r="A26" s="389"/>
      <c r="B26" s="392"/>
      <c r="C26" s="393" t="s">
        <v>861</v>
      </c>
      <c r="D26" s="396"/>
      <c r="E26" s="396"/>
      <c r="F26" s="360">
        <f t="shared" si="5"/>
        <v>0</v>
      </c>
      <c r="G26" s="396"/>
      <c r="H26" s="396"/>
      <c r="I26" s="360">
        <f t="shared" si="6"/>
        <v>0</v>
      </c>
      <c r="J26" s="389"/>
    </row>
    <row r="27" spans="1:10" s="391" customFormat="1">
      <c r="A27" s="389"/>
      <c r="B27" s="392"/>
      <c r="C27" s="393" t="s">
        <v>862</v>
      </c>
      <c r="D27" s="396"/>
      <c r="E27" s="396"/>
      <c r="F27" s="360">
        <f t="shared" si="5"/>
        <v>0</v>
      </c>
      <c r="G27" s="396"/>
      <c r="H27" s="396"/>
      <c r="I27" s="360">
        <f t="shared" si="6"/>
        <v>0</v>
      </c>
      <c r="J27" s="389"/>
    </row>
    <row r="28" spans="1:10" s="391" customFormat="1">
      <c r="A28" s="389"/>
      <c r="B28" s="392"/>
      <c r="C28" s="393" t="s">
        <v>863</v>
      </c>
      <c r="D28" s="396"/>
      <c r="E28" s="396"/>
      <c r="F28" s="360">
        <f t="shared" si="5"/>
        <v>0</v>
      </c>
      <c r="G28" s="396"/>
      <c r="H28" s="396"/>
      <c r="I28" s="360">
        <f t="shared" si="6"/>
        <v>0</v>
      </c>
      <c r="J28" s="389"/>
    </row>
    <row r="29" spans="1:10" s="391" customFormat="1">
      <c r="A29" s="389"/>
      <c r="B29" s="392"/>
      <c r="C29" s="393" t="s">
        <v>864</v>
      </c>
      <c r="D29" s="396"/>
      <c r="E29" s="396"/>
      <c r="F29" s="360">
        <f t="shared" si="5"/>
        <v>0</v>
      </c>
      <c r="G29" s="396"/>
      <c r="H29" s="396"/>
      <c r="I29" s="360">
        <f t="shared" si="6"/>
        <v>0</v>
      </c>
      <c r="J29" s="389"/>
    </row>
    <row r="30" spans="1:10" s="391" customFormat="1">
      <c r="A30" s="389"/>
      <c r="B30" s="392"/>
      <c r="C30" s="393"/>
      <c r="D30" s="396"/>
      <c r="E30" s="396"/>
      <c r="F30" s="396"/>
      <c r="G30" s="396"/>
      <c r="H30" s="396"/>
      <c r="I30" s="396"/>
      <c r="J30" s="389"/>
    </row>
    <row r="31" spans="1:10" s="395" customFormat="1">
      <c r="A31" s="394"/>
      <c r="B31" s="1857" t="s">
        <v>865</v>
      </c>
      <c r="C31" s="1858"/>
      <c r="D31" s="397">
        <f>SUM(D32:D40)</f>
        <v>138260283.41649699</v>
      </c>
      <c r="E31" s="397">
        <f>SUM(E32:E40)</f>
        <v>0</v>
      </c>
      <c r="F31" s="397">
        <f>+D31+E31</f>
        <v>138260283.41649699</v>
      </c>
      <c r="G31" s="397">
        <f>SUM(G32:G40)</f>
        <v>15020502.310000001</v>
      </c>
      <c r="H31" s="397">
        <f>SUM(H32:H40)</f>
        <v>15020502.310000001</v>
      </c>
      <c r="I31" s="397">
        <f>+F31-G31</f>
        <v>123239781.10649699</v>
      </c>
      <c r="J31" s="394"/>
    </row>
    <row r="32" spans="1:10" s="391" customFormat="1">
      <c r="A32" s="389"/>
      <c r="B32" s="392"/>
      <c r="C32" s="393" t="s">
        <v>866</v>
      </c>
      <c r="D32" s="396">
        <f>+COG!D32</f>
        <v>138260283.41649699</v>
      </c>
      <c r="E32" s="396">
        <f>+COG!E32</f>
        <v>0</v>
      </c>
      <c r="F32" s="396">
        <f t="shared" ref="F32:F40" si="7">+D32+E32</f>
        <v>138260283.41649699</v>
      </c>
      <c r="G32" s="396">
        <f>+COG!G32</f>
        <v>15020502.310000001</v>
      </c>
      <c r="H32" s="396">
        <f>+COG!H32</f>
        <v>15020502.310000001</v>
      </c>
      <c r="I32" s="396">
        <f t="shared" ref="I32:I40" si="8">+F32-G32</f>
        <v>123239781.10649699</v>
      </c>
      <c r="J32" s="389"/>
    </row>
    <row r="33" spans="1:10" s="391" customFormat="1">
      <c r="A33" s="389"/>
      <c r="B33" s="392"/>
      <c r="C33" s="393" t="s">
        <v>867</v>
      </c>
      <c r="D33" s="396"/>
      <c r="E33" s="396"/>
      <c r="F33" s="396">
        <f t="shared" si="7"/>
        <v>0</v>
      </c>
      <c r="G33" s="396"/>
      <c r="H33" s="396"/>
      <c r="I33" s="396">
        <f t="shared" si="8"/>
        <v>0</v>
      </c>
      <c r="J33" s="389"/>
    </row>
    <row r="34" spans="1:10" s="391" customFormat="1">
      <c r="A34" s="389"/>
      <c r="B34" s="392"/>
      <c r="C34" s="393" t="s">
        <v>868</v>
      </c>
      <c r="D34" s="396"/>
      <c r="E34" s="396"/>
      <c r="F34" s="396">
        <f t="shared" si="7"/>
        <v>0</v>
      </c>
      <c r="G34" s="396"/>
      <c r="H34" s="396"/>
      <c r="I34" s="396">
        <f t="shared" si="8"/>
        <v>0</v>
      </c>
      <c r="J34" s="389"/>
    </row>
    <row r="35" spans="1:10" s="391" customFormat="1">
      <c r="A35" s="389"/>
      <c r="B35" s="392"/>
      <c r="C35" s="393" t="s">
        <v>869</v>
      </c>
      <c r="D35" s="396"/>
      <c r="E35" s="396"/>
      <c r="F35" s="396">
        <f t="shared" si="7"/>
        <v>0</v>
      </c>
      <c r="G35" s="396"/>
      <c r="H35" s="396"/>
      <c r="I35" s="396">
        <f t="shared" si="8"/>
        <v>0</v>
      </c>
      <c r="J35" s="389"/>
    </row>
    <row r="36" spans="1:10" s="391" customFormat="1">
      <c r="A36" s="389"/>
      <c r="B36" s="392"/>
      <c r="C36" s="393" t="s">
        <v>870</v>
      </c>
      <c r="D36" s="396"/>
      <c r="E36" s="396"/>
      <c r="F36" s="396">
        <f t="shared" si="7"/>
        <v>0</v>
      </c>
      <c r="G36" s="396"/>
      <c r="H36" s="396"/>
      <c r="I36" s="396">
        <f t="shared" si="8"/>
        <v>0</v>
      </c>
      <c r="J36" s="389"/>
    </row>
    <row r="37" spans="1:10" s="391" customFormat="1">
      <c r="A37" s="389"/>
      <c r="B37" s="392"/>
      <c r="C37" s="393" t="s">
        <v>871</v>
      </c>
      <c r="D37" s="396"/>
      <c r="E37" s="396"/>
      <c r="F37" s="396">
        <f t="shared" si="7"/>
        <v>0</v>
      </c>
      <c r="G37" s="396"/>
      <c r="H37" s="396"/>
      <c r="I37" s="396">
        <f t="shared" si="8"/>
        <v>0</v>
      </c>
      <c r="J37" s="389"/>
    </row>
    <row r="38" spans="1:10" s="391" customFormat="1">
      <c r="A38" s="389"/>
      <c r="B38" s="392"/>
      <c r="C38" s="393" t="s">
        <v>872</v>
      </c>
      <c r="D38" s="396"/>
      <c r="E38" s="396"/>
      <c r="F38" s="396">
        <f t="shared" si="7"/>
        <v>0</v>
      </c>
      <c r="G38" s="396"/>
      <c r="H38" s="396"/>
      <c r="I38" s="396">
        <f t="shared" si="8"/>
        <v>0</v>
      </c>
      <c r="J38" s="389"/>
    </row>
    <row r="39" spans="1:10" s="391" customFormat="1">
      <c r="A39" s="389"/>
      <c r="B39" s="392"/>
      <c r="C39" s="393" t="s">
        <v>873</v>
      </c>
      <c r="D39" s="396"/>
      <c r="E39" s="396"/>
      <c r="F39" s="396">
        <f t="shared" si="7"/>
        <v>0</v>
      </c>
      <c r="G39" s="396"/>
      <c r="H39" s="396"/>
      <c r="I39" s="396">
        <f t="shared" si="8"/>
        <v>0</v>
      </c>
      <c r="J39" s="389"/>
    </row>
    <row r="40" spans="1:10" s="391" customFormat="1">
      <c r="A40" s="389"/>
      <c r="B40" s="392"/>
      <c r="C40" s="393" t="s">
        <v>874</v>
      </c>
      <c r="D40" s="396"/>
      <c r="E40" s="396"/>
      <c r="F40" s="396">
        <f t="shared" si="7"/>
        <v>0</v>
      </c>
      <c r="G40" s="396"/>
      <c r="H40" s="396"/>
      <c r="I40" s="396">
        <f t="shared" si="8"/>
        <v>0</v>
      </c>
      <c r="J40" s="389"/>
    </row>
    <row r="41" spans="1:10" s="391" customFormat="1">
      <c r="A41" s="389"/>
      <c r="B41" s="392"/>
      <c r="C41" s="393"/>
      <c r="D41" s="396"/>
      <c r="E41" s="396"/>
      <c r="F41" s="396"/>
      <c r="G41" s="396"/>
      <c r="H41" s="396"/>
      <c r="I41" s="396"/>
      <c r="J41" s="389"/>
    </row>
    <row r="42" spans="1:10" s="395" customFormat="1">
      <c r="A42" s="394"/>
      <c r="B42" s="1857" t="s">
        <v>875</v>
      </c>
      <c r="C42" s="1858"/>
      <c r="D42" s="397">
        <f>SUM(D43:D46)</f>
        <v>0</v>
      </c>
      <c r="E42" s="397">
        <f>SUM(E43:E46)</f>
        <v>0</v>
      </c>
      <c r="F42" s="397">
        <f>+D42+E42</f>
        <v>0</v>
      </c>
      <c r="G42" s="397">
        <f t="shared" ref="G42:H42" si="9">SUM(G43:G46)</f>
        <v>0</v>
      </c>
      <c r="H42" s="397">
        <f t="shared" si="9"/>
        <v>0</v>
      </c>
      <c r="I42" s="397">
        <f>+F42-G42</f>
        <v>0</v>
      </c>
      <c r="J42" s="394"/>
    </row>
    <row r="43" spans="1:10" s="391" customFormat="1">
      <c r="A43" s="389"/>
      <c r="B43" s="392"/>
      <c r="C43" s="393" t="s">
        <v>876</v>
      </c>
      <c r="D43" s="396"/>
      <c r="E43" s="396"/>
      <c r="F43" s="396">
        <f t="shared" ref="F43:F46" si="10">+D43+E43</f>
        <v>0</v>
      </c>
      <c r="G43" s="396"/>
      <c r="H43" s="396"/>
      <c r="I43" s="396">
        <f t="shared" ref="I43:I46" si="11">+F43-G43</f>
        <v>0</v>
      </c>
      <c r="J43" s="389"/>
    </row>
    <row r="44" spans="1:10" s="391" customFormat="1" ht="22.5">
      <c r="A44" s="389"/>
      <c r="B44" s="392"/>
      <c r="C44" s="393" t="s">
        <v>877</v>
      </c>
      <c r="D44" s="396"/>
      <c r="E44" s="396"/>
      <c r="F44" s="396">
        <f t="shared" si="10"/>
        <v>0</v>
      </c>
      <c r="G44" s="396"/>
      <c r="H44" s="396"/>
      <c r="I44" s="396">
        <f t="shared" si="11"/>
        <v>0</v>
      </c>
      <c r="J44" s="389"/>
    </row>
    <row r="45" spans="1:10" s="391" customFormat="1">
      <c r="A45" s="389"/>
      <c r="B45" s="392"/>
      <c r="C45" s="393" t="s">
        <v>878</v>
      </c>
      <c r="D45" s="396"/>
      <c r="E45" s="396"/>
      <c r="F45" s="396">
        <f t="shared" si="10"/>
        <v>0</v>
      </c>
      <c r="G45" s="396"/>
      <c r="H45" s="396"/>
      <c r="I45" s="396">
        <f t="shared" si="11"/>
        <v>0</v>
      </c>
      <c r="J45" s="389"/>
    </row>
    <row r="46" spans="1:10" s="391" customFormat="1">
      <c r="A46" s="389"/>
      <c r="B46" s="392"/>
      <c r="C46" s="393" t="s">
        <v>879</v>
      </c>
      <c r="D46" s="396"/>
      <c r="E46" s="396"/>
      <c r="F46" s="396">
        <f t="shared" si="10"/>
        <v>0</v>
      </c>
      <c r="G46" s="396"/>
      <c r="H46" s="396"/>
      <c r="I46" s="396">
        <f t="shared" si="11"/>
        <v>0</v>
      </c>
      <c r="J46" s="389"/>
    </row>
    <row r="47" spans="1:10" s="391" customFormat="1">
      <c r="A47" s="389"/>
      <c r="B47" s="398"/>
      <c r="C47" s="399"/>
      <c r="D47" s="400"/>
      <c r="E47" s="400"/>
      <c r="F47" s="400"/>
      <c r="G47" s="400"/>
      <c r="H47" s="400"/>
      <c r="I47" s="400"/>
      <c r="J47" s="389"/>
    </row>
    <row r="48" spans="1:10" s="395" customFormat="1" ht="24" customHeight="1">
      <c r="A48" s="394"/>
      <c r="B48" s="401"/>
      <c r="C48" s="402" t="s">
        <v>826</v>
      </c>
      <c r="D48" s="403">
        <f>+D12+D22+D31+D42</f>
        <v>138260283.41649699</v>
      </c>
      <c r="E48" s="403">
        <f t="shared" ref="E48:I48" si="12">+E12+E22+E31+E42</f>
        <v>0</v>
      </c>
      <c r="F48" s="403">
        <f t="shared" si="12"/>
        <v>138260283.41649699</v>
      </c>
      <c r="G48" s="403">
        <f t="shared" si="12"/>
        <v>15020502.310000001</v>
      </c>
      <c r="H48" s="403">
        <f t="shared" si="12"/>
        <v>15020502.310000001</v>
      </c>
      <c r="I48" s="403">
        <f t="shared" si="12"/>
        <v>123239781.10649699</v>
      </c>
      <c r="J48" s="394"/>
    </row>
    <row r="50" spans="4:9" ht="15.75">
      <c r="D50" s="404" t="str">
        <f>IF(D48=CAdmon!D22," ","ERROR")</f>
        <v xml:space="preserve"> </v>
      </c>
      <c r="E50" s="404"/>
      <c r="F50" s="404"/>
      <c r="G50" s="404"/>
      <c r="H50" s="404"/>
      <c r="I50" s="404"/>
    </row>
  </sheetData>
  <mergeCells count="12">
    <mergeCell ref="B12:C12"/>
    <mergeCell ref="B22:C22"/>
    <mergeCell ref="B31:C31"/>
    <mergeCell ref="B42:C42"/>
    <mergeCell ref="B2:I2"/>
    <mergeCell ref="B3:I3"/>
    <mergeCell ref="B4:I4"/>
    <mergeCell ref="B5:I5"/>
    <mergeCell ref="B6:I6"/>
    <mergeCell ref="B8:C10"/>
    <mergeCell ref="D8:H8"/>
    <mergeCell ref="I8:I9"/>
  </mergeCells>
  <pageMargins left="0.7" right="0.7" top="0.75" bottom="0.75" header="0.3" footer="0.3"/>
  <pageSetup scale="69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8C3C2-D7D7-418F-9EA3-0655EE5377CA}">
  <dimension ref="B1:I81"/>
  <sheetViews>
    <sheetView topLeftCell="A22" workbookViewId="0">
      <selection activeCell="C30" sqref="C30"/>
    </sheetView>
  </sheetViews>
  <sheetFormatPr baseColWidth="10" defaultColWidth="11.5703125" defaultRowHeight="15"/>
  <cols>
    <col min="1" max="1" width="3.7109375" style="900" customWidth="1"/>
    <col min="2" max="2" width="42.85546875" style="900" customWidth="1"/>
    <col min="3" max="3" width="14.42578125" style="900" bestFit="1" customWidth="1"/>
    <col min="4" max="4" width="13.85546875" style="900" customWidth="1"/>
    <col min="5" max="8" width="14.42578125" style="900" bestFit="1" customWidth="1"/>
    <col min="9" max="9" width="3.7109375" style="900" customWidth="1"/>
    <col min="10" max="16384" width="11.5703125" style="900"/>
  </cols>
  <sheetData>
    <row r="1" spans="2:9" ht="15" customHeight="1"/>
    <row r="2" spans="2:9">
      <c r="B2" s="1761" t="s">
        <v>2992</v>
      </c>
      <c r="C2" s="1762"/>
      <c r="D2" s="1762"/>
      <c r="E2" s="1762"/>
      <c r="F2" s="1762"/>
      <c r="G2" s="1762"/>
      <c r="H2" s="1763"/>
      <c r="I2" s="901" t="s">
        <v>5005</v>
      </c>
    </row>
    <row r="3" spans="2:9">
      <c r="B3" s="1859" t="s">
        <v>4949</v>
      </c>
      <c r="C3" s="1860"/>
      <c r="D3" s="1860"/>
      <c r="E3" s="1860"/>
      <c r="F3" s="1860"/>
      <c r="G3" s="1860"/>
      <c r="H3" s="1861"/>
    </row>
    <row r="4" spans="2:9">
      <c r="B4" s="1859" t="s">
        <v>848</v>
      </c>
      <c r="C4" s="1860"/>
      <c r="D4" s="1860"/>
      <c r="E4" s="1860"/>
      <c r="F4" s="1860"/>
      <c r="G4" s="1860"/>
      <c r="H4" s="1861"/>
    </row>
    <row r="5" spans="2:9" ht="15.75" thickBot="1">
      <c r="B5" s="1831"/>
      <c r="C5" s="1832"/>
      <c r="D5" s="1832"/>
      <c r="E5" s="1832"/>
      <c r="F5" s="1832"/>
      <c r="G5" s="1832"/>
      <c r="H5" s="1833"/>
    </row>
    <row r="6" spans="2:9" ht="15.75" thickBot="1">
      <c r="B6" s="1810" t="s">
        <v>230</v>
      </c>
      <c r="C6" s="1825" t="s">
        <v>75</v>
      </c>
      <c r="D6" s="1825"/>
      <c r="E6" s="1825"/>
      <c r="F6" s="1825"/>
      <c r="G6" s="1826"/>
      <c r="H6" s="1815" t="s">
        <v>4950</v>
      </c>
    </row>
    <row r="7" spans="2:9" ht="24.75" thickBot="1">
      <c r="B7" s="1823"/>
      <c r="C7" s="1105" t="s">
        <v>4951</v>
      </c>
      <c r="D7" s="1105" t="s">
        <v>4952</v>
      </c>
      <c r="E7" s="1105" t="s">
        <v>4953</v>
      </c>
      <c r="F7" s="1105" t="s">
        <v>236</v>
      </c>
      <c r="G7" s="1105" t="s">
        <v>4954</v>
      </c>
      <c r="H7" s="1816"/>
    </row>
    <row r="8" spans="2:9" ht="16.5" customHeight="1" thickBot="1">
      <c r="B8" s="1811"/>
      <c r="C8" s="1163">
        <v>1</v>
      </c>
      <c r="D8" s="1106">
        <v>2</v>
      </c>
      <c r="E8" s="1106" t="s">
        <v>4958</v>
      </c>
      <c r="F8" s="1106">
        <v>4</v>
      </c>
      <c r="G8" s="1106">
        <v>5</v>
      </c>
      <c r="H8" s="1107" t="s">
        <v>4956</v>
      </c>
    </row>
    <row r="9" spans="2:9" ht="16.5" customHeight="1">
      <c r="B9" s="1164"/>
      <c r="C9" s="1165"/>
      <c r="D9" s="1165"/>
      <c r="E9" s="1165"/>
      <c r="F9" s="1165"/>
      <c r="G9" s="1165"/>
      <c r="H9" s="1166"/>
    </row>
    <row r="10" spans="2:9">
      <c r="B10" s="1167" t="s">
        <v>849</v>
      </c>
      <c r="C10" s="984">
        <f>SUM(C11:C18)</f>
        <v>0</v>
      </c>
      <c r="D10" s="984">
        <f>SUM(D11:D18)</f>
        <v>0</v>
      </c>
      <c r="E10" s="984">
        <f t="shared" ref="E10:E18" si="0">C10+D10</f>
        <v>0</v>
      </c>
      <c r="F10" s="984">
        <f>SUM(F11:F18)</f>
        <v>0</v>
      </c>
      <c r="G10" s="984">
        <f>SUM(G11:G18)</f>
        <v>0</v>
      </c>
      <c r="H10" s="984">
        <f t="shared" ref="H10:H18" si="1">E10-F10</f>
        <v>0</v>
      </c>
    </row>
    <row r="11" spans="2:9">
      <c r="B11" s="1168" t="s">
        <v>850</v>
      </c>
      <c r="C11" s="989">
        <v>0</v>
      </c>
      <c r="D11" s="989">
        <v>0</v>
      </c>
      <c r="E11" s="986">
        <f t="shared" si="0"/>
        <v>0</v>
      </c>
      <c r="F11" s="989">
        <v>0</v>
      </c>
      <c r="G11" s="989">
        <v>0</v>
      </c>
      <c r="H11" s="986">
        <f t="shared" si="1"/>
        <v>0</v>
      </c>
    </row>
    <row r="12" spans="2:9">
      <c r="B12" s="1168" t="s">
        <v>851</v>
      </c>
      <c r="C12" s="989">
        <v>0</v>
      </c>
      <c r="D12" s="989">
        <v>0</v>
      </c>
      <c r="E12" s="986">
        <f t="shared" si="0"/>
        <v>0</v>
      </c>
      <c r="F12" s="989">
        <v>0</v>
      </c>
      <c r="G12" s="989">
        <v>0</v>
      </c>
      <c r="H12" s="986">
        <f t="shared" si="1"/>
        <v>0</v>
      </c>
    </row>
    <row r="13" spans="2:9">
      <c r="B13" s="1168" t="s">
        <v>852</v>
      </c>
      <c r="C13" s="989">
        <v>0</v>
      </c>
      <c r="D13" s="989">
        <v>0</v>
      </c>
      <c r="E13" s="986">
        <f t="shared" si="0"/>
        <v>0</v>
      </c>
      <c r="F13" s="989">
        <v>0</v>
      </c>
      <c r="G13" s="989">
        <v>0</v>
      </c>
      <c r="H13" s="986">
        <f t="shared" si="1"/>
        <v>0</v>
      </c>
    </row>
    <row r="14" spans="2:9">
      <c r="B14" s="1168" t="s">
        <v>853</v>
      </c>
      <c r="C14" s="989">
        <v>0</v>
      </c>
      <c r="D14" s="989">
        <v>0</v>
      </c>
      <c r="E14" s="986">
        <f t="shared" si="0"/>
        <v>0</v>
      </c>
      <c r="F14" s="989">
        <v>0</v>
      </c>
      <c r="G14" s="989">
        <v>0</v>
      </c>
      <c r="H14" s="986">
        <f t="shared" si="1"/>
        <v>0</v>
      </c>
    </row>
    <row r="15" spans="2:9">
      <c r="B15" s="1168" t="s">
        <v>854</v>
      </c>
      <c r="C15" s="989">
        <v>0</v>
      </c>
      <c r="D15" s="989">
        <v>0</v>
      </c>
      <c r="E15" s="986">
        <f t="shared" si="0"/>
        <v>0</v>
      </c>
      <c r="F15" s="989">
        <v>0</v>
      </c>
      <c r="G15" s="989">
        <v>0</v>
      </c>
      <c r="H15" s="986">
        <f t="shared" si="1"/>
        <v>0</v>
      </c>
    </row>
    <row r="16" spans="2:9">
      <c r="B16" s="1168" t="s">
        <v>855</v>
      </c>
      <c r="C16" s="989">
        <v>0</v>
      </c>
      <c r="D16" s="989">
        <v>0</v>
      </c>
      <c r="E16" s="986">
        <f t="shared" si="0"/>
        <v>0</v>
      </c>
      <c r="F16" s="989">
        <v>0</v>
      </c>
      <c r="G16" s="989">
        <v>0</v>
      </c>
      <c r="H16" s="986">
        <f t="shared" si="1"/>
        <v>0</v>
      </c>
    </row>
    <row r="17" spans="2:8" ht="17.25" customHeight="1">
      <c r="B17" s="1168" t="s">
        <v>856</v>
      </c>
      <c r="C17" s="989">
        <v>0</v>
      </c>
      <c r="D17" s="989">
        <v>0</v>
      </c>
      <c r="E17" s="986">
        <f t="shared" si="0"/>
        <v>0</v>
      </c>
      <c r="F17" s="989">
        <v>0</v>
      </c>
      <c r="G17" s="989">
        <v>0</v>
      </c>
      <c r="H17" s="986">
        <f t="shared" si="1"/>
        <v>0</v>
      </c>
    </row>
    <row r="18" spans="2:8">
      <c r="B18" s="1168" t="s">
        <v>137</v>
      </c>
      <c r="C18" s="989">
        <v>0</v>
      </c>
      <c r="D18" s="989">
        <v>0</v>
      </c>
      <c r="E18" s="986">
        <f t="shared" si="0"/>
        <v>0</v>
      </c>
      <c r="F18" s="989">
        <v>0</v>
      </c>
      <c r="G18" s="989">
        <v>0</v>
      </c>
      <c r="H18" s="986">
        <f t="shared" si="1"/>
        <v>0</v>
      </c>
    </row>
    <row r="19" spans="2:8" ht="15" customHeight="1">
      <c r="B19" s="1169"/>
      <c r="C19" s="984"/>
      <c r="D19" s="984"/>
      <c r="E19" s="984"/>
      <c r="F19" s="984"/>
      <c r="G19" s="984"/>
      <c r="H19" s="984"/>
    </row>
    <row r="20" spans="2:8" ht="15" customHeight="1">
      <c r="B20" s="1167" t="s">
        <v>857</v>
      </c>
      <c r="C20" s="984">
        <f>SUM(C21:C27)</f>
        <v>0</v>
      </c>
      <c r="D20" s="984">
        <f>SUM(D21:D27)</f>
        <v>0</v>
      </c>
      <c r="E20" s="984">
        <f t="shared" ref="E20:E27" si="2">C20+D20</f>
        <v>0</v>
      </c>
      <c r="F20" s="984">
        <f>SUM(F21:F27)</f>
        <v>0</v>
      </c>
      <c r="G20" s="984">
        <f>SUM(G21:G27)</f>
        <v>0</v>
      </c>
      <c r="H20" s="984">
        <f t="shared" ref="H20:H27" si="3">E20-F20</f>
        <v>0</v>
      </c>
    </row>
    <row r="21" spans="2:8">
      <c r="B21" s="1168" t="s">
        <v>858</v>
      </c>
      <c r="C21" s="989">
        <v>0</v>
      </c>
      <c r="D21" s="989">
        <v>0</v>
      </c>
      <c r="E21" s="986">
        <f t="shared" si="2"/>
        <v>0</v>
      </c>
      <c r="F21" s="989">
        <v>0</v>
      </c>
      <c r="G21" s="989">
        <v>0</v>
      </c>
      <c r="H21" s="986">
        <f t="shared" si="3"/>
        <v>0</v>
      </c>
    </row>
    <row r="22" spans="2:8">
      <c r="B22" s="1168" t="s">
        <v>859</v>
      </c>
      <c r="C22" s="989">
        <v>0</v>
      </c>
      <c r="D22" s="989">
        <v>0</v>
      </c>
      <c r="E22" s="986">
        <f t="shared" si="2"/>
        <v>0</v>
      </c>
      <c r="F22" s="989">
        <v>0</v>
      </c>
      <c r="G22" s="989">
        <v>0</v>
      </c>
      <c r="H22" s="986">
        <f t="shared" si="3"/>
        <v>0</v>
      </c>
    </row>
    <row r="23" spans="2:8">
      <c r="B23" s="1168" t="s">
        <v>860</v>
      </c>
      <c r="C23" s="989">
        <v>0</v>
      </c>
      <c r="D23" s="989">
        <v>0</v>
      </c>
      <c r="E23" s="986">
        <f t="shared" si="2"/>
        <v>0</v>
      </c>
      <c r="F23" s="989">
        <v>0</v>
      </c>
      <c r="G23" s="989">
        <v>0</v>
      </c>
      <c r="H23" s="986">
        <f t="shared" si="3"/>
        <v>0</v>
      </c>
    </row>
    <row r="24" spans="2:8" ht="24">
      <c r="B24" s="1168" t="s">
        <v>861</v>
      </c>
      <c r="C24" s="989">
        <v>0</v>
      </c>
      <c r="D24" s="989">
        <v>0</v>
      </c>
      <c r="E24" s="986">
        <f t="shared" si="2"/>
        <v>0</v>
      </c>
      <c r="F24" s="989">
        <v>0</v>
      </c>
      <c r="G24" s="989">
        <v>0</v>
      </c>
      <c r="H24" s="986">
        <f t="shared" si="3"/>
        <v>0</v>
      </c>
    </row>
    <row r="25" spans="2:8">
      <c r="B25" s="1168" t="s">
        <v>862</v>
      </c>
      <c r="C25" s="974">
        <v>0</v>
      </c>
      <c r="D25" s="974">
        <v>0</v>
      </c>
      <c r="E25" s="1170">
        <f t="shared" si="2"/>
        <v>0</v>
      </c>
      <c r="F25" s="974">
        <v>0</v>
      </c>
      <c r="G25" s="974">
        <v>0</v>
      </c>
      <c r="H25" s="1170">
        <f t="shared" si="3"/>
        <v>0</v>
      </c>
    </row>
    <row r="26" spans="2:8">
      <c r="B26" s="1168" t="s">
        <v>863</v>
      </c>
      <c r="C26" s="989">
        <v>0</v>
      </c>
      <c r="D26" s="989">
        <v>0</v>
      </c>
      <c r="E26" s="986">
        <f t="shared" si="2"/>
        <v>0</v>
      </c>
      <c r="F26" s="989">
        <v>0</v>
      </c>
      <c r="G26" s="989">
        <v>0</v>
      </c>
      <c r="H26" s="986">
        <f t="shared" si="3"/>
        <v>0</v>
      </c>
    </row>
    <row r="27" spans="2:8">
      <c r="B27" s="1168" t="s">
        <v>864</v>
      </c>
      <c r="C27" s="989">
        <v>0</v>
      </c>
      <c r="D27" s="989">
        <v>0</v>
      </c>
      <c r="E27" s="986">
        <f t="shared" si="2"/>
        <v>0</v>
      </c>
      <c r="F27" s="989">
        <v>0</v>
      </c>
      <c r="G27" s="989">
        <v>0</v>
      </c>
      <c r="H27" s="986">
        <f t="shared" si="3"/>
        <v>0</v>
      </c>
    </row>
    <row r="28" spans="2:8" ht="15" customHeight="1">
      <c r="B28" s="1169"/>
      <c r="C28" s="984"/>
      <c r="D28" s="984"/>
      <c r="E28" s="984"/>
      <c r="F28" s="984"/>
      <c r="G28" s="984"/>
      <c r="H28" s="984"/>
    </row>
    <row r="29" spans="2:8" ht="15" customHeight="1">
      <c r="B29" s="1171" t="s">
        <v>5006</v>
      </c>
      <c r="C29" s="984">
        <f>SUM(C30:C38)</f>
        <v>138260283.41649699</v>
      </c>
      <c r="D29" s="984">
        <f>SUM(D30:D38)</f>
        <v>0</v>
      </c>
      <c r="E29" s="984">
        <f t="shared" ref="E29:E38" si="4">C29+D29</f>
        <v>138260283.41649699</v>
      </c>
      <c r="F29" s="984">
        <f>SUM(F30:F38)</f>
        <v>15020502.310000001</v>
      </c>
      <c r="G29" s="984">
        <f>SUM(G30:G38)</f>
        <v>15020502.310000001</v>
      </c>
      <c r="H29" s="984">
        <f t="shared" ref="H29:H38" si="5">E29-F29</f>
        <v>123239781.10649699</v>
      </c>
    </row>
    <row r="30" spans="2:8" ht="24">
      <c r="B30" s="1168" t="s">
        <v>866</v>
      </c>
      <c r="C30" s="989">
        <f>+CFG!D32</f>
        <v>138260283.41649699</v>
      </c>
      <c r="D30" s="989">
        <f>+CFG!E32</f>
        <v>0</v>
      </c>
      <c r="E30" s="986">
        <f t="shared" si="4"/>
        <v>138260283.41649699</v>
      </c>
      <c r="F30" s="989">
        <f>+CFG!G32</f>
        <v>15020502.310000001</v>
      </c>
      <c r="G30" s="989">
        <f>+CFG!H32</f>
        <v>15020502.310000001</v>
      </c>
      <c r="H30" s="986">
        <f t="shared" si="5"/>
        <v>123239781.10649699</v>
      </c>
    </row>
    <row r="31" spans="2:8">
      <c r="B31" s="1168" t="s">
        <v>867</v>
      </c>
      <c r="C31" s="989">
        <v>0</v>
      </c>
      <c r="D31" s="989">
        <v>0</v>
      </c>
      <c r="E31" s="986">
        <f t="shared" si="4"/>
        <v>0</v>
      </c>
      <c r="F31" s="989">
        <v>0</v>
      </c>
      <c r="G31" s="989">
        <v>0</v>
      </c>
      <c r="H31" s="986">
        <f t="shared" si="5"/>
        <v>0</v>
      </c>
    </row>
    <row r="32" spans="2:8">
      <c r="B32" s="1168" t="s">
        <v>868</v>
      </c>
      <c r="C32" s="989">
        <v>0</v>
      </c>
      <c r="D32" s="989">
        <v>0</v>
      </c>
      <c r="E32" s="986">
        <f t="shared" si="4"/>
        <v>0</v>
      </c>
      <c r="F32" s="989">
        <v>0</v>
      </c>
      <c r="G32" s="989">
        <v>0</v>
      </c>
      <c r="H32" s="986">
        <f t="shared" si="5"/>
        <v>0</v>
      </c>
    </row>
    <row r="33" spans="2:8">
      <c r="B33" s="1168" t="s">
        <v>869</v>
      </c>
      <c r="C33" s="989">
        <v>0</v>
      </c>
      <c r="D33" s="989">
        <v>0</v>
      </c>
      <c r="E33" s="986">
        <f t="shared" si="4"/>
        <v>0</v>
      </c>
      <c r="F33" s="989">
        <v>0</v>
      </c>
      <c r="G33" s="989">
        <v>0</v>
      </c>
      <c r="H33" s="986">
        <f t="shared" si="5"/>
        <v>0</v>
      </c>
    </row>
    <row r="34" spans="2:8">
      <c r="B34" s="1168" t="s">
        <v>870</v>
      </c>
      <c r="C34" s="989">
        <v>0</v>
      </c>
      <c r="D34" s="989">
        <v>0</v>
      </c>
      <c r="E34" s="986">
        <f t="shared" si="4"/>
        <v>0</v>
      </c>
      <c r="F34" s="989">
        <v>0</v>
      </c>
      <c r="G34" s="989">
        <v>0</v>
      </c>
      <c r="H34" s="986">
        <f t="shared" si="5"/>
        <v>0</v>
      </c>
    </row>
    <row r="35" spans="2:8">
      <c r="B35" s="1168" t="s">
        <v>871</v>
      </c>
      <c r="C35" s="989">
        <v>0</v>
      </c>
      <c r="D35" s="989">
        <v>0</v>
      </c>
      <c r="E35" s="986">
        <f t="shared" si="4"/>
        <v>0</v>
      </c>
      <c r="F35" s="989">
        <v>0</v>
      </c>
      <c r="G35" s="989">
        <v>0</v>
      </c>
      <c r="H35" s="986">
        <f t="shared" si="5"/>
        <v>0</v>
      </c>
    </row>
    <row r="36" spans="2:8">
      <c r="B36" s="1168" t="s">
        <v>872</v>
      </c>
      <c r="C36" s="989">
        <v>0</v>
      </c>
      <c r="D36" s="989">
        <v>0</v>
      </c>
      <c r="E36" s="986">
        <f t="shared" si="4"/>
        <v>0</v>
      </c>
      <c r="F36" s="989">
        <v>0</v>
      </c>
      <c r="G36" s="989">
        <v>0</v>
      </c>
      <c r="H36" s="986">
        <f t="shared" si="5"/>
        <v>0</v>
      </c>
    </row>
    <row r="37" spans="2:8">
      <c r="B37" s="1168" t="s">
        <v>873</v>
      </c>
      <c r="C37" s="989">
        <v>0</v>
      </c>
      <c r="D37" s="989">
        <v>0</v>
      </c>
      <c r="E37" s="986">
        <f t="shared" si="4"/>
        <v>0</v>
      </c>
      <c r="F37" s="989">
        <v>0</v>
      </c>
      <c r="G37" s="989">
        <v>0</v>
      </c>
      <c r="H37" s="986">
        <f t="shared" si="5"/>
        <v>0</v>
      </c>
    </row>
    <row r="38" spans="2:8">
      <c r="B38" s="1168" t="s">
        <v>874</v>
      </c>
      <c r="C38" s="989">
        <v>0</v>
      </c>
      <c r="D38" s="989">
        <v>0</v>
      </c>
      <c r="E38" s="986">
        <f t="shared" si="4"/>
        <v>0</v>
      </c>
      <c r="F38" s="989">
        <v>0</v>
      </c>
      <c r="G38" s="989">
        <v>0</v>
      </c>
      <c r="H38" s="986">
        <f t="shared" si="5"/>
        <v>0</v>
      </c>
    </row>
    <row r="39" spans="2:8" ht="15" customHeight="1">
      <c r="B39" s="1172"/>
      <c r="C39" s="984"/>
      <c r="D39" s="984"/>
      <c r="E39" s="984"/>
      <c r="F39" s="984"/>
      <c r="G39" s="984"/>
      <c r="H39" s="984"/>
    </row>
    <row r="40" spans="2:8" ht="21.75" customHeight="1">
      <c r="B40" s="1173" t="s">
        <v>875</v>
      </c>
      <c r="C40" s="984">
        <f>SUM(C41:C44)</f>
        <v>0</v>
      </c>
      <c r="D40" s="984">
        <f>SUM(D41:D44)</f>
        <v>0</v>
      </c>
      <c r="E40" s="984">
        <f>C40+D40</f>
        <v>0</v>
      </c>
      <c r="F40" s="984">
        <f>SUM(F41:F44)</f>
        <v>0</v>
      </c>
      <c r="G40" s="984">
        <f>SUM(G41:G44)</f>
        <v>0</v>
      </c>
      <c r="H40" s="984">
        <f>E40-F40</f>
        <v>0</v>
      </c>
    </row>
    <row r="41" spans="2:8" ht="24">
      <c r="B41" s="1168" t="s">
        <v>876</v>
      </c>
      <c r="C41" s="989">
        <v>0</v>
      </c>
      <c r="D41" s="989">
        <v>0</v>
      </c>
      <c r="E41" s="986">
        <f>C41+D41</f>
        <v>0</v>
      </c>
      <c r="F41" s="989">
        <v>0</v>
      </c>
      <c r="G41" s="989">
        <v>0</v>
      </c>
      <c r="H41" s="986">
        <f>E41-F41</f>
        <v>0</v>
      </c>
    </row>
    <row r="42" spans="2:8" ht="24">
      <c r="B42" s="1168" t="s">
        <v>5007</v>
      </c>
      <c r="C42" s="989">
        <v>0</v>
      </c>
      <c r="D42" s="989">
        <v>0</v>
      </c>
      <c r="E42" s="986">
        <f>C42+D42</f>
        <v>0</v>
      </c>
      <c r="F42" s="989">
        <v>0</v>
      </c>
      <c r="G42" s="989">
        <v>0</v>
      </c>
      <c r="H42" s="986">
        <f>E42-F42</f>
        <v>0</v>
      </c>
    </row>
    <row r="43" spans="2:8">
      <c r="B43" s="1168" t="s">
        <v>878</v>
      </c>
      <c r="C43" s="989">
        <v>0</v>
      </c>
      <c r="D43" s="989">
        <v>0</v>
      </c>
      <c r="E43" s="986">
        <f>C43+D43</f>
        <v>0</v>
      </c>
      <c r="F43" s="989">
        <v>0</v>
      </c>
      <c r="G43" s="989">
        <v>0</v>
      </c>
      <c r="H43" s="986">
        <f>E43-F43</f>
        <v>0</v>
      </c>
    </row>
    <row r="44" spans="2:8">
      <c r="B44" s="1168" t="s">
        <v>879</v>
      </c>
      <c r="C44" s="989">
        <v>0</v>
      </c>
      <c r="D44" s="989">
        <v>0</v>
      </c>
      <c r="E44" s="986">
        <f>C44+D44</f>
        <v>0</v>
      </c>
      <c r="F44" s="989">
        <v>0</v>
      </c>
      <c r="G44" s="989">
        <v>0</v>
      </c>
      <c r="H44" s="986">
        <f>E44-F44</f>
        <v>0</v>
      </c>
    </row>
    <row r="45" spans="2:8" ht="15" customHeight="1" thickBot="1">
      <c r="B45" s="1172"/>
      <c r="C45" s="984"/>
      <c r="D45" s="984"/>
      <c r="E45" s="984"/>
      <c r="F45" s="984"/>
      <c r="G45" s="984"/>
      <c r="H45" s="984"/>
    </row>
    <row r="46" spans="2:8" ht="15" customHeight="1" thickBot="1">
      <c r="B46" s="1174"/>
      <c r="C46" s="1175">
        <f>SUM(C40,C29,C10,C20)</f>
        <v>138260283.41649699</v>
      </c>
      <c r="D46" s="1175">
        <f>SUM(D40,D29,D20,D10)</f>
        <v>0</v>
      </c>
      <c r="E46" s="1175">
        <f>C46+D46</f>
        <v>138260283.41649699</v>
      </c>
      <c r="F46" s="1175">
        <f>SUM(F40,F29,F10,F20)</f>
        <v>15020502.310000001</v>
      </c>
      <c r="G46" s="1175">
        <f>SUM(G40,G29,G20,G10)</f>
        <v>15020502.310000001</v>
      </c>
      <c r="H46" s="1175">
        <f>E46-F46</f>
        <v>123239781.10649699</v>
      </c>
    </row>
    <row r="47" spans="2:8">
      <c r="B47" s="1"/>
      <c r="C47" s="1"/>
      <c r="D47" s="1"/>
      <c r="E47" s="1"/>
      <c r="F47" s="1"/>
      <c r="G47" s="1"/>
      <c r="H47" s="1"/>
    </row>
    <row r="53" ht="18" customHeight="1"/>
    <row r="55" ht="15" customHeight="1"/>
    <row r="56" ht="15" customHeight="1"/>
    <row r="64" ht="15" customHeight="1"/>
    <row r="65" ht="15" customHeight="1"/>
    <row r="75" ht="15" customHeight="1"/>
    <row r="76" ht="24.75" customHeight="1"/>
    <row r="81" ht="15" customHeight="1"/>
  </sheetData>
  <mergeCells count="7">
    <mergeCell ref="B2:H2"/>
    <mergeCell ref="B3:H3"/>
    <mergeCell ref="B4:H4"/>
    <mergeCell ref="B5:H5"/>
    <mergeCell ref="B6:B8"/>
    <mergeCell ref="C6:G6"/>
    <mergeCell ref="H6:H7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E9635-CFF5-46B2-BBB5-E46C88B0B291}">
  <dimension ref="B1:I84"/>
  <sheetViews>
    <sheetView topLeftCell="A22" workbookViewId="0">
      <selection activeCell="D31" sqref="D31"/>
    </sheetView>
  </sheetViews>
  <sheetFormatPr baseColWidth="10" defaultColWidth="11.5703125" defaultRowHeight="15"/>
  <cols>
    <col min="1" max="1" width="3.7109375" style="900" customWidth="1"/>
    <col min="2" max="2" width="42.85546875" style="900" customWidth="1"/>
    <col min="3" max="3" width="14.42578125" style="900" bestFit="1" customWidth="1"/>
    <col min="4" max="4" width="13.85546875" style="900" customWidth="1"/>
    <col min="5" max="8" width="14.42578125" style="900" bestFit="1" customWidth="1"/>
    <col min="9" max="9" width="3.7109375" style="900" customWidth="1"/>
    <col min="10" max="16384" width="11.5703125" style="900"/>
  </cols>
  <sheetData>
    <row r="1" spans="2:9" ht="15" customHeight="1" thickBot="1"/>
    <row r="2" spans="2:9">
      <c r="B2" s="1864" t="s">
        <v>2992</v>
      </c>
      <c r="C2" s="1865"/>
      <c r="D2" s="1865"/>
      <c r="E2" s="1865"/>
      <c r="F2" s="1865"/>
      <c r="G2" s="1865"/>
      <c r="H2" s="1866"/>
      <c r="I2" s="901" t="s">
        <v>5005</v>
      </c>
    </row>
    <row r="3" spans="2:9">
      <c r="B3" s="1859" t="s">
        <v>5240</v>
      </c>
      <c r="C3" s="1860"/>
      <c r="D3" s="1860"/>
      <c r="E3" s="1860"/>
      <c r="F3" s="1860"/>
      <c r="G3" s="1860"/>
      <c r="H3" s="1867"/>
    </row>
    <row r="4" spans="2:9">
      <c r="B4" s="1859" t="s">
        <v>848</v>
      </c>
      <c r="C4" s="1860"/>
      <c r="D4" s="1860"/>
      <c r="E4" s="1860"/>
      <c r="F4" s="1860"/>
      <c r="G4" s="1860"/>
      <c r="H4" s="1867"/>
    </row>
    <row r="5" spans="2:9">
      <c r="B5" s="1868"/>
      <c r="C5" s="1869"/>
      <c r="D5" s="1869"/>
      <c r="E5" s="1869"/>
      <c r="F5" s="1869"/>
      <c r="G5" s="1869"/>
      <c r="H5" s="1870"/>
    </row>
    <row r="6" spans="2:9" ht="15.75" thickBot="1">
      <c r="B6" s="1871" t="s">
        <v>5022</v>
      </c>
      <c r="C6" s="1872"/>
      <c r="D6" s="1872"/>
      <c r="E6" s="1872"/>
      <c r="F6" s="1872"/>
      <c r="G6" s="1872"/>
      <c r="H6" s="1873"/>
    </row>
    <row r="7" spans="2:9" ht="15.75" thickBot="1">
      <c r="B7" s="1862" t="s">
        <v>5023</v>
      </c>
      <c r="C7" s="1837" t="s">
        <v>75</v>
      </c>
      <c r="D7" s="1837"/>
      <c r="E7" s="1837"/>
      <c r="F7" s="1837"/>
      <c r="G7" s="1838"/>
      <c r="H7" s="1834" t="s">
        <v>5241</v>
      </c>
    </row>
    <row r="8" spans="2:9" ht="24.75" thickBot="1">
      <c r="B8" s="1863"/>
      <c r="C8" s="1327" t="s">
        <v>5137</v>
      </c>
      <c r="D8" s="1327" t="s">
        <v>4952</v>
      </c>
      <c r="E8" s="1327" t="s">
        <v>4953</v>
      </c>
      <c r="F8" s="1327" t="s">
        <v>236</v>
      </c>
      <c r="G8" s="1327" t="s">
        <v>823</v>
      </c>
      <c r="H8" s="1835"/>
    </row>
    <row r="9" spans="2:9">
      <c r="B9" s="1337"/>
      <c r="C9" s="1338"/>
      <c r="D9" s="1338"/>
      <c r="E9" s="1338"/>
      <c r="F9" s="1338"/>
      <c r="G9" s="1338"/>
      <c r="H9" s="1338"/>
    </row>
    <row r="10" spans="2:9" ht="16.5" customHeight="1">
      <c r="B10" s="1171" t="s">
        <v>5330</v>
      </c>
      <c r="C10" s="984">
        <f>SUM(C11,C21,C30,C41)</f>
        <v>138260283.41649699</v>
      </c>
      <c r="D10" s="984">
        <f t="shared" ref="D10:H10" si="0">SUM(D11,D21,D30,D41)</f>
        <v>0</v>
      </c>
      <c r="E10" s="984">
        <f t="shared" si="0"/>
        <v>138260283.41649699</v>
      </c>
      <c r="F10" s="984">
        <f t="shared" si="0"/>
        <v>15020502.310000001</v>
      </c>
      <c r="G10" s="984">
        <f t="shared" si="0"/>
        <v>15020502.310000001</v>
      </c>
      <c r="H10" s="984">
        <f t="shared" si="0"/>
        <v>123239781.10649699</v>
      </c>
    </row>
    <row r="11" spans="2:9">
      <c r="B11" s="1339" t="s">
        <v>5331</v>
      </c>
      <c r="C11" s="984">
        <f>SUM(C12:C19)</f>
        <v>0</v>
      </c>
      <c r="D11" s="984">
        <f t="shared" ref="D11:H11" si="1">SUM(D12:D19)</f>
        <v>0</v>
      </c>
      <c r="E11" s="984">
        <f t="shared" si="1"/>
        <v>0</v>
      </c>
      <c r="F11" s="984">
        <f t="shared" si="1"/>
        <v>0</v>
      </c>
      <c r="G11" s="984">
        <f t="shared" si="1"/>
        <v>0</v>
      </c>
      <c r="H11" s="984">
        <f t="shared" si="1"/>
        <v>0</v>
      </c>
    </row>
    <row r="12" spans="2:9">
      <c r="B12" s="1168" t="s">
        <v>5332</v>
      </c>
      <c r="C12" s="989">
        <v>0</v>
      </c>
      <c r="D12" s="989">
        <v>0</v>
      </c>
      <c r="E12" s="986">
        <f>SUM(C12:D12)</f>
        <v>0</v>
      </c>
      <c r="F12" s="989">
        <v>0</v>
      </c>
      <c r="G12" s="989">
        <v>0</v>
      </c>
      <c r="H12" s="986">
        <f>SUM(E12-F12)</f>
        <v>0</v>
      </c>
    </row>
    <row r="13" spans="2:9">
      <c r="B13" s="1168" t="s">
        <v>5333</v>
      </c>
      <c r="C13" s="989">
        <v>0</v>
      </c>
      <c r="D13" s="989">
        <v>0</v>
      </c>
      <c r="E13" s="986">
        <f t="shared" ref="E13:E19" si="2">SUM(C13:D13)</f>
        <v>0</v>
      </c>
      <c r="F13" s="989">
        <v>0</v>
      </c>
      <c r="G13" s="989">
        <v>0</v>
      </c>
      <c r="H13" s="986">
        <f t="shared" ref="H13:H19" si="3">SUM(E13-F13)</f>
        <v>0</v>
      </c>
    </row>
    <row r="14" spans="2:9">
      <c r="B14" s="1168" t="s">
        <v>5334</v>
      </c>
      <c r="C14" s="989">
        <v>0</v>
      </c>
      <c r="D14" s="989">
        <v>0</v>
      </c>
      <c r="E14" s="986">
        <f t="shared" si="2"/>
        <v>0</v>
      </c>
      <c r="F14" s="989">
        <v>0</v>
      </c>
      <c r="G14" s="989">
        <v>0</v>
      </c>
      <c r="H14" s="986">
        <f>SUM(E14-F14)</f>
        <v>0</v>
      </c>
    </row>
    <row r="15" spans="2:9">
      <c r="B15" s="1168" t="s">
        <v>5335</v>
      </c>
      <c r="C15" s="989">
        <v>0</v>
      </c>
      <c r="D15" s="989">
        <v>0</v>
      </c>
      <c r="E15" s="986">
        <f t="shared" si="2"/>
        <v>0</v>
      </c>
      <c r="F15" s="989">
        <v>0</v>
      </c>
      <c r="G15" s="989">
        <v>0</v>
      </c>
      <c r="H15" s="986">
        <f t="shared" si="3"/>
        <v>0</v>
      </c>
    </row>
    <row r="16" spans="2:9">
      <c r="B16" s="1168" t="s">
        <v>5336</v>
      </c>
      <c r="C16" s="989">
        <v>0</v>
      </c>
      <c r="D16" s="989">
        <v>0</v>
      </c>
      <c r="E16" s="986">
        <f t="shared" si="2"/>
        <v>0</v>
      </c>
      <c r="F16" s="989">
        <v>0</v>
      </c>
      <c r="G16" s="989">
        <v>0</v>
      </c>
      <c r="H16" s="986">
        <f t="shared" si="3"/>
        <v>0</v>
      </c>
    </row>
    <row r="17" spans="2:8">
      <c r="B17" s="1168" t="s">
        <v>5337</v>
      </c>
      <c r="C17" s="989">
        <v>0</v>
      </c>
      <c r="D17" s="989">
        <v>0</v>
      </c>
      <c r="E17" s="986">
        <f t="shared" si="2"/>
        <v>0</v>
      </c>
      <c r="F17" s="989">
        <v>0</v>
      </c>
      <c r="G17" s="989">
        <v>0</v>
      </c>
      <c r="H17" s="986">
        <f t="shared" si="3"/>
        <v>0</v>
      </c>
    </row>
    <row r="18" spans="2:8" ht="30" customHeight="1">
      <c r="B18" s="1168" t="s">
        <v>5338</v>
      </c>
      <c r="C18" s="989">
        <v>0</v>
      </c>
      <c r="D18" s="989">
        <v>0</v>
      </c>
      <c r="E18" s="986">
        <f t="shared" si="2"/>
        <v>0</v>
      </c>
      <c r="F18" s="989">
        <v>0</v>
      </c>
      <c r="G18" s="989">
        <v>0</v>
      </c>
      <c r="H18" s="986">
        <f t="shared" si="3"/>
        <v>0</v>
      </c>
    </row>
    <row r="19" spans="2:8">
      <c r="B19" s="1168" t="s">
        <v>5339</v>
      </c>
      <c r="C19" s="989">
        <v>0</v>
      </c>
      <c r="D19" s="989">
        <v>0</v>
      </c>
      <c r="E19" s="986">
        <f t="shared" si="2"/>
        <v>0</v>
      </c>
      <c r="F19" s="989">
        <v>0</v>
      </c>
      <c r="G19" s="989">
        <v>0</v>
      </c>
      <c r="H19" s="986">
        <f t="shared" si="3"/>
        <v>0</v>
      </c>
    </row>
    <row r="20" spans="2:8" ht="15" customHeight="1">
      <c r="B20" s="1340"/>
      <c r="C20" s="984"/>
      <c r="D20" s="984"/>
      <c r="E20" s="984"/>
      <c r="F20" s="984"/>
      <c r="G20" s="984"/>
      <c r="H20" s="984"/>
    </row>
    <row r="21" spans="2:8" ht="15" customHeight="1">
      <c r="B21" s="1340" t="s">
        <v>5340</v>
      </c>
      <c r="C21" s="984">
        <f>SUM(C22:C28)</f>
        <v>0</v>
      </c>
      <c r="D21" s="984">
        <f t="shared" ref="D21:H21" si="4">SUM(D22:D28)</f>
        <v>0</v>
      </c>
      <c r="E21" s="984">
        <f t="shared" si="4"/>
        <v>0</v>
      </c>
      <c r="F21" s="984">
        <f t="shared" si="4"/>
        <v>0</v>
      </c>
      <c r="G21" s="984">
        <f t="shared" si="4"/>
        <v>0</v>
      </c>
      <c r="H21" s="984">
        <f t="shared" si="4"/>
        <v>0</v>
      </c>
    </row>
    <row r="22" spans="2:8">
      <c r="B22" s="1168" t="s">
        <v>5341</v>
      </c>
      <c r="C22" s="989">
        <v>0</v>
      </c>
      <c r="D22" s="989">
        <v>0</v>
      </c>
      <c r="E22" s="986">
        <f t="shared" ref="E22:E28" si="5">SUM(C22:D22)</f>
        <v>0</v>
      </c>
      <c r="F22" s="989">
        <v>0</v>
      </c>
      <c r="G22" s="989">
        <v>0</v>
      </c>
      <c r="H22" s="986">
        <f t="shared" ref="H22:H28" si="6">SUM(E22-F22)</f>
        <v>0</v>
      </c>
    </row>
    <row r="23" spans="2:8">
      <c r="B23" s="1168" t="s">
        <v>5342</v>
      </c>
      <c r="C23" s="989">
        <v>0</v>
      </c>
      <c r="D23" s="989">
        <v>0</v>
      </c>
      <c r="E23" s="986">
        <f t="shared" si="5"/>
        <v>0</v>
      </c>
      <c r="F23" s="989">
        <v>0</v>
      </c>
      <c r="G23" s="989">
        <v>0</v>
      </c>
      <c r="H23" s="986">
        <f t="shared" si="6"/>
        <v>0</v>
      </c>
    </row>
    <row r="24" spans="2:8">
      <c r="B24" s="1168" t="s">
        <v>5343</v>
      </c>
      <c r="C24" s="989">
        <v>0</v>
      </c>
      <c r="D24" s="989">
        <v>0</v>
      </c>
      <c r="E24" s="986">
        <f t="shared" si="5"/>
        <v>0</v>
      </c>
      <c r="F24" s="989">
        <v>0</v>
      </c>
      <c r="G24" s="989">
        <v>0</v>
      </c>
      <c r="H24" s="986">
        <f t="shared" si="6"/>
        <v>0</v>
      </c>
    </row>
    <row r="25" spans="2:8" ht="24">
      <c r="B25" s="1168" t="s">
        <v>5344</v>
      </c>
      <c r="C25" s="989">
        <v>0</v>
      </c>
      <c r="D25" s="989">
        <v>0</v>
      </c>
      <c r="E25" s="986">
        <f t="shared" si="5"/>
        <v>0</v>
      </c>
      <c r="F25" s="989">
        <v>0</v>
      </c>
      <c r="G25" s="989">
        <v>0</v>
      </c>
      <c r="H25" s="986">
        <f t="shared" si="6"/>
        <v>0</v>
      </c>
    </row>
    <row r="26" spans="2:8">
      <c r="B26" s="1168" t="s">
        <v>5345</v>
      </c>
      <c r="C26" s="974">
        <v>0</v>
      </c>
      <c r="D26" s="974">
        <v>0</v>
      </c>
      <c r="E26" s="986">
        <f t="shared" si="5"/>
        <v>0</v>
      </c>
      <c r="F26" s="974">
        <v>0</v>
      </c>
      <c r="G26" s="974">
        <v>0</v>
      </c>
      <c r="H26" s="986">
        <f t="shared" si="6"/>
        <v>0</v>
      </c>
    </row>
    <row r="27" spans="2:8">
      <c r="B27" s="1168" t="s">
        <v>5346</v>
      </c>
      <c r="C27" s="989">
        <v>0</v>
      </c>
      <c r="D27" s="989">
        <v>0</v>
      </c>
      <c r="E27" s="986">
        <f t="shared" si="5"/>
        <v>0</v>
      </c>
      <c r="F27" s="989">
        <v>0</v>
      </c>
      <c r="G27" s="989">
        <v>0</v>
      </c>
      <c r="H27" s="986">
        <f t="shared" si="6"/>
        <v>0</v>
      </c>
    </row>
    <row r="28" spans="2:8">
      <c r="B28" s="1168" t="s">
        <v>5347</v>
      </c>
      <c r="C28" s="989">
        <v>0</v>
      </c>
      <c r="D28" s="989">
        <v>0</v>
      </c>
      <c r="E28" s="986">
        <f t="shared" si="5"/>
        <v>0</v>
      </c>
      <c r="F28" s="989">
        <v>0</v>
      </c>
      <c r="G28" s="989">
        <v>0</v>
      </c>
      <c r="H28" s="986">
        <f t="shared" si="6"/>
        <v>0</v>
      </c>
    </row>
    <row r="29" spans="2:8" ht="15" customHeight="1">
      <c r="B29" s="1340"/>
      <c r="C29" s="984"/>
      <c r="D29" s="984"/>
      <c r="E29" s="984"/>
      <c r="F29" s="984"/>
      <c r="G29" s="984"/>
      <c r="H29" s="984"/>
    </row>
    <row r="30" spans="2:8" ht="30" customHeight="1">
      <c r="B30" s="1340" t="s">
        <v>5348</v>
      </c>
      <c r="C30" s="984">
        <f>SUM(C31:C39)</f>
        <v>138260283.41649699</v>
      </c>
      <c r="D30" s="984">
        <f t="shared" ref="D30:H30" si="7">SUM(D31:D39)</f>
        <v>0</v>
      </c>
      <c r="E30" s="984">
        <f t="shared" si="7"/>
        <v>138260283.41649699</v>
      </c>
      <c r="F30" s="984">
        <f t="shared" si="7"/>
        <v>15020502.310000001</v>
      </c>
      <c r="G30" s="984">
        <f t="shared" si="7"/>
        <v>15020502.310000001</v>
      </c>
      <c r="H30" s="984">
        <f t="shared" si="7"/>
        <v>123239781.10649699</v>
      </c>
    </row>
    <row r="31" spans="2:8" ht="24">
      <c r="B31" s="1168" t="s">
        <v>5349</v>
      </c>
      <c r="C31" s="989">
        <f>+CFG!D32</f>
        <v>138260283.41649699</v>
      </c>
      <c r="D31" s="989">
        <f>+CFG!E32</f>
        <v>0</v>
      </c>
      <c r="E31" s="986">
        <f t="shared" ref="E31:E39" si="8">SUM(C31:D31)</f>
        <v>138260283.41649699</v>
      </c>
      <c r="F31" s="989">
        <f>+CFG!G32</f>
        <v>15020502.310000001</v>
      </c>
      <c r="G31" s="989">
        <f>+CFG!H32</f>
        <v>15020502.310000001</v>
      </c>
      <c r="H31" s="986">
        <f t="shared" ref="H31:H39" si="9">SUM(E31-F31)</f>
        <v>123239781.10649699</v>
      </c>
    </row>
    <row r="32" spans="2:8">
      <c r="B32" s="1168" t="s">
        <v>5350</v>
      </c>
      <c r="C32" s="989">
        <v>0</v>
      </c>
      <c r="D32" s="989">
        <v>0</v>
      </c>
      <c r="E32" s="986">
        <f t="shared" si="8"/>
        <v>0</v>
      </c>
      <c r="F32" s="989">
        <v>0</v>
      </c>
      <c r="G32" s="989">
        <v>0</v>
      </c>
      <c r="H32" s="986">
        <f t="shared" si="9"/>
        <v>0</v>
      </c>
    </row>
    <row r="33" spans="2:8">
      <c r="B33" s="1168" t="s">
        <v>5351</v>
      </c>
      <c r="C33" s="989">
        <v>0</v>
      </c>
      <c r="D33" s="989">
        <v>0</v>
      </c>
      <c r="E33" s="986">
        <f t="shared" si="8"/>
        <v>0</v>
      </c>
      <c r="F33" s="989">
        <v>0</v>
      </c>
      <c r="G33" s="989">
        <v>0</v>
      </c>
      <c r="H33" s="986">
        <f t="shared" si="9"/>
        <v>0</v>
      </c>
    </row>
    <row r="34" spans="2:8">
      <c r="B34" s="1168" t="s">
        <v>5352</v>
      </c>
      <c r="C34" s="989">
        <v>0</v>
      </c>
      <c r="D34" s="989">
        <v>0</v>
      </c>
      <c r="E34" s="986">
        <f t="shared" si="8"/>
        <v>0</v>
      </c>
      <c r="F34" s="989">
        <v>0</v>
      </c>
      <c r="G34" s="989">
        <v>0</v>
      </c>
      <c r="H34" s="986">
        <f t="shared" si="9"/>
        <v>0</v>
      </c>
    </row>
    <row r="35" spans="2:8">
      <c r="B35" s="1168" t="s">
        <v>5353</v>
      </c>
      <c r="C35" s="989">
        <v>0</v>
      </c>
      <c r="D35" s="989">
        <v>0</v>
      </c>
      <c r="E35" s="986">
        <f t="shared" si="8"/>
        <v>0</v>
      </c>
      <c r="F35" s="989">
        <v>0</v>
      </c>
      <c r="G35" s="989">
        <v>0</v>
      </c>
      <c r="H35" s="986">
        <f t="shared" si="9"/>
        <v>0</v>
      </c>
    </row>
    <row r="36" spans="2:8">
      <c r="B36" s="1168" t="s">
        <v>5354</v>
      </c>
      <c r="C36" s="989">
        <v>0</v>
      </c>
      <c r="D36" s="989">
        <v>0</v>
      </c>
      <c r="E36" s="986">
        <f t="shared" si="8"/>
        <v>0</v>
      </c>
      <c r="F36" s="989">
        <v>0</v>
      </c>
      <c r="G36" s="989">
        <v>0</v>
      </c>
      <c r="H36" s="986">
        <f t="shared" si="9"/>
        <v>0</v>
      </c>
    </row>
    <row r="37" spans="2:8">
      <c r="B37" s="1168" t="s">
        <v>5355</v>
      </c>
      <c r="C37" s="989">
        <v>0</v>
      </c>
      <c r="D37" s="989">
        <v>0</v>
      </c>
      <c r="E37" s="986">
        <f t="shared" si="8"/>
        <v>0</v>
      </c>
      <c r="F37" s="989">
        <v>0</v>
      </c>
      <c r="G37" s="989">
        <v>0</v>
      </c>
      <c r="H37" s="986">
        <f t="shared" si="9"/>
        <v>0</v>
      </c>
    </row>
    <row r="38" spans="2:8">
      <c r="B38" s="1168" t="s">
        <v>5356</v>
      </c>
      <c r="C38" s="989">
        <v>0</v>
      </c>
      <c r="D38" s="989">
        <v>0</v>
      </c>
      <c r="E38" s="986">
        <f t="shared" si="8"/>
        <v>0</v>
      </c>
      <c r="F38" s="989">
        <v>0</v>
      </c>
      <c r="G38" s="989">
        <v>0</v>
      </c>
      <c r="H38" s="986">
        <f t="shared" si="9"/>
        <v>0</v>
      </c>
    </row>
    <row r="39" spans="2:8" ht="24">
      <c r="B39" s="1168" t="s">
        <v>5357</v>
      </c>
      <c r="C39" s="989">
        <v>0</v>
      </c>
      <c r="D39" s="989">
        <v>0</v>
      </c>
      <c r="E39" s="986">
        <f t="shared" si="8"/>
        <v>0</v>
      </c>
      <c r="F39" s="989">
        <v>0</v>
      </c>
      <c r="G39" s="989">
        <v>0</v>
      </c>
      <c r="H39" s="986">
        <f t="shared" si="9"/>
        <v>0</v>
      </c>
    </row>
    <row r="40" spans="2:8" ht="15" customHeight="1">
      <c r="B40" s="1340"/>
      <c r="C40" s="984"/>
      <c r="D40" s="984"/>
      <c r="E40" s="984"/>
      <c r="F40" s="984"/>
      <c r="G40" s="984"/>
      <c r="H40" s="984"/>
    </row>
    <row r="41" spans="2:8" ht="21.75" customHeight="1">
      <c r="B41" s="1340" t="s">
        <v>5358</v>
      </c>
      <c r="C41" s="984">
        <f>SUM(C42:C45)</f>
        <v>0</v>
      </c>
      <c r="D41" s="984">
        <f t="shared" ref="D41:G41" si="10">SUM(D42:D45)</f>
        <v>0</v>
      </c>
      <c r="E41" s="984">
        <f t="shared" si="10"/>
        <v>0</v>
      </c>
      <c r="F41" s="984">
        <f t="shared" si="10"/>
        <v>0</v>
      </c>
      <c r="G41" s="984">
        <f t="shared" si="10"/>
        <v>0</v>
      </c>
      <c r="H41" s="984">
        <f>SUM(H42:H45)</f>
        <v>0</v>
      </c>
    </row>
    <row r="42" spans="2:8" ht="24">
      <c r="B42" s="1168" t="s">
        <v>5359</v>
      </c>
      <c r="C42" s="989">
        <v>0</v>
      </c>
      <c r="D42" s="989">
        <v>0</v>
      </c>
      <c r="E42" s="986">
        <f t="shared" ref="E42:E45" si="11">SUM(C42:D42)</f>
        <v>0</v>
      </c>
      <c r="F42" s="989">
        <v>0</v>
      </c>
      <c r="G42" s="989">
        <v>0</v>
      </c>
      <c r="H42" s="986">
        <f t="shared" ref="H42:H45" si="12">SUM(E42-F42)</f>
        <v>0</v>
      </c>
    </row>
    <row r="43" spans="2:8" ht="36">
      <c r="B43" s="1168" t="s">
        <v>5360</v>
      </c>
      <c r="C43" s="989">
        <v>0</v>
      </c>
      <c r="D43" s="989">
        <v>0</v>
      </c>
      <c r="E43" s="986">
        <f t="shared" si="11"/>
        <v>0</v>
      </c>
      <c r="F43" s="989">
        <v>0</v>
      </c>
      <c r="G43" s="989">
        <v>0</v>
      </c>
      <c r="H43" s="986">
        <f t="shared" si="12"/>
        <v>0</v>
      </c>
    </row>
    <row r="44" spans="2:8">
      <c r="B44" s="1168" t="s">
        <v>5361</v>
      </c>
      <c r="C44" s="989">
        <v>0</v>
      </c>
      <c r="D44" s="989">
        <v>0</v>
      </c>
      <c r="E44" s="986">
        <f t="shared" si="11"/>
        <v>0</v>
      </c>
      <c r="F44" s="989">
        <v>0</v>
      </c>
      <c r="G44" s="989">
        <v>0</v>
      </c>
      <c r="H44" s="986">
        <f t="shared" si="12"/>
        <v>0</v>
      </c>
    </row>
    <row r="45" spans="2:8">
      <c r="B45" s="1168" t="s">
        <v>5362</v>
      </c>
      <c r="C45" s="989">
        <v>0</v>
      </c>
      <c r="D45" s="989">
        <v>0</v>
      </c>
      <c r="E45" s="986">
        <f t="shared" si="11"/>
        <v>0</v>
      </c>
      <c r="F45" s="989">
        <v>0</v>
      </c>
      <c r="G45" s="989">
        <v>0</v>
      </c>
      <c r="H45" s="986">
        <f t="shared" si="12"/>
        <v>0</v>
      </c>
    </row>
    <row r="46" spans="2:8" ht="15" customHeight="1">
      <c r="B46" s="1340"/>
      <c r="C46" s="984"/>
      <c r="D46" s="984"/>
      <c r="E46" s="984"/>
      <c r="F46" s="984"/>
      <c r="G46" s="984"/>
      <c r="H46" s="984"/>
    </row>
    <row r="47" spans="2:8" ht="15" customHeight="1">
      <c r="B47" s="1173" t="s">
        <v>5363</v>
      </c>
      <c r="C47" s="984">
        <f>SUM(C48,C58,C67,C78)</f>
        <v>0</v>
      </c>
      <c r="D47" s="984">
        <f t="shared" ref="D47:H47" si="13">SUM(D48,D58,D67,D78)</f>
        <v>0</v>
      </c>
      <c r="E47" s="984">
        <f t="shared" si="13"/>
        <v>0</v>
      </c>
      <c r="F47" s="984">
        <f t="shared" si="13"/>
        <v>0</v>
      </c>
      <c r="G47" s="984">
        <f t="shared" si="13"/>
        <v>0</v>
      </c>
      <c r="H47" s="984">
        <f t="shared" si="13"/>
        <v>0</v>
      </c>
    </row>
    <row r="48" spans="2:8" ht="15" customHeight="1">
      <c r="B48" s="1340" t="s">
        <v>5331</v>
      </c>
      <c r="C48" s="984">
        <f>SUM(C49:C56)</f>
        <v>0</v>
      </c>
      <c r="D48" s="984">
        <f t="shared" ref="D48:H48" si="14">SUM(D49:D56)</f>
        <v>0</v>
      </c>
      <c r="E48" s="984">
        <f t="shared" si="14"/>
        <v>0</v>
      </c>
      <c r="F48" s="984">
        <f t="shared" si="14"/>
        <v>0</v>
      </c>
      <c r="G48" s="984">
        <f t="shared" si="14"/>
        <v>0</v>
      </c>
      <c r="H48" s="984">
        <f t="shared" si="14"/>
        <v>0</v>
      </c>
    </row>
    <row r="49" spans="2:8">
      <c r="B49" s="1168" t="s">
        <v>5332</v>
      </c>
      <c r="C49" s="989">
        <v>0</v>
      </c>
      <c r="D49" s="989">
        <v>0</v>
      </c>
      <c r="E49" s="986">
        <f t="shared" ref="E49:E56" si="15">SUM(C49:D49)</f>
        <v>0</v>
      </c>
      <c r="F49" s="989">
        <v>0</v>
      </c>
      <c r="G49" s="989">
        <v>0</v>
      </c>
      <c r="H49" s="986">
        <f t="shared" ref="H49:H56" si="16">SUM(E49-F49)</f>
        <v>0</v>
      </c>
    </row>
    <row r="50" spans="2:8">
      <c r="B50" s="1168" t="s">
        <v>5333</v>
      </c>
      <c r="C50" s="989">
        <v>0</v>
      </c>
      <c r="D50" s="989">
        <v>0</v>
      </c>
      <c r="E50" s="986">
        <f t="shared" si="15"/>
        <v>0</v>
      </c>
      <c r="F50" s="989">
        <v>0</v>
      </c>
      <c r="G50" s="989">
        <v>0</v>
      </c>
      <c r="H50" s="986">
        <f t="shared" si="16"/>
        <v>0</v>
      </c>
    </row>
    <row r="51" spans="2:8">
      <c r="B51" s="1168" t="s">
        <v>5334</v>
      </c>
      <c r="C51" s="989">
        <v>0</v>
      </c>
      <c r="D51" s="989">
        <v>0</v>
      </c>
      <c r="E51" s="986">
        <f t="shared" si="15"/>
        <v>0</v>
      </c>
      <c r="F51" s="989">
        <v>0</v>
      </c>
      <c r="G51" s="989">
        <v>0</v>
      </c>
      <c r="H51" s="986">
        <f t="shared" si="16"/>
        <v>0</v>
      </c>
    </row>
    <row r="52" spans="2:8">
      <c r="B52" s="1168" t="s">
        <v>5335</v>
      </c>
      <c r="C52" s="989">
        <v>0</v>
      </c>
      <c r="D52" s="989">
        <v>0</v>
      </c>
      <c r="E52" s="986">
        <f t="shared" si="15"/>
        <v>0</v>
      </c>
      <c r="F52" s="989">
        <v>0</v>
      </c>
      <c r="G52" s="989">
        <v>0</v>
      </c>
      <c r="H52" s="986">
        <f t="shared" si="16"/>
        <v>0</v>
      </c>
    </row>
    <row r="53" spans="2:8">
      <c r="B53" s="1168" t="s">
        <v>5336</v>
      </c>
      <c r="C53" s="989">
        <v>0</v>
      </c>
      <c r="D53" s="989">
        <v>0</v>
      </c>
      <c r="E53" s="986">
        <f t="shared" si="15"/>
        <v>0</v>
      </c>
      <c r="F53" s="989">
        <v>0</v>
      </c>
      <c r="G53" s="989">
        <v>0</v>
      </c>
      <c r="H53" s="986">
        <f t="shared" si="16"/>
        <v>0</v>
      </c>
    </row>
    <row r="54" spans="2:8">
      <c r="B54" s="1168" t="s">
        <v>5337</v>
      </c>
      <c r="C54" s="989">
        <v>0</v>
      </c>
      <c r="D54" s="989">
        <v>0</v>
      </c>
      <c r="E54" s="986">
        <f t="shared" si="15"/>
        <v>0</v>
      </c>
      <c r="F54" s="989">
        <v>0</v>
      </c>
      <c r="G54" s="989">
        <v>0</v>
      </c>
      <c r="H54" s="986">
        <f t="shared" si="16"/>
        <v>0</v>
      </c>
    </row>
    <row r="55" spans="2:8" ht="18" customHeight="1">
      <c r="B55" s="1168" t="s">
        <v>5338</v>
      </c>
      <c r="C55" s="989">
        <v>0</v>
      </c>
      <c r="D55" s="989">
        <v>0</v>
      </c>
      <c r="E55" s="986">
        <f t="shared" si="15"/>
        <v>0</v>
      </c>
      <c r="F55" s="989">
        <v>0</v>
      </c>
      <c r="G55" s="989">
        <v>0</v>
      </c>
      <c r="H55" s="986">
        <f t="shared" si="16"/>
        <v>0</v>
      </c>
    </row>
    <row r="56" spans="2:8">
      <c r="B56" s="1168" t="s">
        <v>5339</v>
      </c>
      <c r="C56" s="989">
        <v>0</v>
      </c>
      <c r="D56" s="989">
        <v>0</v>
      </c>
      <c r="E56" s="986">
        <f t="shared" si="15"/>
        <v>0</v>
      </c>
      <c r="F56" s="989">
        <v>0</v>
      </c>
      <c r="G56" s="989">
        <v>0</v>
      </c>
      <c r="H56" s="986">
        <f t="shared" si="16"/>
        <v>0</v>
      </c>
    </row>
    <row r="57" spans="2:8" ht="15" customHeight="1">
      <c r="B57" s="1340"/>
      <c r="C57" s="984"/>
      <c r="D57" s="984"/>
      <c r="E57" s="984"/>
      <c r="F57" s="984"/>
      <c r="G57" s="984"/>
      <c r="H57" s="984"/>
    </row>
    <row r="58" spans="2:8" ht="15" customHeight="1">
      <c r="B58" s="1340" t="s">
        <v>5340</v>
      </c>
      <c r="C58" s="984">
        <f>SUM(C59:C65)</f>
        <v>0</v>
      </c>
      <c r="D58" s="984">
        <f t="shared" ref="D58:H58" si="17">SUM(D59:D65)</f>
        <v>0</v>
      </c>
      <c r="E58" s="984">
        <f t="shared" si="17"/>
        <v>0</v>
      </c>
      <c r="F58" s="984">
        <f t="shared" si="17"/>
        <v>0</v>
      </c>
      <c r="G58" s="984">
        <f t="shared" si="17"/>
        <v>0</v>
      </c>
      <c r="H58" s="984">
        <f t="shared" si="17"/>
        <v>0</v>
      </c>
    </row>
    <row r="59" spans="2:8">
      <c r="B59" s="1168" t="s">
        <v>5341</v>
      </c>
      <c r="C59" s="989">
        <v>0</v>
      </c>
      <c r="D59" s="989">
        <v>0</v>
      </c>
      <c r="E59" s="986">
        <f t="shared" ref="E59:E65" si="18">SUM(C59:D59)</f>
        <v>0</v>
      </c>
      <c r="F59" s="989">
        <v>0</v>
      </c>
      <c r="G59" s="989">
        <v>0</v>
      </c>
      <c r="H59" s="986">
        <f t="shared" ref="H59:H65" si="19">SUM(E59-F59)</f>
        <v>0</v>
      </c>
    </row>
    <row r="60" spans="2:8">
      <c r="B60" s="1168" t="s">
        <v>5342</v>
      </c>
      <c r="C60" s="989">
        <v>0</v>
      </c>
      <c r="D60" s="989">
        <v>0</v>
      </c>
      <c r="E60" s="986">
        <f t="shared" si="18"/>
        <v>0</v>
      </c>
      <c r="F60" s="989">
        <v>0</v>
      </c>
      <c r="G60" s="989">
        <v>0</v>
      </c>
      <c r="H60" s="986">
        <f t="shared" si="19"/>
        <v>0</v>
      </c>
    </row>
    <row r="61" spans="2:8">
      <c r="B61" s="1168" t="s">
        <v>5343</v>
      </c>
      <c r="C61" s="989">
        <v>0</v>
      </c>
      <c r="D61" s="989">
        <v>0</v>
      </c>
      <c r="E61" s="986">
        <f t="shared" si="18"/>
        <v>0</v>
      </c>
      <c r="F61" s="989">
        <v>0</v>
      </c>
      <c r="G61" s="989">
        <v>0</v>
      </c>
      <c r="H61" s="986">
        <f t="shared" si="19"/>
        <v>0</v>
      </c>
    </row>
    <row r="62" spans="2:8" ht="24">
      <c r="B62" s="1168" t="s">
        <v>5344</v>
      </c>
      <c r="C62" s="989">
        <v>0</v>
      </c>
      <c r="D62" s="989">
        <v>0</v>
      </c>
      <c r="E62" s="986">
        <f t="shared" si="18"/>
        <v>0</v>
      </c>
      <c r="F62" s="989">
        <v>0</v>
      </c>
      <c r="G62" s="989">
        <v>0</v>
      </c>
      <c r="H62" s="986">
        <f t="shared" si="19"/>
        <v>0</v>
      </c>
    </row>
    <row r="63" spans="2:8">
      <c r="B63" s="1168" t="s">
        <v>5345</v>
      </c>
      <c r="C63" s="974">
        <v>0</v>
      </c>
      <c r="D63" s="974">
        <v>0</v>
      </c>
      <c r="E63" s="986">
        <f t="shared" si="18"/>
        <v>0</v>
      </c>
      <c r="F63" s="974">
        <v>0</v>
      </c>
      <c r="G63" s="974">
        <v>0</v>
      </c>
      <c r="H63" s="986">
        <f t="shared" si="19"/>
        <v>0</v>
      </c>
    </row>
    <row r="64" spans="2:8">
      <c r="B64" s="1168" t="s">
        <v>5346</v>
      </c>
      <c r="C64" s="989">
        <v>0</v>
      </c>
      <c r="D64" s="989">
        <v>0</v>
      </c>
      <c r="E64" s="986">
        <f t="shared" si="18"/>
        <v>0</v>
      </c>
      <c r="F64" s="989">
        <v>0</v>
      </c>
      <c r="G64" s="989">
        <v>0</v>
      </c>
      <c r="H64" s="986">
        <f t="shared" si="19"/>
        <v>0</v>
      </c>
    </row>
    <row r="65" spans="2:8">
      <c r="B65" s="1168" t="s">
        <v>5347</v>
      </c>
      <c r="C65" s="989">
        <v>0</v>
      </c>
      <c r="D65" s="989">
        <v>0</v>
      </c>
      <c r="E65" s="986">
        <f t="shared" si="18"/>
        <v>0</v>
      </c>
      <c r="F65" s="989">
        <v>0</v>
      </c>
      <c r="G65" s="989">
        <v>0</v>
      </c>
      <c r="H65" s="986">
        <f t="shared" si="19"/>
        <v>0</v>
      </c>
    </row>
    <row r="66" spans="2:8" ht="15" customHeight="1">
      <c r="B66" s="1341"/>
      <c r="C66" s="984"/>
      <c r="D66" s="984"/>
      <c r="E66" s="984"/>
      <c r="F66" s="984"/>
      <c r="G66" s="984"/>
      <c r="H66" s="984"/>
    </row>
    <row r="67" spans="2:8" ht="30" customHeight="1">
      <c r="B67" s="1340" t="s">
        <v>5348</v>
      </c>
      <c r="C67" s="984">
        <f>SUM(C68:C76)</f>
        <v>0</v>
      </c>
      <c r="D67" s="984">
        <f t="shared" ref="D67:H67" si="20">SUM(D68:D76)</f>
        <v>0</v>
      </c>
      <c r="E67" s="984">
        <f t="shared" si="20"/>
        <v>0</v>
      </c>
      <c r="F67" s="984">
        <f t="shared" si="20"/>
        <v>0</v>
      </c>
      <c r="G67" s="984">
        <f t="shared" si="20"/>
        <v>0</v>
      </c>
      <c r="H67" s="984">
        <f t="shared" si="20"/>
        <v>0</v>
      </c>
    </row>
    <row r="68" spans="2:8" ht="24">
      <c r="B68" s="1168" t="s">
        <v>5349</v>
      </c>
      <c r="C68" s="989">
        <v>0</v>
      </c>
      <c r="D68" s="989">
        <v>0</v>
      </c>
      <c r="E68" s="986">
        <f t="shared" ref="E68:E76" si="21">SUM(C68:D68)</f>
        <v>0</v>
      </c>
      <c r="F68" s="989">
        <v>0</v>
      </c>
      <c r="G68" s="989">
        <v>0</v>
      </c>
      <c r="H68" s="986">
        <f t="shared" ref="H68:H76" si="22">SUM(E68-F68)</f>
        <v>0</v>
      </c>
    </row>
    <row r="69" spans="2:8">
      <c r="B69" s="1168" t="s">
        <v>5350</v>
      </c>
      <c r="C69" s="989">
        <v>0</v>
      </c>
      <c r="D69" s="989">
        <v>0</v>
      </c>
      <c r="E69" s="986">
        <f t="shared" si="21"/>
        <v>0</v>
      </c>
      <c r="F69" s="989">
        <v>0</v>
      </c>
      <c r="G69" s="989">
        <v>0</v>
      </c>
      <c r="H69" s="986">
        <f t="shared" si="22"/>
        <v>0</v>
      </c>
    </row>
    <row r="70" spans="2:8">
      <c r="B70" s="1168" t="s">
        <v>5351</v>
      </c>
      <c r="C70" s="989">
        <v>0</v>
      </c>
      <c r="D70" s="989">
        <v>0</v>
      </c>
      <c r="E70" s="986">
        <f t="shared" si="21"/>
        <v>0</v>
      </c>
      <c r="F70" s="989">
        <v>0</v>
      </c>
      <c r="G70" s="989">
        <v>0</v>
      </c>
      <c r="H70" s="986">
        <f t="shared" si="22"/>
        <v>0</v>
      </c>
    </row>
    <row r="71" spans="2:8">
      <c r="B71" s="1168" t="s">
        <v>5352</v>
      </c>
      <c r="C71" s="989">
        <v>0</v>
      </c>
      <c r="D71" s="989">
        <v>0</v>
      </c>
      <c r="E71" s="986">
        <f t="shared" si="21"/>
        <v>0</v>
      </c>
      <c r="F71" s="989">
        <v>0</v>
      </c>
      <c r="G71" s="989">
        <v>0</v>
      </c>
      <c r="H71" s="986">
        <f t="shared" si="22"/>
        <v>0</v>
      </c>
    </row>
    <row r="72" spans="2:8">
      <c r="B72" s="1168" t="s">
        <v>5353</v>
      </c>
      <c r="C72" s="989">
        <v>0</v>
      </c>
      <c r="D72" s="989">
        <v>0</v>
      </c>
      <c r="E72" s="986">
        <f t="shared" si="21"/>
        <v>0</v>
      </c>
      <c r="F72" s="989">
        <v>0</v>
      </c>
      <c r="G72" s="989">
        <v>0</v>
      </c>
      <c r="H72" s="986">
        <f t="shared" si="22"/>
        <v>0</v>
      </c>
    </row>
    <row r="73" spans="2:8">
      <c r="B73" s="1168" t="s">
        <v>5354</v>
      </c>
      <c r="C73" s="989">
        <v>0</v>
      </c>
      <c r="D73" s="989">
        <v>0</v>
      </c>
      <c r="E73" s="986">
        <f t="shared" si="21"/>
        <v>0</v>
      </c>
      <c r="F73" s="989">
        <v>0</v>
      </c>
      <c r="G73" s="989">
        <v>0</v>
      </c>
      <c r="H73" s="986">
        <f t="shared" si="22"/>
        <v>0</v>
      </c>
    </row>
    <row r="74" spans="2:8">
      <c r="B74" s="1168" t="s">
        <v>5355</v>
      </c>
      <c r="C74" s="989">
        <v>0</v>
      </c>
      <c r="D74" s="989">
        <v>0</v>
      </c>
      <c r="E74" s="986">
        <f t="shared" si="21"/>
        <v>0</v>
      </c>
      <c r="F74" s="989">
        <v>0</v>
      </c>
      <c r="G74" s="989">
        <v>0</v>
      </c>
      <c r="H74" s="986">
        <f t="shared" si="22"/>
        <v>0</v>
      </c>
    </row>
    <row r="75" spans="2:8">
      <c r="B75" s="1168" t="s">
        <v>5356</v>
      </c>
      <c r="C75" s="989">
        <v>0</v>
      </c>
      <c r="D75" s="989">
        <v>0</v>
      </c>
      <c r="E75" s="986">
        <f t="shared" si="21"/>
        <v>0</v>
      </c>
      <c r="F75" s="989">
        <v>0</v>
      </c>
      <c r="G75" s="989">
        <v>0</v>
      </c>
      <c r="H75" s="986">
        <f t="shared" si="22"/>
        <v>0</v>
      </c>
    </row>
    <row r="76" spans="2:8" ht="24">
      <c r="B76" s="1168" t="s">
        <v>5357</v>
      </c>
      <c r="C76" s="989">
        <v>0</v>
      </c>
      <c r="D76" s="989">
        <v>0</v>
      </c>
      <c r="E76" s="986">
        <f t="shared" si="21"/>
        <v>0</v>
      </c>
      <c r="F76" s="989">
        <v>0</v>
      </c>
      <c r="G76" s="989">
        <v>0</v>
      </c>
      <c r="H76" s="986">
        <f t="shared" si="22"/>
        <v>0</v>
      </c>
    </row>
    <row r="77" spans="2:8" ht="15" customHeight="1">
      <c r="B77" s="1340"/>
      <c r="C77" s="984"/>
      <c r="D77" s="984"/>
      <c r="E77" s="984"/>
      <c r="F77" s="984"/>
      <c r="G77" s="984"/>
      <c r="H77" s="984"/>
    </row>
    <row r="78" spans="2:8" ht="24.75" customHeight="1">
      <c r="B78" s="1340" t="s">
        <v>5358</v>
      </c>
      <c r="C78" s="984">
        <f>SUM(C79:C82)</f>
        <v>0</v>
      </c>
      <c r="D78" s="984">
        <f t="shared" ref="D78:H78" si="23">SUM(D79:D82)</f>
        <v>0</v>
      </c>
      <c r="E78" s="984">
        <f t="shared" si="23"/>
        <v>0</v>
      </c>
      <c r="F78" s="984">
        <f t="shared" si="23"/>
        <v>0</v>
      </c>
      <c r="G78" s="984">
        <f t="shared" si="23"/>
        <v>0</v>
      </c>
      <c r="H78" s="984">
        <f t="shared" si="23"/>
        <v>0</v>
      </c>
    </row>
    <row r="79" spans="2:8" ht="24">
      <c r="B79" s="1168" t="s">
        <v>5359</v>
      </c>
      <c r="C79" s="989">
        <v>0</v>
      </c>
      <c r="D79" s="989">
        <v>0</v>
      </c>
      <c r="E79" s="986">
        <f t="shared" ref="E79:E82" si="24">SUM(C79:D79)</f>
        <v>0</v>
      </c>
      <c r="F79" s="989">
        <v>0</v>
      </c>
      <c r="G79" s="989">
        <v>0</v>
      </c>
      <c r="H79" s="986">
        <f t="shared" ref="H79:H82" si="25">SUM(E79-F79)</f>
        <v>0</v>
      </c>
    </row>
    <row r="80" spans="2:8" ht="36">
      <c r="B80" s="1168" t="s">
        <v>5360</v>
      </c>
      <c r="C80" s="989">
        <v>0</v>
      </c>
      <c r="D80" s="989">
        <v>0</v>
      </c>
      <c r="E80" s="986">
        <f t="shared" si="24"/>
        <v>0</v>
      </c>
      <c r="F80" s="989">
        <v>0</v>
      </c>
      <c r="G80" s="989">
        <v>0</v>
      </c>
      <c r="H80" s="986">
        <f t="shared" si="25"/>
        <v>0</v>
      </c>
    </row>
    <row r="81" spans="2:8">
      <c r="B81" s="1168" t="s">
        <v>5361</v>
      </c>
      <c r="C81" s="989">
        <v>0</v>
      </c>
      <c r="D81" s="989">
        <v>0</v>
      </c>
      <c r="E81" s="986">
        <f t="shared" si="24"/>
        <v>0</v>
      </c>
      <c r="F81" s="989">
        <v>0</v>
      </c>
      <c r="G81" s="989">
        <v>0</v>
      </c>
      <c r="H81" s="986">
        <f t="shared" si="25"/>
        <v>0</v>
      </c>
    </row>
    <row r="82" spans="2:8">
      <c r="B82" s="1168" t="s">
        <v>5362</v>
      </c>
      <c r="C82" s="989">
        <v>0</v>
      </c>
      <c r="D82" s="989">
        <v>0</v>
      </c>
      <c r="E82" s="986">
        <f t="shared" si="24"/>
        <v>0</v>
      </c>
      <c r="F82" s="989">
        <v>0</v>
      </c>
      <c r="G82" s="989">
        <v>0</v>
      </c>
      <c r="H82" s="986">
        <f t="shared" si="25"/>
        <v>0</v>
      </c>
    </row>
    <row r="83" spans="2:8" ht="15" customHeight="1">
      <c r="B83" s="1340"/>
      <c r="C83" s="984"/>
      <c r="D83" s="984"/>
      <c r="E83" s="984"/>
      <c r="F83" s="984"/>
      <c r="G83" s="984"/>
      <c r="H83" s="984"/>
    </row>
    <row r="84" spans="2:8" ht="15.75" customHeight="1" thickBot="1">
      <c r="B84" s="1342" t="s">
        <v>5317</v>
      </c>
      <c r="C84" s="1343">
        <f>SUM(C10,C47)</f>
        <v>138260283.41649699</v>
      </c>
      <c r="D84" s="1343">
        <f t="shared" ref="D84:H84" si="26">SUM(D10,D47)</f>
        <v>0</v>
      </c>
      <c r="E84" s="1343">
        <f>SUM(E10,E47)</f>
        <v>138260283.41649699</v>
      </c>
      <c r="F84" s="1343">
        <f t="shared" si="26"/>
        <v>15020502.310000001</v>
      </c>
      <c r="G84" s="1343">
        <f t="shared" si="26"/>
        <v>15020502.310000001</v>
      </c>
      <c r="H84" s="1343">
        <f t="shared" si="26"/>
        <v>123239781.10649699</v>
      </c>
    </row>
  </sheetData>
  <mergeCells count="8">
    <mergeCell ref="B7:B8"/>
    <mergeCell ref="C7:G7"/>
    <mergeCell ref="H7:H8"/>
    <mergeCell ref="B2:H2"/>
    <mergeCell ref="B3:H3"/>
    <mergeCell ref="B4:H4"/>
    <mergeCell ref="B5:H5"/>
    <mergeCell ref="B6:H6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5">
    <pageSetUpPr fitToPage="1"/>
  </sheetPr>
  <dimension ref="A1:K42"/>
  <sheetViews>
    <sheetView topLeftCell="A7" workbookViewId="0">
      <selection activeCell="H17" sqref="H17"/>
    </sheetView>
  </sheetViews>
  <sheetFormatPr baseColWidth="10" defaultRowHeight="15"/>
  <cols>
    <col min="1" max="1" width="2.140625" style="354" customWidth="1"/>
    <col min="2" max="3" width="3.7109375" style="346" customWidth="1"/>
    <col min="4" max="4" width="65.7109375" style="346" customWidth="1"/>
    <col min="5" max="5" width="12.7109375" style="346" customWidth="1"/>
    <col min="6" max="6" width="14.28515625" style="346" customWidth="1"/>
    <col min="7" max="8" width="12.7109375" style="346" customWidth="1"/>
    <col min="9" max="9" width="11.42578125" style="346" customWidth="1"/>
    <col min="10" max="10" width="12.85546875" style="346" customWidth="1"/>
    <col min="11" max="11" width="3.140625" style="354" customWidth="1"/>
    <col min="12" max="16384" width="11.42578125" style="361"/>
  </cols>
  <sheetData>
    <row r="1" spans="2:10" s="354" customFormat="1" ht="6.75" customHeight="1">
      <c r="B1" s="317"/>
      <c r="C1" s="317"/>
      <c r="D1" s="317"/>
      <c r="E1" s="317"/>
      <c r="F1" s="317"/>
      <c r="G1" s="317"/>
      <c r="H1" s="317"/>
      <c r="I1" s="317"/>
    </row>
    <row r="2" spans="2:10">
      <c r="B2" s="1734" t="s">
        <v>2992</v>
      </c>
      <c r="C2" s="1735"/>
      <c r="D2" s="1735"/>
      <c r="E2" s="1735"/>
      <c r="F2" s="1735"/>
      <c r="G2" s="1735"/>
      <c r="H2" s="1735"/>
      <c r="I2" s="1735"/>
      <c r="J2" s="1736"/>
    </row>
    <row r="3" spans="2:10">
      <c r="B3" s="1737" t="s">
        <v>893</v>
      </c>
      <c r="C3" s="1738"/>
      <c r="D3" s="1738"/>
      <c r="E3" s="1738"/>
      <c r="F3" s="1738"/>
      <c r="G3" s="1738"/>
      <c r="H3" s="1738"/>
      <c r="I3" s="1738"/>
      <c r="J3" s="1739"/>
    </row>
    <row r="4" spans="2:10">
      <c r="B4" s="1740" t="str">
        <f>+EA!C3</f>
        <v>Del 1 de enero al 30 de abril de 2021</v>
      </c>
      <c r="C4" s="1741"/>
      <c r="D4" s="1741"/>
      <c r="E4" s="1741"/>
      <c r="F4" s="1741"/>
      <c r="G4" s="1741"/>
      <c r="H4" s="1741"/>
      <c r="I4" s="1741"/>
      <c r="J4" s="1742"/>
    </row>
    <row r="5" spans="2:10" s="354" customFormat="1" ht="10.5" customHeight="1">
      <c r="B5" s="506"/>
      <c r="C5" s="506"/>
      <c r="D5" s="507"/>
      <c r="E5" s="506"/>
      <c r="F5" s="506"/>
      <c r="G5" s="506"/>
      <c r="H5" s="506"/>
      <c r="I5" s="506"/>
      <c r="J5" s="506"/>
    </row>
    <row r="6" spans="2:10">
      <c r="B6" s="1851" t="s">
        <v>230</v>
      </c>
      <c r="C6" s="1876"/>
      <c r="D6" s="1852"/>
      <c r="E6" s="1820" t="s">
        <v>828</v>
      </c>
      <c r="F6" s="1820"/>
      <c r="G6" s="1820"/>
      <c r="H6" s="1820"/>
      <c r="I6" s="1820"/>
      <c r="J6" s="1820" t="s">
        <v>820</v>
      </c>
    </row>
    <row r="7" spans="2:10" ht="22.5">
      <c r="B7" s="1853"/>
      <c r="C7" s="1877"/>
      <c r="D7" s="1854"/>
      <c r="E7" s="653" t="s">
        <v>821</v>
      </c>
      <c r="F7" s="653" t="s">
        <v>822</v>
      </c>
      <c r="G7" s="653" t="s">
        <v>797</v>
      </c>
      <c r="H7" s="653" t="s">
        <v>236</v>
      </c>
      <c r="I7" s="653" t="s">
        <v>823</v>
      </c>
      <c r="J7" s="1820"/>
    </row>
    <row r="8" spans="2:10" ht="15.75" customHeight="1">
      <c r="B8" s="1855"/>
      <c r="C8" s="1878"/>
      <c r="D8" s="1856"/>
      <c r="E8" s="653">
        <v>1</v>
      </c>
      <c r="F8" s="653">
        <v>2</v>
      </c>
      <c r="G8" s="653" t="s">
        <v>824</v>
      </c>
      <c r="H8" s="653">
        <v>4</v>
      </c>
      <c r="I8" s="653">
        <v>5</v>
      </c>
      <c r="J8" s="653" t="s">
        <v>825</v>
      </c>
    </row>
    <row r="9" spans="2:10" ht="15" customHeight="1">
      <c r="B9" s="1879" t="s">
        <v>894</v>
      </c>
      <c r="C9" s="1880"/>
      <c r="D9" s="1881"/>
      <c r="E9" s="408"/>
      <c r="F9" s="409"/>
      <c r="G9" s="409"/>
      <c r="H9" s="409"/>
      <c r="I9" s="409"/>
      <c r="J9" s="409"/>
    </row>
    <row r="10" spans="2:10">
      <c r="B10" s="355"/>
      <c r="C10" s="1874" t="s">
        <v>895</v>
      </c>
      <c r="D10" s="1875"/>
      <c r="E10" s="410">
        <f>+E11+E12</f>
        <v>0</v>
      </c>
      <c r="F10" s="410">
        <f>+F11+F12</f>
        <v>0</v>
      </c>
      <c r="G10" s="381">
        <f>+E10+F10</f>
        <v>0</v>
      </c>
      <c r="H10" s="410">
        <f t="shared" ref="H10:I10" si="0">+H11+H12</f>
        <v>0</v>
      </c>
      <c r="I10" s="410">
        <f t="shared" si="0"/>
        <v>0</v>
      </c>
      <c r="J10" s="381">
        <f>+G10-H10</f>
        <v>0</v>
      </c>
    </row>
    <row r="11" spans="2:10">
      <c r="B11" s="355"/>
      <c r="C11" s="411"/>
      <c r="D11" s="356" t="s">
        <v>896</v>
      </c>
      <c r="E11" s="412"/>
      <c r="F11" s="374"/>
      <c r="G11" s="374">
        <f t="shared" ref="G11:G38" si="1">+E11+F11</f>
        <v>0</v>
      </c>
      <c r="H11" s="374"/>
      <c r="I11" s="374"/>
      <c r="J11" s="374">
        <f t="shared" ref="J11:J38" si="2">+G11-H11</f>
        <v>0</v>
      </c>
    </row>
    <row r="12" spans="2:10">
      <c r="B12" s="355"/>
      <c r="C12" s="411"/>
      <c r="D12" s="356" t="s">
        <v>897</v>
      </c>
      <c r="E12" s="412"/>
      <c r="F12" s="374"/>
      <c r="G12" s="374">
        <f t="shared" si="1"/>
        <v>0</v>
      </c>
      <c r="H12" s="374"/>
      <c r="I12" s="374"/>
      <c r="J12" s="374">
        <f t="shared" si="2"/>
        <v>0</v>
      </c>
    </row>
    <row r="13" spans="2:10">
      <c r="B13" s="355"/>
      <c r="C13" s="1874" t="s">
        <v>898</v>
      </c>
      <c r="D13" s="1875"/>
      <c r="E13" s="410">
        <f>SUM(E14:E21)</f>
        <v>137483289.13227999</v>
      </c>
      <c r="F13" s="410">
        <f>SUM(F14:F21)</f>
        <v>0</v>
      </c>
      <c r="G13" s="381">
        <f t="shared" si="1"/>
        <v>137483289.13227999</v>
      </c>
      <c r="H13" s="410">
        <f t="shared" ref="H13:I13" si="3">SUM(H14:H21)</f>
        <v>14910710.470000001</v>
      </c>
      <c r="I13" s="410">
        <f t="shared" si="3"/>
        <v>14910710.470000001</v>
      </c>
      <c r="J13" s="381">
        <f t="shared" si="2"/>
        <v>122572578.66227999</v>
      </c>
    </row>
    <row r="14" spans="2:10">
      <c r="B14" s="355"/>
      <c r="C14" s="411"/>
      <c r="D14" s="356" t="s">
        <v>899</v>
      </c>
      <c r="E14" s="412"/>
      <c r="F14" s="374"/>
      <c r="G14" s="374">
        <f t="shared" si="1"/>
        <v>0</v>
      </c>
      <c r="H14" s="374"/>
      <c r="I14" s="374"/>
      <c r="J14" s="374">
        <f t="shared" si="2"/>
        <v>0</v>
      </c>
    </row>
    <row r="15" spans="2:10">
      <c r="B15" s="355"/>
      <c r="C15" s="411"/>
      <c r="D15" s="356" t="s">
        <v>900</v>
      </c>
      <c r="E15" s="412"/>
      <c r="F15" s="374"/>
      <c r="G15" s="374">
        <f t="shared" si="1"/>
        <v>0</v>
      </c>
      <c r="H15" s="374"/>
      <c r="I15" s="374"/>
      <c r="J15" s="374">
        <f t="shared" si="2"/>
        <v>0</v>
      </c>
    </row>
    <row r="16" spans="2:10">
      <c r="B16" s="355"/>
      <c r="C16" s="411"/>
      <c r="D16" s="356" t="s">
        <v>901</v>
      </c>
      <c r="E16" s="412"/>
      <c r="F16" s="374"/>
      <c r="G16" s="374">
        <f t="shared" si="1"/>
        <v>0</v>
      </c>
      <c r="H16" s="374"/>
      <c r="I16" s="374"/>
      <c r="J16" s="374">
        <f t="shared" si="2"/>
        <v>0</v>
      </c>
    </row>
    <row r="17" spans="2:10">
      <c r="B17" s="355"/>
      <c r="C17" s="411"/>
      <c r="D17" s="356" t="s">
        <v>902</v>
      </c>
      <c r="E17" s="412">
        <f>+COG!D32-E30</f>
        <v>137483289.13227999</v>
      </c>
      <c r="F17" s="374">
        <f>+COG!E32-F30</f>
        <v>0</v>
      </c>
      <c r="G17" s="374">
        <f t="shared" si="1"/>
        <v>137483289.13227999</v>
      </c>
      <c r="H17" s="374">
        <f>+COG!G32-H30</f>
        <v>14910710.470000001</v>
      </c>
      <c r="I17" s="374">
        <f>+COG!H32-I30</f>
        <v>14910710.470000001</v>
      </c>
      <c r="J17" s="374">
        <f t="shared" si="2"/>
        <v>122572578.66227999</v>
      </c>
    </row>
    <row r="18" spans="2:10">
      <c r="B18" s="355"/>
      <c r="C18" s="411"/>
      <c r="D18" s="356" t="s">
        <v>903</v>
      </c>
      <c r="E18" s="412"/>
      <c r="F18" s="374"/>
      <c r="G18" s="374">
        <f t="shared" si="1"/>
        <v>0</v>
      </c>
      <c r="H18" s="374"/>
      <c r="I18" s="374"/>
      <c r="J18" s="374">
        <f t="shared" si="2"/>
        <v>0</v>
      </c>
    </row>
    <row r="19" spans="2:10">
      <c r="B19" s="355"/>
      <c r="C19" s="411"/>
      <c r="D19" s="356" t="s">
        <v>904</v>
      </c>
      <c r="E19" s="412"/>
      <c r="F19" s="374"/>
      <c r="G19" s="374">
        <f t="shared" si="1"/>
        <v>0</v>
      </c>
      <c r="H19" s="374"/>
      <c r="I19" s="374"/>
      <c r="J19" s="374">
        <f t="shared" si="2"/>
        <v>0</v>
      </c>
    </row>
    <row r="20" spans="2:10">
      <c r="B20" s="355"/>
      <c r="C20" s="411"/>
      <c r="D20" s="356" t="s">
        <v>905</v>
      </c>
      <c r="E20" s="412"/>
      <c r="F20" s="374"/>
      <c r="G20" s="374">
        <f t="shared" si="1"/>
        <v>0</v>
      </c>
      <c r="H20" s="374"/>
      <c r="I20" s="374"/>
      <c r="J20" s="374">
        <f t="shared" si="2"/>
        <v>0</v>
      </c>
    </row>
    <row r="21" spans="2:10">
      <c r="B21" s="355"/>
      <c r="C21" s="411"/>
      <c r="D21" s="356" t="s">
        <v>906</v>
      </c>
      <c r="E21" s="412"/>
      <c r="F21" s="374"/>
      <c r="G21" s="374">
        <f t="shared" si="1"/>
        <v>0</v>
      </c>
      <c r="H21" s="374"/>
      <c r="I21" s="374"/>
      <c r="J21" s="374">
        <f t="shared" si="2"/>
        <v>0</v>
      </c>
    </row>
    <row r="22" spans="2:10">
      <c r="B22" s="355"/>
      <c r="C22" s="1874" t="s">
        <v>907</v>
      </c>
      <c r="D22" s="1875"/>
      <c r="E22" s="410">
        <f>SUM(E23:E25)</f>
        <v>0</v>
      </c>
      <c r="F22" s="410">
        <f>SUM(F23:F25)</f>
        <v>0</v>
      </c>
      <c r="G22" s="381">
        <f t="shared" si="1"/>
        <v>0</v>
      </c>
      <c r="H22" s="410">
        <f t="shared" ref="H22:I22" si="4">SUM(H23:H25)</f>
        <v>0</v>
      </c>
      <c r="I22" s="410">
        <f t="shared" si="4"/>
        <v>0</v>
      </c>
      <c r="J22" s="381">
        <f t="shared" si="2"/>
        <v>0</v>
      </c>
    </row>
    <row r="23" spans="2:10">
      <c r="B23" s="355"/>
      <c r="C23" s="411"/>
      <c r="D23" s="356" t="s">
        <v>908</v>
      </c>
      <c r="E23" s="412"/>
      <c r="F23" s="374"/>
      <c r="G23" s="374">
        <f t="shared" si="1"/>
        <v>0</v>
      </c>
      <c r="H23" s="374"/>
      <c r="I23" s="374"/>
      <c r="J23" s="374">
        <f t="shared" si="2"/>
        <v>0</v>
      </c>
    </row>
    <row r="24" spans="2:10">
      <c r="B24" s="355"/>
      <c r="C24" s="411"/>
      <c r="D24" s="356" t="s">
        <v>909</v>
      </c>
      <c r="E24" s="412"/>
      <c r="F24" s="374"/>
      <c r="G24" s="374">
        <f t="shared" si="1"/>
        <v>0</v>
      </c>
      <c r="H24" s="374"/>
      <c r="I24" s="374"/>
      <c r="J24" s="374">
        <f t="shared" si="2"/>
        <v>0</v>
      </c>
    </row>
    <row r="25" spans="2:10">
      <c r="B25" s="355"/>
      <c r="C25" s="411"/>
      <c r="D25" s="356" t="s">
        <v>910</v>
      </c>
      <c r="E25" s="412"/>
      <c r="F25" s="374"/>
      <c r="G25" s="374">
        <f t="shared" si="1"/>
        <v>0</v>
      </c>
      <c r="H25" s="374"/>
      <c r="I25" s="374"/>
      <c r="J25" s="374">
        <f t="shared" si="2"/>
        <v>0</v>
      </c>
    </row>
    <row r="26" spans="2:10">
      <c r="B26" s="355"/>
      <c r="C26" s="1874" t="s">
        <v>911</v>
      </c>
      <c r="D26" s="1875"/>
      <c r="E26" s="410">
        <f>SUM(E27:E28)</f>
        <v>0</v>
      </c>
      <c r="F26" s="410">
        <f>SUM(F27:F28)</f>
        <v>0</v>
      </c>
      <c r="G26" s="381">
        <f t="shared" si="1"/>
        <v>0</v>
      </c>
      <c r="H26" s="410">
        <f t="shared" ref="H26:I26" si="5">SUM(H27:H28)</f>
        <v>0</v>
      </c>
      <c r="I26" s="410">
        <f t="shared" si="5"/>
        <v>0</v>
      </c>
      <c r="J26" s="381">
        <f t="shared" si="2"/>
        <v>0</v>
      </c>
    </row>
    <row r="27" spans="2:10">
      <c r="B27" s="355"/>
      <c r="C27" s="411"/>
      <c r="D27" s="356" t="s">
        <v>912</v>
      </c>
      <c r="E27" s="412"/>
      <c r="F27" s="374"/>
      <c r="G27" s="374">
        <f t="shared" si="1"/>
        <v>0</v>
      </c>
      <c r="H27" s="374"/>
      <c r="I27" s="374"/>
      <c r="J27" s="374">
        <f t="shared" si="2"/>
        <v>0</v>
      </c>
    </row>
    <row r="28" spans="2:10">
      <c r="B28" s="355"/>
      <c r="C28" s="411"/>
      <c r="D28" s="356" t="s">
        <v>913</v>
      </c>
      <c r="E28" s="412"/>
      <c r="F28" s="374"/>
      <c r="G28" s="374">
        <f t="shared" si="1"/>
        <v>0</v>
      </c>
      <c r="H28" s="374"/>
      <c r="I28" s="374"/>
      <c r="J28" s="374">
        <f t="shared" si="2"/>
        <v>0</v>
      </c>
    </row>
    <row r="29" spans="2:10">
      <c r="B29" s="355"/>
      <c r="C29" s="1874" t="s">
        <v>914</v>
      </c>
      <c r="D29" s="1875"/>
      <c r="E29" s="410">
        <f>SUM(E30:E33)</f>
        <v>776994.28421700012</v>
      </c>
      <c r="F29" s="410">
        <f>SUM(F30:F33)</f>
        <v>0</v>
      </c>
      <c r="G29" s="381">
        <f t="shared" si="1"/>
        <v>776994.28421700012</v>
      </c>
      <c r="H29" s="410">
        <f t="shared" ref="H29:I29" si="6">SUM(H30:H33)</f>
        <v>109791.84</v>
      </c>
      <c r="I29" s="410">
        <f t="shared" si="6"/>
        <v>109791.84</v>
      </c>
      <c r="J29" s="381">
        <f t="shared" si="2"/>
        <v>667202.44421700016</v>
      </c>
    </row>
    <row r="30" spans="2:10">
      <c r="B30" s="355"/>
      <c r="C30" s="411"/>
      <c r="D30" s="356" t="s">
        <v>915</v>
      </c>
      <c r="E30" s="412">
        <f>COG!D31</f>
        <v>776994.28421700012</v>
      </c>
      <c r="F30" s="412">
        <f>COG!E31</f>
        <v>0</v>
      </c>
      <c r="G30" s="374">
        <f t="shared" si="1"/>
        <v>776994.28421700012</v>
      </c>
      <c r="H30" s="374">
        <f>COG!G31</f>
        <v>109791.84</v>
      </c>
      <c r="I30" s="374">
        <f>COG!H31</f>
        <v>109791.84</v>
      </c>
      <c r="J30" s="374">
        <f t="shared" si="2"/>
        <v>667202.44421700016</v>
      </c>
    </row>
    <row r="31" spans="2:10">
      <c r="B31" s="355"/>
      <c r="C31" s="411"/>
      <c r="D31" s="356" t="s">
        <v>916</v>
      </c>
      <c r="E31" s="412"/>
      <c r="F31" s="374"/>
      <c r="G31" s="374">
        <f t="shared" si="1"/>
        <v>0</v>
      </c>
      <c r="H31" s="374"/>
      <c r="I31" s="374"/>
      <c r="J31" s="374">
        <f t="shared" si="2"/>
        <v>0</v>
      </c>
    </row>
    <row r="32" spans="2:10">
      <c r="B32" s="355"/>
      <c r="C32" s="411"/>
      <c r="D32" s="356" t="s">
        <v>917</v>
      </c>
      <c r="E32" s="412"/>
      <c r="F32" s="374"/>
      <c r="G32" s="374">
        <f t="shared" si="1"/>
        <v>0</v>
      </c>
      <c r="H32" s="374"/>
      <c r="I32" s="374"/>
      <c r="J32" s="374">
        <f t="shared" si="2"/>
        <v>0</v>
      </c>
    </row>
    <row r="33" spans="1:11">
      <c r="B33" s="355"/>
      <c r="C33" s="411"/>
      <c r="D33" s="356" t="s">
        <v>918</v>
      </c>
      <c r="E33" s="412"/>
      <c r="F33" s="374"/>
      <c r="G33" s="374">
        <f t="shared" si="1"/>
        <v>0</v>
      </c>
      <c r="H33" s="374"/>
      <c r="I33" s="374"/>
      <c r="J33" s="374">
        <f t="shared" si="2"/>
        <v>0</v>
      </c>
    </row>
    <row r="34" spans="1:11">
      <c r="B34" s="355"/>
      <c r="C34" s="1874" t="s">
        <v>919</v>
      </c>
      <c r="D34" s="1875"/>
      <c r="E34" s="410">
        <f>SUM(E35)</f>
        <v>0</v>
      </c>
      <c r="F34" s="410">
        <f>SUM(F35)</f>
        <v>0</v>
      </c>
      <c r="G34" s="381">
        <f t="shared" si="1"/>
        <v>0</v>
      </c>
      <c r="H34" s="410">
        <f t="shared" ref="H34:I34" si="7">SUM(H35)</f>
        <v>0</v>
      </c>
      <c r="I34" s="410">
        <f t="shared" si="7"/>
        <v>0</v>
      </c>
      <c r="J34" s="381">
        <f t="shared" si="2"/>
        <v>0</v>
      </c>
    </row>
    <row r="35" spans="1:11">
      <c r="B35" s="355"/>
      <c r="C35" s="411"/>
      <c r="D35" s="356" t="s">
        <v>920</v>
      </c>
      <c r="E35" s="412"/>
      <c r="F35" s="374"/>
      <c r="G35" s="374">
        <f t="shared" si="1"/>
        <v>0</v>
      </c>
      <c r="H35" s="374"/>
      <c r="I35" s="374"/>
      <c r="J35" s="374">
        <f t="shared" si="2"/>
        <v>0</v>
      </c>
    </row>
    <row r="36" spans="1:11" ht="15" customHeight="1">
      <c r="B36" s="1879" t="s">
        <v>921</v>
      </c>
      <c r="C36" s="1880"/>
      <c r="D36" s="1881"/>
      <c r="E36" s="412"/>
      <c r="F36" s="374"/>
      <c r="G36" s="374">
        <f t="shared" si="1"/>
        <v>0</v>
      </c>
      <c r="H36" s="374"/>
      <c r="I36" s="374"/>
      <c r="J36" s="374">
        <f t="shared" si="2"/>
        <v>0</v>
      </c>
    </row>
    <row r="37" spans="1:11" ht="15" customHeight="1">
      <c r="B37" s="1879" t="s">
        <v>922</v>
      </c>
      <c r="C37" s="1880"/>
      <c r="D37" s="1881"/>
      <c r="E37" s="412"/>
      <c r="F37" s="374"/>
      <c r="G37" s="374">
        <f t="shared" si="1"/>
        <v>0</v>
      </c>
      <c r="H37" s="374"/>
      <c r="I37" s="374"/>
      <c r="J37" s="374">
        <f t="shared" si="2"/>
        <v>0</v>
      </c>
    </row>
    <row r="38" spans="1:11" ht="15.75" customHeight="1">
      <c r="B38" s="1879" t="s">
        <v>923</v>
      </c>
      <c r="C38" s="1880"/>
      <c r="D38" s="1881"/>
      <c r="E38" s="412"/>
      <c r="F38" s="374"/>
      <c r="G38" s="374">
        <f t="shared" si="1"/>
        <v>0</v>
      </c>
      <c r="H38" s="374"/>
      <c r="I38" s="374"/>
      <c r="J38" s="374">
        <f t="shared" si="2"/>
        <v>0</v>
      </c>
    </row>
    <row r="39" spans="1:11">
      <c r="B39" s="413"/>
      <c r="C39" s="414"/>
      <c r="D39" s="415"/>
      <c r="E39" s="416"/>
      <c r="F39" s="417"/>
      <c r="G39" s="417"/>
      <c r="H39" s="417"/>
      <c r="I39" s="417"/>
      <c r="J39" s="417"/>
    </row>
    <row r="40" spans="1:11" s="369" customFormat="1">
      <c r="A40" s="365"/>
      <c r="B40" s="384"/>
      <c r="C40" s="1882" t="s">
        <v>826</v>
      </c>
      <c r="D40" s="1883"/>
      <c r="E40" s="379">
        <f>+E10+E13+E22+E26+E29+E34+E36+E37+E38</f>
        <v>138260283.41649699</v>
      </c>
      <c r="F40" s="379">
        <f t="shared" ref="F40:J40" si="8">+F10+F13+F22+F26+F29+F34+F36+F37+F38</f>
        <v>0</v>
      </c>
      <c r="G40" s="379">
        <f t="shared" si="8"/>
        <v>138260283.41649699</v>
      </c>
      <c r="H40" s="379">
        <f t="shared" si="8"/>
        <v>15020502.310000001</v>
      </c>
      <c r="I40" s="379">
        <f t="shared" si="8"/>
        <v>15020502.310000001</v>
      </c>
      <c r="J40" s="379">
        <f t="shared" si="8"/>
        <v>123239781.10649699</v>
      </c>
      <c r="K40" s="365"/>
    </row>
    <row r="41" spans="1:11">
      <c r="B41" s="317"/>
      <c r="C41" s="317"/>
      <c r="D41" s="317"/>
      <c r="E41" s="317"/>
      <c r="F41" s="317"/>
      <c r="G41" s="317"/>
      <c r="H41" s="317"/>
      <c r="I41" s="317"/>
      <c r="J41" s="317"/>
    </row>
    <row r="42" spans="1:11">
      <c r="B42" s="317"/>
      <c r="C42" s="317"/>
      <c r="D42" s="317"/>
      <c r="E42" s="317"/>
      <c r="F42" s="317"/>
      <c r="G42" s="317"/>
      <c r="H42" s="317"/>
      <c r="I42" s="317"/>
      <c r="J42" s="317"/>
    </row>
  </sheetData>
  <mergeCells count="17">
    <mergeCell ref="C34:D34"/>
    <mergeCell ref="B36:D36"/>
    <mergeCell ref="B37:D37"/>
    <mergeCell ref="B38:D38"/>
    <mergeCell ref="C40:D40"/>
    <mergeCell ref="C29:D29"/>
    <mergeCell ref="B2:J2"/>
    <mergeCell ref="B3:J3"/>
    <mergeCell ref="B4:J4"/>
    <mergeCell ref="B6:D8"/>
    <mergeCell ref="E6:I6"/>
    <mergeCell ref="J6:J7"/>
    <mergeCell ref="B9:D9"/>
    <mergeCell ref="C10:D10"/>
    <mergeCell ref="C13:D13"/>
    <mergeCell ref="C22:D22"/>
    <mergeCell ref="C26:D26"/>
  </mergeCells>
  <pageMargins left="0.7" right="0.7" top="0.75" bottom="0.75" header="0.3" footer="0.3"/>
  <pageSetup scale="80" fitToHeight="0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617D3D-ED4D-44C1-8306-6A544B17FB7B}">
  <dimension ref="B1:H39"/>
  <sheetViews>
    <sheetView workbookViewId="0">
      <selection activeCell="D17" sqref="D17"/>
    </sheetView>
  </sheetViews>
  <sheetFormatPr baseColWidth="10" defaultColWidth="11.42578125" defaultRowHeight="12"/>
  <cols>
    <col min="1" max="1" width="11.42578125" style="1104"/>
    <col min="2" max="2" width="47.42578125" style="1104" customWidth="1"/>
    <col min="3" max="3" width="13.28515625" style="1104" bestFit="1" customWidth="1"/>
    <col min="4" max="5" width="14" style="1104" customWidth="1"/>
    <col min="6" max="7" width="12.28515625" style="1104" bestFit="1" customWidth="1"/>
    <col min="8" max="8" width="13.28515625" style="1104" customWidth="1"/>
    <col min="9" max="16384" width="11.42578125" style="1104"/>
  </cols>
  <sheetData>
    <row r="1" spans="2:8" ht="15" customHeight="1" thickBot="1"/>
    <row r="2" spans="2:8" ht="15" customHeight="1">
      <c r="B2" s="1884" t="s">
        <v>2992</v>
      </c>
      <c r="C2" s="1885"/>
      <c r="D2" s="1885"/>
      <c r="E2" s="1885"/>
      <c r="F2" s="1885"/>
      <c r="G2" s="1885"/>
      <c r="H2" s="1886"/>
    </row>
    <row r="3" spans="2:8" ht="15" customHeight="1">
      <c r="B3" s="1887" t="s">
        <v>893</v>
      </c>
      <c r="C3" s="1888"/>
      <c r="D3" s="1888"/>
      <c r="E3" s="1888"/>
      <c r="F3" s="1888"/>
      <c r="G3" s="1888"/>
      <c r="H3" s="1889"/>
    </row>
    <row r="4" spans="2:8" ht="15" customHeight="1" thickBot="1">
      <c r="B4" s="1890"/>
      <c r="C4" s="1891"/>
      <c r="D4" s="1891"/>
      <c r="E4" s="1891"/>
      <c r="F4" s="1891"/>
      <c r="G4" s="1891"/>
      <c r="H4" s="1892"/>
    </row>
    <row r="5" spans="2:8" ht="15" customHeight="1" thickBot="1">
      <c r="B5" s="1893" t="s">
        <v>230</v>
      </c>
      <c r="C5" s="1896" t="s">
        <v>828</v>
      </c>
      <c r="D5" s="1897"/>
      <c r="E5" s="1897"/>
      <c r="F5" s="1897"/>
      <c r="G5" s="1898"/>
      <c r="H5" s="1893" t="s">
        <v>820</v>
      </c>
    </row>
    <row r="6" spans="2:8" ht="28.5" customHeight="1" thickBot="1">
      <c r="B6" s="1894"/>
      <c r="C6" s="1229" t="s">
        <v>821</v>
      </c>
      <c r="D6" s="1106" t="s">
        <v>822</v>
      </c>
      <c r="E6" s="1229" t="s">
        <v>797</v>
      </c>
      <c r="F6" s="1230" t="s">
        <v>236</v>
      </c>
      <c r="G6" s="1230" t="s">
        <v>823</v>
      </c>
      <c r="H6" s="1895"/>
    </row>
    <row r="7" spans="2:8" ht="15" customHeight="1" thickBot="1">
      <c r="B7" s="1895"/>
      <c r="C7" s="1229">
        <v>1</v>
      </c>
      <c r="D7" s="1229">
        <v>2</v>
      </c>
      <c r="E7" s="1229" t="s">
        <v>824</v>
      </c>
      <c r="F7" s="1229">
        <v>4</v>
      </c>
      <c r="G7" s="1229">
        <v>5</v>
      </c>
      <c r="H7" s="1229" t="s">
        <v>825</v>
      </c>
    </row>
    <row r="8" spans="2:8" ht="15" customHeight="1">
      <c r="B8" s="1231" t="s">
        <v>894</v>
      </c>
      <c r="C8" s="1232"/>
      <c r="D8" s="1233"/>
      <c r="E8" s="1232"/>
      <c r="F8" s="1233"/>
      <c r="G8" s="1232"/>
      <c r="H8" s="1234"/>
    </row>
    <row r="9" spans="2:8" s="1238" customFormat="1" ht="30" customHeight="1">
      <c r="B9" s="1235" t="s">
        <v>895</v>
      </c>
      <c r="C9" s="1236">
        <f>SUM(C10:C11)</f>
        <v>0</v>
      </c>
      <c r="D9" s="1237">
        <f>SUM(D10:D11)</f>
        <v>0</v>
      </c>
      <c r="E9" s="1236">
        <f>C9+D9</f>
        <v>0</v>
      </c>
      <c r="F9" s="1237">
        <f>SUM(F10:F11)</f>
        <v>0</v>
      </c>
      <c r="G9" s="1236">
        <f>SUM(G10:G11)</f>
        <v>0</v>
      </c>
      <c r="H9" s="1234">
        <f>E9-F9</f>
        <v>0</v>
      </c>
    </row>
    <row r="10" spans="2:8" ht="15" customHeight="1">
      <c r="B10" s="1152" t="s">
        <v>896</v>
      </c>
      <c r="C10" s="1113">
        <v>0</v>
      </c>
      <c r="D10" s="1114">
        <v>0</v>
      </c>
      <c r="E10" s="1115">
        <f t="shared" ref="E10:E39" si="0">C10+D10</f>
        <v>0</v>
      </c>
      <c r="F10" s="1114">
        <v>0</v>
      </c>
      <c r="G10" s="1113">
        <v>0</v>
      </c>
      <c r="H10" s="1116">
        <f t="shared" ref="H10:H39" si="1">E10-F10</f>
        <v>0</v>
      </c>
    </row>
    <row r="11" spans="2:8" ht="15" customHeight="1">
      <c r="B11" s="1152" t="s">
        <v>897</v>
      </c>
      <c r="C11" s="1113">
        <v>0</v>
      </c>
      <c r="D11" s="1114">
        <v>0</v>
      </c>
      <c r="E11" s="1115">
        <f t="shared" si="0"/>
        <v>0</v>
      </c>
      <c r="F11" s="1114">
        <v>0</v>
      </c>
      <c r="G11" s="1113">
        <v>0</v>
      </c>
      <c r="H11" s="1116">
        <f t="shared" si="1"/>
        <v>0</v>
      </c>
    </row>
    <row r="12" spans="2:8" s="1238" customFormat="1" ht="15" customHeight="1">
      <c r="B12" s="1235" t="s">
        <v>898</v>
      </c>
      <c r="C12" s="1236">
        <f>SUM(C13:C20)</f>
        <v>137483289.13227999</v>
      </c>
      <c r="D12" s="1237">
        <f>SUM(D13:D20)</f>
        <v>0</v>
      </c>
      <c r="E12" s="1236">
        <f t="shared" si="0"/>
        <v>137483289.13227999</v>
      </c>
      <c r="F12" s="1237">
        <f>SUM(F13:F20)</f>
        <v>14910710.470000001</v>
      </c>
      <c r="G12" s="1236">
        <f>SUM(G13:G20)</f>
        <v>14910710.470000001</v>
      </c>
      <c r="H12" s="1234">
        <f t="shared" si="1"/>
        <v>122572578.66227999</v>
      </c>
    </row>
    <row r="13" spans="2:8" ht="15" customHeight="1">
      <c r="B13" s="1152" t="s">
        <v>899</v>
      </c>
      <c r="C13" s="1113">
        <v>0</v>
      </c>
      <c r="D13" s="1114">
        <v>0</v>
      </c>
      <c r="E13" s="1115">
        <f t="shared" si="0"/>
        <v>0</v>
      </c>
      <c r="F13" s="1114">
        <v>0</v>
      </c>
      <c r="G13" s="1113">
        <v>0</v>
      </c>
      <c r="H13" s="1116">
        <f t="shared" si="1"/>
        <v>0</v>
      </c>
    </row>
    <row r="14" spans="2:8" ht="15" customHeight="1">
      <c r="B14" s="1152" t="s">
        <v>900</v>
      </c>
      <c r="C14" s="1113">
        <v>0</v>
      </c>
      <c r="D14" s="1114">
        <v>0</v>
      </c>
      <c r="E14" s="1115">
        <f t="shared" si="0"/>
        <v>0</v>
      </c>
      <c r="F14" s="1114">
        <v>0</v>
      </c>
      <c r="G14" s="1113">
        <v>0</v>
      </c>
      <c r="H14" s="1116">
        <f t="shared" si="1"/>
        <v>0</v>
      </c>
    </row>
    <row r="15" spans="2:8" ht="30" customHeight="1">
      <c r="B15" s="1152" t="s">
        <v>901</v>
      </c>
      <c r="C15" s="1113">
        <v>0</v>
      </c>
      <c r="D15" s="1114">
        <v>0</v>
      </c>
      <c r="E15" s="1115">
        <f t="shared" si="0"/>
        <v>0</v>
      </c>
      <c r="F15" s="1114">
        <v>0</v>
      </c>
      <c r="G15" s="1113">
        <v>0</v>
      </c>
      <c r="H15" s="1116">
        <f t="shared" si="1"/>
        <v>0</v>
      </c>
    </row>
    <row r="16" spans="2:8" ht="15" customHeight="1">
      <c r="B16" s="1152" t="s">
        <v>902</v>
      </c>
      <c r="C16" s="1113">
        <f>+CProg!E17</f>
        <v>137483289.13227999</v>
      </c>
      <c r="D16" s="1114">
        <f>+CProg!F17</f>
        <v>0</v>
      </c>
      <c r="E16" s="1115">
        <f t="shared" si="0"/>
        <v>137483289.13227999</v>
      </c>
      <c r="F16" s="1114">
        <f>+CProg!H17</f>
        <v>14910710.470000001</v>
      </c>
      <c r="G16" s="1113">
        <f>+CProg!I17</f>
        <v>14910710.470000001</v>
      </c>
      <c r="H16" s="1116">
        <f t="shared" si="1"/>
        <v>122572578.66227999</v>
      </c>
    </row>
    <row r="17" spans="2:8" ht="15" customHeight="1">
      <c r="B17" s="1152" t="s">
        <v>903</v>
      </c>
      <c r="C17" s="1113">
        <v>0</v>
      </c>
      <c r="D17" s="1114">
        <v>0</v>
      </c>
      <c r="E17" s="1115">
        <f t="shared" si="0"/>
        <v>0</v>
      </c>
      <c r="F17" s="1114">
        <v>0</v>
      </c>
      <c r="G17" s="1113">
        <v>0</v>
      </c>
      <c r="H17" s="1116">
        <f t="shared" si="1"/>
        <v>0</v>
      </c>
    </row>
    <row r="18" spans="2:8" ht="30" customHeight="1">
      <c r="B18" s="1152" t="s">
        <v>904</v>
      </c>
      <c r="C18" s="1113">
        <v>0</v>
      </c>
      <c r="D18" s="1114">
        <v>0</v>
      </c>
      <c r="E18" s="1115">
        <f t="shared" si="0"/>
        <v>0</v>
      </c>
      <c r="F18" s="1114">
        <v>0</v>
      </c>
      <c r="G18" s="1113">
        <v>0</v>
      </c>
      <c r="H18" s="1116">
        <f t="shared" si="1"/>
        <v>0</v>
      </c>
    </row>
    <row r="19" spans="2:8" ht="15" customHeight="1">
      <c r="B19" s="1152" t="s">
        <v>905</v>
      </c>
      <c r="C19" s="1113">
        <v>0</v>
      </c>
      <c r="D19" s="1114">
        <v>0</v>
      </c>
      <c r="E19" s="1115">
        <f t="shared" si="0"/>
        <v>0</v>
      </c>
      <c r="F19" s="1114">
        <v>0</v>
      </c>
      <c r="G19" s="1113">
        <v>0</v>
      </c>
      <c r="H19" s="1116">
        <f t="shared" si="1"/>
        <v>0</v>
      </c>
    </row>
    <row r="20" spans="2:8" ht="15" customHeight="1">
      <c r="B20" s="1152" t="s">
        <v>906</v>
      </c>
      <c r="C20" s="1113">
        <v>0</v>
      </c>
      <c r="D20" s="1114">
        <v>0</v>
      </c>
      <c r="E20" s="1115">
        <f t="shared" si="0"/>
        <v>0</v>
      </c>
      <c r="F20" s="1114">
        <v>0</v>
      </c>
      <c r="G20" s="1113">
        <v>0</v>
      </c>
      <c r="H20" s="1116">
        <f t="shared" si="1"/>
        <v>0</v>
      </c>
    </row>
    <row r="21" spans="2:8" s="1238" customFormat="1" ht="15" customHeight="1">
      <c r="B21" s="1235" t="s">
        <v>907</v>
      </c>
      <c r="C21" s="1236">
        <f>SUM(C22:C24)</f>
        <v>0</v>
      </c>
      <c r="D21" s="1237">
        <f>SUM(D22:D24)</f>
        <v>0</v>
      </c>
      <c r="E21" s="1236">
        <f t="shared" si="0"/>
        <v>0</v>
      </c>
      <c r="F21" s="1237">
        <f>SUM(F22:F24)</f>
        <v>0</v>
      </c>
      <c r="G21" s="1236">
        <f>SUM(G22:G24)</f>
        <v>0</v>
      </c>
      <c r="H21" s="1234">
        <f t="shared" si="1"/>
        <v>0</v>
      </c>
    </row>
    <row r="22" spans="2:8" ht="30" customHeight="1">
      <c r="B22" s="1152" t="s">
        <v>908</v>
      </c>
      <c r="C22" s="1113">
        <v>0</v>
      </c>
      <c r="D22" s="1114">
        <v>0</v>
      </c>
      <c r="E22" s="1115">
        <f t="shared" si="0"/>
        <v>0</v>
      </c>
      <c r="F22" s="1114">
        <v>0</v>
      </c>
      <c r="G22" s="1113">
        <v>0</v>
      </c>
      <c r="H22" s="1116">
        <f t="shared" si="1"/>
        <v>0</v>
      </c>
    </row>
    <row r="23" spans="2:8" ht="30" customHeight="1">
      <c r="B23" s="1152" t="s">
        <v>909</v>
      </c>
      <c r="C23" s="1113">
        <v>0</v>
      </c>
      <c r="D23" s="1114">
        <v>0</v>
      </c>
      <c r="E23" s="1115">
        <f t="shared" si="0"/>
        <v>0</v>
      </c>
      <c r="F23" s="1114">
        <v>0</v>
      </c>
      <c r="G23" s="1113">
        <v>0</v>
      </c>
      <c r="H23" s="1116">
        <f t="shared" si="1"/>
        <v>0</v>
      </c>
    </row>
    <row r="24" spans="2:8" ht="15" customHeight="1">
      <c r="B24" s="1152" t="s">
        <v>910</v>
      </c>
      <c r="C24" s="1113">
        <v>0</v>
      </c>
      <c r="D24" s="1114">
        <v>0</v>
      </c>
      <c r="E24" s="1115">
        <f t="shared" si="0"/>
        <v>0</v>
      </c>
      <c r="F24" s="1114">
        <v>0</v>
      </c>
      <c r="G24" s="1113">
        <v>0</v>
      </c>
      <c r="H24" s="1116">
        <f t="shared" si="1"/>
        <v>0</v>
      </c>
    </row>
    <row r="25" spans="2:8" s="1238" customFormat="1" ht="15" customHeight="1">
      <c r="B25" s="1235" t="s">
        <v>911</v>
      </c>
      <c r="C25" s="1236">
        <f>SUM(C26:C27)</f>
        <v>0</v>
      </c>
      <c r="D25" s="1237">
        <f>SUM(D26:D27)</f>
        <v>0</v>
      </c>
      <c r="E25" s="1236">
        <f t="shared" si="0"/>
        <v>0</v>
      </c>
      <c r="F25" s="1237">
        <f>SUM(F26:F27)</f>
        <v>0</v>
      </c>
      <c r="G25" s="1236">
        <f>SUM(G26:G27)</f>
        <v>0</v>
      </c>
      <c r="H25" s="1234">
        <f t="shared" si="1"/>
        <v>0</v>
      </c>
    </row>
    <row r="26" spans="2:8" ht="30" customHeight="1">
      <c r="B26" s="1152" t="s">
        <v>912</v>
      </c>
      <c r="C26" s="1113">
        <v>0</v>
      </c>
      <c r="D26" s="1114">
        <v>0</v>
      </c>
      <c r="E26" s="1115">
        <f t="shared" si="0"/>
        <v>0</v>
      </c>
      <c r="F26" s="1114">
        <v>0</v>
      </c>
      <c r="G26" s="1113">
        <v>0</v>
      </c>
      <c r="H26" s="1116">
        <f t="shared" si="1"/>
        <v>0</v>
      </c>
    </row>
    <row r="27" spans="2:8" ht="15" customHeight="1">
      <c r="B27" s="1152" t="s">
        <v>913</v>
      </c>
      <c r="C27" s="1113">
        <v>0</v>
      </c>
      <c r="D27" s="1114">
        <v>0</v>
      </c>
      <c r="E27" s="1115">
        <f t="shared" si="0"/>
        <v>0</v>
      </c>
      <c r="F27" s="1114">
        <v>0</v>
      </c>
      <c r="G27" s="1113">
        <v>0</v>
      </c>
      <c r="H27" s="1116">
        <f t="shared" si="1"/>
        <v>0</v>
      </c>
    </row>
    <row r="28" spans="2:8" s="1238" customFormat="1" ht="15" customHeight="1">
      <c r="B28" s="1235" t="s">
        <v>914</v>
      </c>
      <c r="C28" s="1236">
        <f>SUM(C29:C32)</f>
        <v>776994.28421700012</v>
      </c>
      <c r="D28" s="1237">
        <f>SUM(D29:D32)</f>
        <v>0</v>
      </c>
      <c r="E28" s="1236">
        <f t="shared" si="0"/>
        <v>776994.28421700012</v>
      </c>
      <c r="F28" s="1237">
        <f>SUM(F29:F32)</f>
        <v>109791.84</v>
      </c>
      <c r="G28" s="1236">
        <f>SUM(G29:G32)</f>
        <v>109791.84</v>
      </c>
      <c r="H28" s="1234">
        <f t="shared" si="1"/>
        <v>667202.44421700016</v>
      </c>
    </row>
    <row r="29" spans="2:8" ht="15" customHeight="1">
      <c r="B29" s="1152" t="s">
        <v>915</v>
      </c>
      <c r="C29" s="1113">
        <f>+COG!D31</f>
        <v>776994.28421700012</v>
      </c>
      <c r="D29" s="1114">
        <f>+COG!E31</f>
        <v>0</v>
      </c>
      <c r="E29" s="1115">
        <f t="shared" si="0"/>
        <v>776994.28421700012</v>
      </c>
      <c r="F29" s="1114">
        <f>+COG!G31</f>
        <v>109791.84</v>
      </c>
      <c r="G29" s="1113">
        <f>+COG!H31</f>
        <v>109791.84</v>
      </c>
      <c r="H29" s="1116">
        <f t="shared" si="1"/>
        <v>667202.44421700016</v>
      </c>
    </row>
    <row r="30" spans="2:8" ht="15" customHeight="1">
      <c r="B30" s="1152" t="s">
        <v>916</v>
      </c>
      <c r="C30" s="1113">
        <v>0</v>
      </c>
      <c r="D30" s="1114">
        <v>0</v>
      </c>
      <c r="E30" s="1115">
        <f t="shared" si="0"/>
        <v>0</v>
      </c>
      <c r="F30" s="1114">
        <v>0</v>
      </c>
      <c r="G30" s="1113">
        <v>0</v>
      </c>
      <c r="H30" s="1116">
        <f t="shared" si="1"/>
        <v>0</v>
      </c>
    </row>
    <row r="31" spans="2:8" ht="15" customHeight="1">
      <c r="B31" s="1152" t="s">
        <v>917</v>
      </c>
      <c r="C31" s="1113">
        <v>0</v>
      </c>
      <c r="D31" s="1114">
        <v>0</v>
      </c>
      <c r="E31" s="1115">
        <f t="shared" si="0"/>
        <v>0</v>
      </c>
      <c r="F31" s="1114">
        <v>0</v>
      </c>
      <c r="G31" s="1113">
        <v>0</v>
      </c>
      <c r="H31" s="1116">
        <f t="shared" si="1"/>
        <v>0</v>
      </c>
    </row>
    <row r="32" spans="2:8" ht="30" customHeight="1">
      <c r="B32" s="1152" t="s">
        <v>918</v>
      </c>
      <c r="C32" s="1113">
        <v>0</v>
      </c>
      <c r="D32" s="1114">
        <v>0</v>
      </c>
      <c r="E32" s="1115">
        <f t="shared" si="0"/>
        <v>0</v>
      </c>
      <c r="F32" s="1114">
        <v>0</v>
      </c>
      <c r="G32" s="1113">
        <v>0</v>
      </c>
      <c r="H32" s="1116">
        <f t="shared" si="1"/>
        <v>0</v>
      </c>
    </row>
    <row r="33" spans="2:8" s="1238" customFormat="1" ht="27.6" customHeight="1">
      <c r="B33" s="1235" t="s">
        <v>919</v>
      </c>
      <c r="C33" s="1236">
        <f>SUM(C34)</f>
        <v>0</v>
      </c>
      <c r="D33" s="1237">
        <f>SUM(D34)</f>
        <v>0</v>
      </c>
      <c r="E33" s="1236">
        <f t="shared" si="0"/>
        <v>0</v>
      </c>
      <c r="F33" s="1237">
        <f>SUM(F34)</f>
        <v>0</v>
      </c>
      <c r="G33" s="1236">
        <f>SUM(G34)</f>
        <v>0</v>
      </c>
      <c r="H33" s="1234">
        <f t="shared" si="1"/>
        <v>0</v>
      </c>
    </row>
    <row r="34" spans="2:8" ht="15" customHeight="1">
      <c r="B34" s="1152" t="s">
        <v>920</v>
      </c>
      <c r="C34" s="1113">
        <v>0</v>
      </c>
      <c r="D34" s="1114">
        <v>0</v>
      </c>
      <c r="E34" s="1115">
        <f t="shared" si="0"/>
        <v>0</v>
      </c>
      <c r="F34" s="1114">
        <v>0</v>
      </c>
      <c r="G34" s="1113">
        <v>0</v>
      </c>
      <c r="H34" s="1116">
        <f t="shared" si="1"/>
        <v>0</v>
      </c>
    </row>
    <row r="35" spans="2:8" s="1238" customFormat="1" ht="15" customHeight="1">
      <c r="B35" s="1133" t="s">
        <v>921</v>
      </c>
      <c r="C35" s="1239">
        <v>0</v>
      </c>
      <c r="D35" s="1240">
        <v>0</v>
      </c>
      <c r="E35" s="1236">
        <f t="shared" si="0"/>
        <v>0</v>
      </c>
      <c r="F35" s="1240">
        <v>0</v>
      </c>
      <c r="G35" s="1239">
        <v>0</v>
      </c>
      <c r="H35" s="1234">
        <f t="shared" si="1"/>
        <v>0</v>
      </c>
    </row>
    <row r="36" spans="2:8" s="1238" customFormat="1" ht="30" customHeight="1">
      <c r="B36" s="1133" t="s">
        <v>922</v>
      </c>
      <c r="C36" s="1239">
        <v>0</v>
      </c>
      <c r="D36" s="1240">
        <v>0</v>
      </c>
      <c r="E36" s="1236">
        <f t="shared" si="0"/>
        <v>0</v>
      </c>
      <c r="F36" s="1240">
        <v>0</v>
      </c>
      <c r="G36" s="1239">
        <v>0</v>
      </c>
      <c r="H36" s="1234">
        <f t="shared" si="1"/>
        <v>0</v>
      </c>
    </row>
    <row r="37" spans="2:8" s="1238" customFormat="1" ht="15" customHeight="1">
      <c r="B37" s="1133" t="s">
        <v>923</v>
      </c>
      <c r="C37" s="1239">
        <v>0</v>
      </c>
      <c r="D37" s="1240">
        <v>0</v>
      </c>
      <c r="E37" s="1236">
        <f t="shared" si="0"/>
        <v>0</v>
      </c>
      <c r="F37" s="1240">
        <v>0</v>
      </c>
      <c r="G37" s="1239">
        <v>0</v>
      </c>
      <c r="H37" s="1234">
        <f t="shared" si="1"/>
        <v>0</v>
      </c>
    </row>
    <row r="38" spans="2:8" ht="15" customHeight="1" thickBot="1">
      <c r="B38" s="1241"/>
      <c r="C38" s="1115"/>
      <c r="D38" s="1118"/>
      <c r="E38" s="1115"/>
      <c r="F38" s="1118"/>
      <c r="G38" s="1115"/>
      <c r="H38" s="1116"/>
    </row>
    <row r="39" spans="2:8" s="1238" customFormat="1" ht="15" customHeight="1" thickBot="1">
      <c r="B39" s="1119" t="s">
        <v>4957</v>
      </c>
      <c r="C39" s="1120">
        <f>SUM(C37,C36,C35,C33,C28,C25,C21,C12,C9)</f>
        <v>138260283.41649699</v>
      </c>
      <c r="D39" s="1121">
        <f>SUM(D37,D36,D35,D33,D28,D25,D9,D12,D21)</f>
        <v>0</v>
      </c>
      <c r="E39" s="1120">
        <f t="shared" si="0"/>
        <v>138260283.41649699</v>
      </c>
      <c r="F39" s="1121">
        <f>SUM(F37,F36,F35,F33,F28,F25,F21,F12,F9)</f>
        <v>15020502.310000001</v>
      </c>
      <c r="G39" s="1120">
        <f>SUM(G37,G36,G35,G33,G28,G25,G21,G12,G9)</f>
        <v>15020502.310000001</v>
      </c>
      <c r="H39" s="1122">
        <f t="shared" si="1"/>
        <v>123239781.10649699</v>
      </c>
    </row>
  </sheetData>
  <mergeCells count="6">
    <mergeCell ref="B2:H2"/>
    <mergeCell ref="B3:H3"/>
    <mergeCell ref="B4:H4"/>
    <mergeCell ref="B5:B7"/>
    <mergeCell ref="C5:G5"/>
    <mergeCell ref="H5:H6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6">
    <pageSetUpPr fitToPage="1"/>
  </sheetPr>
  <dimension ref="A1:M30"/>
  <sheetViews>
    <sheetView workbookViewId="0">
      <selection activeCell="H15" sqref="H15:I24"/>
    </sheetView>
  </sheetViews>
  <sheetFormatPr baseColWidth="10" defaultRowHeight="14.25"/>
  <cols>
    <col min="1" max="1" width="3" style="407" customWidth="1"/>
    <col min="2" max="2" width="18.5703125" style="407" customWidth="1"/>
    <col min="3" max="3" width="19" style="407" customWidth="1"/>
    <col min="4" max="4" width="11.42578125" style="407"/>
    <col min="5" max="5" width="12" style="407" bestFit="1" customWidth="1"/>
    <col min="6" max="7" width="11.42578125" style="407"/>
    <col min="8" max="8" width="13.42578125" style="407" customWidth="1"/>
    <col min="9" max="9" width="10" style="407" customWidth="1"/>
    <col min="10" max="10" width="3" style="407" customWidth="1"/>
    <col min="11" max="16384" width="11.42578125" style="407"/>
  </cols>
  <sheetData>
    <row r="1" spans="1:13">
      <c r="A1" s="406"/>
      <c r="B1" s="406"/>
      <c r="C1" s="406"/>
      <c r="D1" s="406"/>
      <c r="E1" s="406"/>
      <c r="F1" s="406"/>
      <c r="G1" s="406"/>
      <c r="H1" s="406"/>
      <c r="I1" s="406"/>
      <c r="J1" s="406"/>
    </row>
    <row r="2" spans="1:13">
      <c r="A2" s="406"/>
      <c r="B2" s="1734"/>
      <c r="C2" s="1735"/>
      <c r="D2" s="1735"/>
      <c r="E2" s="1735"/>
      <c r="F2" s="1735"/>
      <c r="G2" s="1735"/>
      <c r="H2" s="1735"/>
      <c r="I2" s="1736"/>
      <c r="J2" s="406"/>
    </row>
    <row r="3" spans="1:13">
      <c r="A3" s="406"/>
      <c r="B3" s="1737" t="s">
        <v>2992</v>
      </c>
      <c r="C3" s="1738"/>
      <c r="D3" s="1738"/>
      <c r="E3" s="1738"/>
      <c r="F3" s="1738"/>
      <c r="G3" s="1738"/>
      <c r="H3" s="1738"/>
      <c r="I3" s="1739"/>
      <c r="J3" s="406"/>
    </row>
    <row r="4" spans="1:13">
      <c r="A4" s="406"/>
      <c r="B4" s="1737" t="s">
        <v>228</v>
      </c>
      <c r="C4" s="1738"/>
      <c r="D4" s="1738"/>
      <c r="E4" s="1738"/>
      <c r="F4" s="1738"/>
      <c r="G4" s="1738"/>
      <c r="H4" s="1738"/>
      <c r="I4" s="1739"/>
      <c r="J4" s="406"/>
    </row>
    <row r="5" spans="1:13">
      <c r="A5" s="406"/>
      <c r="B5" s="1740" t="str">
        <f>+EA!C3</f>
        <v>Del 1 de enero al 30 de abril de 2021</v>
      </c>
      <c r="C5" s="1741"/>
      <c r="D5" s="1741"/>
      <c r="E5" s="1741"/>
      <c r="F5" s="1741"/>
      <c r="G5" s="1741"/>
      <c r="H5" s="1741"/>
      <c r="I5" s="1742"/>
      <c r="J5" s="406"/>
    </row>
    <row r="6" spans="1:13">
      <c r="A6" s="406"/>
      <c r="B6" s="452"/>
      <c r="C6" s="406"/>
      <c r="D6" s="406"/>
      <c r="E6" s="406"/>
      <c r="F6" s="406"/>
      <c r="G6" s="406"/>
      <c r="H6" s="406"/>
      <c r="I6" s="406"/>
      <c r="J6" s="406"/>
      <c r="L6" s="730"/>
    </row>
    <row r="7" spans="1:13">
      <c r="A7" s="406"/>
      <c r="B7" s="1899" t="s">
        <v>880</v>
      </c>
      <c r="C7" s="1899"/>
      <c r="D7" s="1899" t="s">
        <v>881</v>
      </c>
      <c r="E7" s="1899"/>
      <c r="F7" s="1899" t="s">
        <v>882</v>
      </c>
      <c r="G7" s="1899"/>
      <c r="H7" s="1899" t="s">
        <v>883</v>
      </c>
      <c r="I7" s="1899"/>
      <c r="J7" s="406"/>
    </row>
    <row r="8" spans="1:13">
      <c r="A8" s="406"/>
      <c r="B8" s="1899"/>
      <c r="C8" s="1899"/>
      <c r="D8" s="1899" t="s">
        <v>345</v>
      </c>
      <c r="E8" s="1899"/>
      <c r="F8" s="1899" t="s">
        <v>884</v>
      </c>
      <c r="G8" s="1899"/>
      <c r="H8" s="1899" t="s">
        <v>885</v>
      </c>
      <c r="I8" s="1899"/>
      <c r="J8" s="406"/>
    </row>
    <row r="9" spans="1:13">
      <c r="A9" s="406"/>
      <c r="B9" s="1737" t="s">
        <v>886</v>
      </c>
      <c r="C9" s="1738"/>
      <c r="D9" s="1738"/>
      <c r="E9" s="1738"/>
      <c r="F9" s="1738"/>
      <c r="G9" s="1738"/>
      <c r="H9" s="1738"/>
      <c r="I9" s="1739"/>
      <c r="J9" s="406"/>
      <c r="L9" s="730"/>
    </row>
    <row r="10" spans="1:13">
      <c r="A10" s="406"/>
      <c r="B10" s="1900"/>
      <c r="C10" s="1900"/>
      <c r="D10" s="1900"/>
      <c r="E10" s="1900"/>
      <c r="F10" s="1900"/>
      <c r="G10" s="1900"/>
      <c r="H10" s="1902">
        <f>+D10-F10</f>
        <v>0</v>
      </c>
      <c r="I10" s="1903"/>
      <c r="J10" s="406"/>
    </row>
    <row r="11" spans="1:13">
      <c r="A11" s="406"/>
      <c r="B11" s="1900"/>
      <c r="C11" s="1900"/>
      <c r="D11" s="1901"/>
      <c r="E11" s="1901"/>
      <c r="F11" s="1901"/>
      <c r="G11" s="1901"/>
      <c r="H11" s="1902">
        <f t="shared" ref="H11:H12" si="0">+D11-F11</f>
        <v>0</v>
      </c>
      <c r="I11" s="1903"/>
      <c r="J11" s="406"/>
      <c r="L11" s="730"/>
    </row>
    <row r="12" spans="1:13">
      <c r="A12" s="406"/>
      <c r="B12" s="1900" t="s">
        <v>887</v>
      </c>
      <c r="C12" s="1900"/>
      <c r="D12" s="1901">
        <f>SUM(D10:E11)</f>
        <v>0</v>
      </c>
      <c r="E12" s="1901"/>
      <c r="F12" s="1901">
        <f>SUM(F10:G11)</f>
        <v>0</v>
      </c>
      <c r="G12" s="1901"/>
      <c r="H12" s="1902">
        <f t="shared" si="0"/>
        <v>0</v>
      </c>
      <c r="I12" s="1903"/>
      <c r="J12" s="406"/>
      <c r="L12" s="730"/>
    </row>
    <row r="13" spans="1:13">
      <c r="A13" s="406"/>
      <c r="B13" s="1900"/>
      <c r="C13" s="1900"/>
      <c r="D13" s="1900"/>
      <c r="E13" s="1900"/>
      <c r="F13" s="1900"/>
      <c r="G13" s="1900"/>
      <c r="H13" s="1900"/>
      <c r="I13" s="1900"/>
      <c r="J13" s="406"/>
      <c r="K13" s="827"/>
      <c r="L13" s="730"/>
    </row>
    <row r="14" spans="1:13">
      <c r="A14" s="406"/>
      <c r="B14" s="1737" t="s">
        <v>888</v>
      </c>
      <c r="C14" s="1738"/>
      <c r="D14" s="1738"/>
      <c r="E14" s="1738"/>
      <c r="F14" s="1738"/>
      <c r="G14" s="1738"/>
      <c r="H14" s="1738"/>
      <c r="I14" s="1739"/>
      <c r="J14" s="406"/>
      <c r="L14" s="730"/>
    </row>
    <row r="15" spans="1:13" ht="22.5">
      <c r="A15" s="406"/>
      <c r="B15" s="457" t="s">
        <v>956</v>
      </c>
      <c r="C15" s="458" t="s">
        <v>957</v>
      </c>
      <c r="D15" s="455"/>
      <c r="E15" s="459">
        <v>1510550.5</v>
      </c>
      <c r="F15" s="1900"/>
      <c r="G15" s="1900"/>
      <c r="H15" s="1904">
        <f>+E15-F15</f>
        <v>1510550.5</v>
      </c>
      <c r="I15" s="1903"/>
      <c r="J15" s="406"/>
      <c r="L15" s="827"/>
      <c r="M15" s="730"/>
    </row>
    <row r="16" spans="1:13" ht="22.5">
      <c r="A16" s="406"/>
      <c r="B16" s="457" t="s">
        <v>6048</v>
      </c>
      <c r="C16" s="458" t="s">
        <v>6050</v>
      </c>
      <c r="D16" s="455"/>
      <c r="E16" s="459">
        <v>50332.44</v>
      </c>
      <c r="F16" s="1900"/>
      <c r="G16" s="1900"/>
      <c r="H16" s="1904">
        <f t="shared" ref="H16" si="1">+E16-F16</f>
        <v>50332.44</v>
      </c>
      <c r="I16" s="1903"/>
      <c r="J16" s="406"/>
      <c r="M16" s="730"/>
    </row>
    <row r="17" spans="1:10" ht="22.5">
      <c r="A17" s="406"/>
      <c r="B17" s="457" t="s">
        <v>1840</v>
      </c>
      <c r="C17" s="458" t="s">
        <v>1841</v>
      </c>
      <c r="D17" s="455"/>
      <c r="E17" s="459">
        <v>32685.73</v>
      </c>
      <c r="F17" s="1900"/>
      <c r="G17" s="1900"/>
      <c r="H17" s="1904">
        <f t="shared" ref="H17" si="2">+E17-F17</f>
        <v>32685.73</v>
      </c>
      <c r="I17" s="1903"/>
      <c r="J17" s="406"/>
    </row>
    <row r="18" spans="1:10" ht="22.5">
      <c r="A18" s="406"/>
      <c r="B18" s="457" t="s">
        <v>6954</v>
      </c>
      <c r="C18" s="458" t="s">
        <v>6958</v>
      </c>
      <c r="D18" s="455"/>
      <c r="E18" s="459">
        <v>70760</v>
      </c>
      <c r="F18" s="1900"/>
      <c r="G18" s="1900"/>
      <c r="H18" s="1904">
        <f t="shared" ref="H18" si="3">+E18-F18</f>
        <v>70760</v>
      </c>
      <c r="I18" s="1903"/>
      <c r="J18" s="406"/>
    </row>
    <row r="19" spans="1:10" ht="22.5">
      <c r="A19" s="406"/>
      <c r="B19" s="457" t="s">
        <v>3233</v>
      </c>
      <c r="C19" s="458" t="s">
        <v>2986</v>
      </c>
      <c r="D19" s="455"/>
      <c r="E19" s="459">
        <v>8479.58</v>
      </c>
      <c r="F19" s="1900"/>
      <c r="G19" s="1900"/>
      <c r="H19" s="1904">
        <f t="shared" ref="H19" si="4">+E19-F19</f>
        <v>8479.58</v>
      </c>
      <c r="I19" s="1903"/>
      <c r="J19" s="406"/>
    </row>
    <row r="20" spans="1:10" ht="22.5">
      <c r="A20" s="406"/>
      <c r="B20" s="457" t="s">
        <v>6049</v>
      </c>
      <c r="C20" s="458" t="s">
        <v>2986</v>
      </c>
      <c r="D20" s="455"/>
      <c r="E20" s="459">
        <v>368.37</v>
      </c>
      <c r="F20" s="1900"/>
      <c r="G20" s="1900"/>
      <c r="H20" s="1904">
        <f t="shared" ref="H20:H22" si="5">+E20-F20</f>
        <v>368.37</v>
      </c>
      <c r="I20" s="1903"/>
      <c r="J20" s="406"/>
    </row>
    <row r="21" spans="1:10" ht="22.5">
      <c r="A21" s="406"/>
      <c r="B21" s="457" t="s">
        <v>6955</v>
      </c>
      <c r="C21" s="458" t="s">
        <v>2986</v>
      </c>
      <c r="D21" s="455"/>
      <c r="E21" s="459">
        <v>972.88</v>
      </c>
      <c r="F21" s="1900"/>
      <c r="G21" s="1900"/>
      <c r="H21" s="1904">
        <f t="shared" si="5"/>
        <v>972.88</v>
      </c>
      <c r="I21" s="1903"/>
      <c r="J21" s="406"/>
    </row>
    <row r="22" spans="1:10" ht="22.5">
      <c r="A22" s="406"/>
      <c r="B22" s="457" t="s">
        <v>3184</v>
      </c>
      <c r="C22" s="458" t="s">
        <v>2986</v>
      </c>
      <c r="D22" s="455"/>
      <c r="E22" s="459">
        <v>201.5</v>
      </c>
      <c r="F22" s="1900"/>
      <c r="G22" s="1900"/>
      <c r="H22" s="1904">
        <f t="shared" si="5"/>
        <v>201.5</v>
      </c>
      <c r="I22" s="1903"/>
      <c r="J22" s="406"/>
    </row>
    <row r="23" spans="1:10" ht="33.75">
      <c r="A23" s="406"/>
      <c r="B23" s="457" t="s">
        <v>6956</v>
      </c>
      <c r="C23" s="458" t="s">
        <v>2986</v>
      </c>
      <c r="D23" s="455"/>
      <c r="E23" s="459">
        <v>1023.43</v>
      </c>
      <c r="F23" s="1900"/>
      <c r="G23" s="1900"/>
      <c r="H23" s="1904">
        <f t="shared" ref="H23" si="6">+E23-F23</f>
        <v>1023.43</v>
      </c>
      <c r="I23" s="1903"/>
      <c r="J23" s="406"/>
    </row>
    <row r="24" spans="1:10" ht="22.5">
      <c r="A24" s="406"/>
      <c r="B24" s="457" t="s">
        <v>6957</v>
      </c>
      <c r="C24" s="458" t="s">
        <v>2986</v>
      </c>
      <c r="D24" s="455"/>
      <c r="E24" s="459">
        <v>165</v>
      </c>
      <c r="F24" s="1900"/>
      <c r="G24" s="1900"/>
      <c r="H24" s="1904">
        <f t="shared" ref="H24" si="7">+E24-F24</f>
        <v>165</v>
      </c>
      <c r="I24" s="1903"/>
      <c r="J24" s="406"/>
    </row>
    <row r="25" spans="1:10">
      <c r="A25" s="406"/>
      <c r="B25" s="457"/>
      <c r="C25" s="458"/>
      <c r="D25" s="455"/>
      <c r="E25" s="459"/>
      <c r="F25" s="1901"/>
      <c r="G25" s="1901"/>
      <c r="H25" s="1904"/>
      <c r="I25" s="1903"/>
      <c r="J25" s="406"/>
    </row>
    <row r="26" spans="1:10">
      <c r="A26" s="406"/>
      <c r="B26" s="455"/>
      <c r="C26" s="456"/>
      <c r="D26" s="1901"/>
      <c r="E26" s="1901"/>
      <c r="F26" s="1901"/>
      <c r="G26" s="1901"/>
      <c r="H26" s="1904"/>
      <c r="I26" s="1903"/>
      <c r="J26" s="406"/>
    </row>
    <row r="27" spans="1:10">
      <c r="A27" s="406"/>
      <c r="B27" s="1900" t="s">
        <v>889</v>
      </c>
      <c r="C27" s="1900"/>
      <c r="D27" s="1909">
        <f>SUM(D15:E26)</f>
        <v>1675539.43</v>
      </c>
      <c r="E27" s="1909"/>
      <c r="F27" s="1909">
        <f>SUM(F15:G26)</f>
        <v>0</v>
      </c>
      <c r="G27" s="1909"/>
      <c r="H27" s="1909">
        <f t="shared" ref="H27" si="8">SUM(H15:I26)</f>
        <v>1675539.43</v>
      </c>
      <c r="I27" s="1909"/>
      <c r="J27" s="406"/>
    </row>
    <row r="28" spans="1:10">
      <c r="A28" s="406"/>
      <c r="B28" s="1900"/>
      <c r="C28" s="1900"/>
      <c r="D28" s="1909"/>
      <c r="E28" s="1909"/>
      <c r="F28" s="1909"/>
      <c r="G28" s="1909"/>
      <c r="H28" s="1909"/>
      <c r="I28" s="1909"/>
      <c r="J28" s="406"/>
    </row>
    <row r="29" spans="1:10">
      <c r="A29" s="406"/>
      <c r="B29" s="1905" t="s">
        <v>98</v>
      </c>
      <c r="C29" s="1906"/>
      <c r="D29" s="1907">
        <f>+D12+D27</f>
        <v>1675539.43</v>
      </c>
      <c r="E29" s="1908"/>
      <c r="F29" s="1907">
        <f>+F12+F27</f>
        <v>0</v>
      </c>
      <c r="G29" s="1908"/>
      <c r="H29" s="1907">
        <f>+H12+H27</f>
        <v>1675539.43</v>
      </c>
      <c r="I29" s="1908"/>
      <c r="J29" s="406"/>
    </row>
    <row r="30" spans="1:10">
      <c r="A30" s="406"/>
      <c r="B30" s="406"/>
      <c r="C30" s="406"/>
      <c r="D30" s="406"/>
      <c r="E30" s="406"/>
      <c r="F30" s="406"/>
      <c r="G30" s="406"/>
      <c r="H30" s="406"/>
      <c r="I30" s="406"/>
      <c r="J30" s="406"/>
    </row>
  </sheetData>
  <mergeCells count="67">
    <mergeCell ref="D26:E26"/>
    <mergeCell ref="B29:C29"/>
    <mergeCell ref="D29:E29"/>
    <mergeCell ref="F29:G29"/>
    <mergeCell ref="H29:I29"/>
    <mergeCell ref="B27:C27"/>
    <mergeCell ref="D27:E27"/>
    <mergeCell ref="F27:G27"/>
    <mergeCell ref="H27:I27"/>
    <mergeCell ref="B28:C28"/>
    <mergeCell ref="D28:E28"/>
    <mergeCell ref="F28:G28"/>
    <mergeCell ref="H28:I28"/>
    <mergeCell ref="F26:G26"/>
    <mergeCell ref="H26:I26"/>
    <mergeCell ref="B14:I14"/>
    <mergeCell ref="F15:G15"/>
    <mergeCell ref="H15:I15"/>
    <mergeCell ref="H16:I16"/>
    <mergeCell ref="F16:G16"/>
    <mergeCell ref="H25:I25"/>
    <mergeCell ref="F18:G18"/>
    <mergeCell ref="F17:G17"/>
    <mergeCell ref="H17:I17"/>
    <mergeCell ref="F19:G19"/>
    <mergeCell ref="H19:I19"/>
    <mergeCell ref="F25:G25"/>
    <mergeCell ref="H18:I18"/>
    <mergeCell ref="F24:G24"/>
    <mergeCell ref="H24:I24"/>
    <mergeCell ref="F23:G23"/>
    <mergeCell ref="H23:I23"/>
    <mergeCell ref="F20:G20"/>
    <mergeCell ref="F21:G21"/>
    <mergeCell ref="F22:G22"/>
    <mergeCell ref="H20:I20"/>
    <mergeCell ref="H21:I21"/>
    <mergeCell ref="H22:I22"/>
    <mergeCell ref="B10:C10"/>
    <mergeCell ref="D10:E10"/>
    <mergeCell ref="F11:G11"/>
    <mergeCell ref="H11:I11"/>
    <mergeCell ref="H10:I10"/>
    <mergeCell ref="B2:I2"/>
    <mergeCell ref="B3:I3"/>
    <mergeCell ref="B4:I4"/>
    <mergeCell ref="B5:I5"/>
    <mergeCell ref="B7:C7"/>
    <mergeCell ref="D7:E7"/>
    <mergeCell ref="F7:G7"/>
    <mergeCell ref="H7:I7"/>
    <mergeCell ref="B8:C8"/>
    <mergeCell ref="D8:E8"/>
    <mergeCell ref="F8:G8"/>
    <mergeCell ref="H8:I8"/>
    <mergeCell ref="B13:C13"/>
    <mergeCell ref="D13:E13"/>
    <mergeCell ref="F13:G13"/>
    <mergeCell ref="H13:I13"/>
    <mergeCell ref="B9:I9"/>
    <mergeCell ref="F10:G10"/>
    <mergeCell ref="B12:C12"/>
    <mergeCell ref="D12:E12"/>
    <mergeCell ref="F12:G12"/>
    <mergeCell ref="H12:I12"/>
    <mergeCell ref="B11:C11"/>
    <mergeCell ref="D11:E11"/>
  </mergeCells>
  <pageMargins left="0.70866141732283472" right="0.70866141732283472" top="0.74803149606299213" bottom="0.74803149606299213" header="0.31496062992125984" footer="0.31496062992125984"/>
  <pageSetup scale="84"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9CE648-74D5-44B2-A754-7B0480FD033D}">
  <dimension ref="B1:E27"/>
  <sheetViews>
    <sheetView topLeftCell="A10" workbookViewId="0">
      <selection activeCell="C22" sqref="C22"/>
    </sheetView>
  </sheetViews>
  <sheetFormatPr baseColWidth="10" defaultRowHeight="12.75"/>
  <cols>
    <col min="1" max="1" width="4.7109375" customWidth="1"/>
    <col min="2" max="2" width="51" customWidth="1"/>
    <col min="3" max="3" width="31" customWidth="1"/>
    <col min="4" max="5" width="30.7109375" customWidth="1"/>
    <col min="6" max="6" width="4.7109375" customWidth="1"/>
  </cols>
  <sheetData>
    <row r="1" spans="2:5" ht="13.5" thickBot="1">
      <c r="B1" s="1104"/>
      <c r="C1" s="1104"/>
      <c r="D1" s="1104"/>
      <c r="E1" s="1104"/>
    </row>
    <row r="2" spans="2:5">
      <c r="B2" s="1798" t="s">
        <v>2992</v>
      </c>
      <c r="C2" s="1799"/>
      <c r="D2" s="1799"/>
      <c r="E2" s="1800"/>
    </row>
    <row r="3" spans="2:5">
      <c r="B3" s="1801" t="s">
        <v>228</v>
      </c>
      <c r="C3" s="1802"/>
      <c r="D3" s="1802"/>
      <c r="E3" s="1803"/>
    </row>
    <row r="4" spans="2:5" ht="13.5" thickBot="1">
      <c r="B4" s="1831"/>
      <c r="C4" s="1832"/>
      <c r="D4" s="1832"/>
      <c r="E4" s="1913"/>
    </row>
    <row r="5" spans="2:5" ht="13.5" thickBot="1">
      <c r="B5" s="1810" t="s">
        <v>5008</v>
      </c>
      <c r="C5" s="1176" t="s">
        <v>5009</v>
      </c>
      <c r="D5" s="1176" t="s">
        <v>5010</v>
      </c>
      <c r="E5" s="1128" t="s">
        <v>883</v>
      </c>
    </row>
    <row r="6" spans="2:5" ht="13.5" thickBot="1">
      <c r="B6" s="1811"/>
      <c r="C6" s="1105" t="s">
        <v>345</v>
      </c>
      <c r="D6" s="1105" t="s">
        <v>884</v>
      </c>
      <c r="E6" s="1105" t="s">
        <v>885</v>
      </c>
    </row>
    <row r="7" spans="2:5" ht="13.5" thickBot="1">
      <c r="B7" s="1910" t="s">
        <v>886</v>
      </c>
      <c r="C7" s="1911"/>
      <c r="D7" s="1911"/>
      <c r="E7" s="1912"/>
    </row>
    <row r="8" spans="2:5">
      <c r="B8" s="1177"/>
      <c r="C8" s="1178"/>
      <c r="D8" s="1178"/>
      <c r="E8" s="1179">
        <f t="shared" ref="E8:E15" si="0">C8-D8</f>
        <v>0</v>
      </c>
    </row>
    <row r="9" spans="2:5">
      <c r="B9" s="1180"/>
      <c r="C9" s="1181"/>
      <c r="D9" s="1181"/>
      <c r="E9" s="1182">
        <f t="shared" si="0"/>
        <v>0</v>
      </c>
    </row>
    <row r="10" spans="2:5">
      <c r="B10" s="1180"/>
      <c r="C10" s="1181"/>
      <c r="D10" s="1181"/>
      <c r="E10" s="1182">
        <f t="shared" si="0"/>
        <v>0</v>
      </c>
    </row>
    <row r="11" spans="2:5">
      <c r="B11" s="1180"/>
      <c r="C11" s="1181"/>
      <c r="D11" s="1181"/>
      <c r="E11" s="1182">
        <f t="shared" si="0"/>
        <v>0</v>
      </c>
    </row>
    <row r="12" spans="2:5">
      <c r="B12" s="1183"/>
      <c r="C12" s="1181"/>
      <c r="D12" s="1181"/>
      <c r="E12" s="1182">
        <f t="shared" si="0"/>
        <v>0</v>
      </c>
    </row>
    <row r="13" spans="2:5">
      <c r="B13" s="1180"/>
      <c r="C13" s="1181"/>
      <c r="D13" s="1181"/>
      <c r="E13" s="1182">
        <f t="shared" si="0"/>
        <v>0</v>
      </c>
    </row>
    <row r="14" spans="2:5">
      <c r="B14" s="1183"/>
      <c r="C14" s="1181"/>
      <c r="D14" s="1181"/>
      <c r="E14" s="1182">
        <f t="shared" si="0"/>
        <v>0</v>
      </c>
    </row>
    <row r="15" spans="2:5" s="1187" customFormat="1" ht="15">
      <c r="B15" s="1184" t="s">
        <v>5011</v>
      </c>
      <c r="C15" s="1185">
        <f>SUM(C8:C14)</f>
        <v>0</v>
      </c>
      <c r="D15" s="1185">
        <f>SUM(D8:D14)</f>
        <v>0</v>
      </c>
      <c r="E15" s="1186">
        <f t="shared" si="0"/>
        <v>0</v>
      </c>
    </row>
    <row r="16" spans="2:5" ht="13.5" thickBot="1">
      <c r="B16" s="1188"/>
      <c r="C16" s="1189"/>
      <c r="D16" s="1189"/>
      <c r="E16" s="1190"/>
    </row>
    <row r="17" spans="2:5" ht="13.5" thickBot="1">
      <c r="B17" s="1910" t="s">
        <v>888</v>
      </c>
      <c r="C17" s="1911"/>
      <c r="D17" s="1911"/>
      <c r="E17" s="1912"/>
    </row>
    <row r="18" spans="2:5">
      <c r="B18" s="1191" t="s">
        <v>5012</v>
      </c>
      <c r="C18" s="1178">
        <f>+'End Neto'!E15</f>
        <v>1510550.5</v>
      </c>
      <c r="D18" s="1178"/>
      <c r="E18" s="1179">
        <f t="shared" ref="E18:E25" si="1">C18-D18</f>
        <v>1510550.5</v>
      </c>
    </row>
    <row r="19" spans="2:5">
      <c r="B19" s="1183" t="s">
        <v>5013</v>
      </c>
      <c r="C19" s="1181">
        <f>+'End Neto'!E16</f>
        <v>50332.44</v>
      </c>
      <c r="D19" s="1181"/>
      <c r="E19" s="1182">
        <f t="shared" si="1"/>
        <v>50332.44</v>
      </c>
    </row>
    <row r="20" spans="2:5">
      <c r="B20" s="1183" t="s">
        <v>5838</v>
      </c>
      <c r="C20" s="1181">
        <f>+'End Neto'!E17</f>
        <v>32685.73</v>
      </c>
      <c r="D20" s="1181"/>
      <c r="E20" s="1182"/>
    </row>
    <row r="21" spans="2:5">
      <c r="B21" s="1183" t="s">
        <v>5924</v>
      </c>
      <c r="C21" s="1181" t="e">
        <f>+'End Neto'!#REF!+'End Neto'!E18</f>
        <v>#REF!</v>
      </c>
      <c r="D21" s="1181"/>
      <c r="E21" s="1182"/>
    </row>
    <row r="22" spans="2:5">
      <c r="B22" s="1183" t="s">
        <v>5014</v>
      </c>
      <c r="C22" s="1181">
        <f>+'End Neto'!E19+'End Neto'!E24</f>
        <v>8644.58</v>
      </c>
      <c r="D22" s="1181"/>
      <c r="E22" s="1182">
        <f t="shared" si="1"/>
        <v>8644.58</v>
      </c>
    </row>
    <row r="23" spans="2:5">
      <c r="B23" s="1183"/>
      <c r="C23" s="1181"/>
      <c r="D23" s="1181"/>
      <c r="E23" s="1182">
        <f t="shared" si="1"/>
        <v>0</v>
      </c>
    </row>
    <row r="24" spans="2:5">
      <c r="B24" s="1183"/>
      <c r="C24" s="1181"/>
      <c r="D24" s="1181"/>
      <c r="E24" s="1182">
        <f t="shared" si="1"/>
        <v>0</v>
      </c>
    </row>
    <row r="25" spans="2:5" s="1187" customFormat="1" ht="15">
      <c r="B25" s="1192" t="s">
        <v>889</v>
      </c>
      <c r="C25" s="1185" t="e">
        <f>SUM(C18:C24)</f>
        <v>#REF!</v>
      </c>
      <c r="D25" s="1185">
        <f>SUM(D18:D24)</f>
        <v>0</v>
      </c>
      <c r="E25" s="1186" t="e">
        <f t="shared" si="1"/>
        <v>#REF!</v>
      </c>
    </row>
    <row r="26" spans="2:5">
      <c r="B26" s="1193"/>
      <c r="C26" s="1194"/>
      <c r="D26" s="1194"/>
      <c r="E26" s="1182"/>
    </row>
    <row r="27" spans="2:5" ht="13.5" thickBot="1">
      <c r="B27" s="1195" t="s">
        <v>98</v>
      </c>
      <c r="C27" s="1196" t="e">
        <f>SUM(C25,C15)</f>
        <v>#REF!</v>
      </c>
      <c r="D27" s="1196">
        <f>SUM(D25,D15)</f>
        <v>0</v>
      </c>
      <c r="E27" s="1197" t="e">
        <f>C27-D27</f>
        <v>#REF!</v>
      </c>
    </row>
  </sheetData>
  <mergeCells count="6">
    <mergeCell ref="B17:E17"/>
    <mergeCell ref="B2:E2"/>
    <mergeCell ref="B3:E3"/>
    <mergeCell ref="B4:E4"/>
    <mergeCell ref="B5:B6"/>
    <mergeCell ref="B7:E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2:D40"/>
  <sheetViews>
    <sheetView workbookViewId="0">
      <selection activeCell="G15" sqref="G15"/>
    </sheetView>
  </sheetViews>
  <sheetFormatPr baseColWidth="10" defaultRowHeight="12.75"/>
  <cols>
    <col min="1" max="1" width="56.5703125" customWidth="1"/>
    <col min="2" max="2" width="18.28515625" customWidth="1"/>
    <col min="3" max="3" width="16.42578125" customWidth="1"/>
    <col min="4" max="4" width="6.28515625" customWidth="1"/>
  </cols>
  <sheetData>
    <row r="2" spans="1:4">
      <c r="A2" s="1556" t="s">
        <v>2992</v>
      </c>
      <c r="B2" s="1554"/>
      <c r="C2" s="1554"/>
    </row>
    <row r="3" spans="1:4">
      <c r="A3" s="1556" t="s">
        <v>3298</v>
      </c>
      <c r="B3" s="1554"/>
      <c r="C3" s="1554"/>
    </row>
    <row r="4" spans="1:4">
      <c r="A4" s="1554" t="s">
        <v>97</v>
      </c>
      <c r="B4" s="1554"/>
      <c r="C4" s="1554"/>
    </row>
    <row r="5" spans="1:4">
      <c r="A5" s="2"/>
    </row>
    <row r="6" spans="1:4">
      <c r="A6" s="2"/>
    </row>
    <row r="7" spans="1:4">
      <c r="A7" s="2"/>
    </row>
    <row r="8" spans="1:4">
      <c r="A8" s="82" t="s">
        <v>148</v>
      </c>
      <c r="B8" s="81" t="s">
        <v>25</v>
      </c>
      <c r="C8" s="132" t="s">
        <v>236</v>
      </c>
    </row>
    <row r="9" spans="1:4" s="2" customFormat="1">
      <c r="A9" s="35" t="s">
        <v>169</v>
      </c>
      <c r="B9" s="80">
        <f>+'VARIACIONES EGRESOS'!Q9</f>
        <v>5769256.5786666656</v>
      </c>
      <c r="C9" s="80">
        <f>+'VARIACIONES EGRESOS'!R9</f>
        <v>4375817.34</v>
      </c>
      <c r="D9" s="44"/>
    </row>
    <row r="10" spans="1:4" s="2" customFormat="1">
      <c r="A10" s="35" t="s">
        <v>167</v>
      </c>
      <c r="B10" s="80">
        <f>+'VARIACIONES EGRESOS'!Q20</f>
        <v>265700</v>
      </c>
      <c r="C10" s="80">
        <f>+'VARIACIONES EGRESOS'!R20</f>
        <v>80737.680000000008</v>
      </c>
      <c r="D10" s="44"/>
    </row>
    <row r="11" spans="1:4" s="2" customFormat="1">
      <c r="A11" s="35" t="s">
        <v>168</v>
      </c>
      <c r="B11" s="80">
        <f>+'VARIACIONES EGRESOS'!Q28</f>
        <v>12373357.158493334</v>
      </c>
      <c r="C11" s="80">
        <f>+'VARIACIONES EGRESOS'!R28</f>
        <v>3414512.9</v>
      </c>
      <c r="D11" s="44"/>
    </row>
    <row r="12" spans="1:4">
      <c r="A12" s="16"/>
      <c r="B12" s="84"/>
      <c r="C12" s="84"/>
      <c r="D12" s="44"/>
    </row>
    <row r="13" spans="1:4" s="2" customFormat="1">
      <c r="A13" s="24" t="s">
        <v>153</v>
      </c>
      <c r="B13" s="83">
        <f>SUM(B9:B11)</f>
        <v>18408313.737160001</v>
      </c>
      <c r="C13" s="83">
        <f>SUM(C9:C11)</f>
        <v>7871067.9199999999</v>
      </c>
      <c r="D13" s="44"/>
    </row>
    <row r="14" spans="1:4">
      <c r="A14" s="2"/>
    </row>
    <row r="15" spans="1:4">
      <c r="A15" s="2"/>
    </row>
    <row r="17" spans="4:4" s="2" customFormat="1">
      <c r="D17" s="44"/>
    </row>
    <row r="18" spans="4:4" s="2" customFormat="1">
      <c r="D18" s="44"/>
    </row>
    <row r="19" spans="4:4" s="2" customFormat="1">
      <c r="D19" s="44"/>
    </row>
    <row r="20" spans="4:4">
      <c r="D20" s="44"/>
    </row>
    <row r="21" spans="4:4">
      <c r="D21" s="44"/>
    </row>
    <row r="36" spans="1:3">
      <c r="A36" s="47" t="s">
        <v>12</v>
      </c>
      <c r="B36" s="81" t="s">
        <v>25</v>
      </c>
      <c r="C36" s="132" t="s">
        <v>236</v>
      </c>
    </row>
    <row r="37" spans="1:3">
      <c r="A37" s="35" t="s">
        <v>167</v>
      </c>
      <c r="B37" s="85">
        <f>+'VARIACIONES EGRESOS'!Q67</f>
        <v>354423.68</v>
      </c>
      <c r="C37" s="85">
        <f>+'VARIACIONES EGRESOS'!R67</f>
        <v>117639.26</v>
      </c>
    </row>
    <row r="38" spans="1:3">
      <c r="A38" s="35" t="s">
        <v>168</v>
      </c>
      <c r="B38" s="80">
        <f>+'VARIACIONES EGRESOS'!Q70+'VARIACIONES EGRESOS'!Q84+'VARIACIONES EGRESOS'!Q96+'VARIACIONES EGRESOS'!Q106+'VARIACIONES EGRESOS'!Q114+'VARIACIONES EGRESOS'!Q125</f>
        <v>46744256.868266672</v>
      </c>
      <c r="C38" s="80">
        <f>+'VARIACIONES EGRESOS'!R70+'VARIACIONES EGRESOS'!R84+'VARIACIONES EGRESOS'!R96+'VARIACIONES EGRESOS'!R106+'VARIACIONES EGRESOS'!R114+'VARIACIONES EGRESOS'!R125</f>
        <v>6829267.6600000001</v>
      </c>
    </row>
    <row r="39" spans="1:3">
      <c r="A39" s="35"/>
      <c r="B39" s="80"/>
      <c r="C39" s="80"/>
    </row>
    <row r="40" spans="1:3">
      <c r="A40" s="72" t="s">
        <v>181</v>
      </c>
      <c r="B40" s="83">
        <f>SUM(B37:B39)</f>
        <v>47098680.548266672</v>
      </c>
      <c r="C40" s="83">
        <f>SUM(C37:C39)</f>
        <v>6946906.9199999999</v>
      </c>
    </row>
  </sheetData>
  <mergeCells count="3">
    <mergeCell ref="A4:C4"/>
    <mergeCell ref="A2:C2"/>
    <mergeCell ref="A3:C3"/>
  </mergeCells>
  <pageMargins left="1.0629921259842521" right="0.35433070866141736" top="0.43307086614173229" bottom="0.27559055118110237" header="0" footer="0"/>
  <pageSetup scale="90" orientation="portrait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E204D1-EA03-4A72-BBE3-36C63D6FBAA4}">
  <dimension ref="A1:D29"/>
  <sheetViews>
    <sheetView workbookViewId="0">
      <selection activeCell="G13" sqref="G13"/>
    </sheetView>
  </sheetViews>
  <sheetFormatPr baseColWidth="10" defaultRowHeight="11.25"/>
  <cols>
    <col min="1" max="1" width="15.85546875" style="1198" customWidth="1"/>
    <col min="2" max="2" width="20.140625" style="1198" customWidth="1"/>
    <col min="3" max="3" width="28.85546875" style="1198" customWidth="1"/>
    <col min="4" max="4" width="24.42578125" style="1198" customWidth="1"/>
    <col min="5" max="16384" width="11.42578125" style="1198"/>
  </cols>
  <sheetData>
    <row r="1" spans="1:4">
      <c r="A1" s="1919"/>
      <c r="B1" s="1920"/>
      <c r="C1" s="1920"/>
      <c r="D1" s="1921"/>
    </row>
    <row r="2" spans="1:4">
      <c r="A2" s="1922" t="s">
        <v>2992</v>
      </c>
      <c r="B2" s="1923"/>
      <c r="C2" s="1923"/>
      <c r="D2" s="1924"/>
    </row>
    <row r="3" spans="1:4">
      <c r="A3" s="1922" t="s">
        <v>890</v>
      </c>
      <c r="B3" s="1923"/>
      <c r="C3" s="1923"/>
      <c r="D3" s="1924"/>
    </row>
    <row r="4" spans="1:4">
      <c r="A4" s="1925" t="str">
        <f>+EAA!C5</f>
        <v>Del 1 de enero al 30 de abril de 2021</v>
      </c>
      <c r="B4" s="1926"/>
      <c r="C4" s="1926"/>
      <c r="D4" s="1927"/>
    </row>
    <row r="5" spans="1:4">
      <c r="A5" s="1199"/>
      <c r="B5" s="1199"/>
      <c r="C5" s="1200"/>
    </row>
    <row r="6" spans="1:4">
      <c r="A6" s="1916" t="s">
        <v>880</v>
      </c>
      <c r="B6" s="1918"/>
      <c r="C6" s="1201" t="s">
        <v>236</v>
      </c>
      <c r="D6" s="1201" t="s">
        <v>823</v>
      </c>
    </row>
    <row r="7" spans="1:4">
      <c r="A7" s="1916" t="s">
        <v>886</v>
      </c>
      <c r="B7" s="1917"/>
      <c r="C7" s="1917"/>
      <c r="D7" s="1918"/>
    </row>
    <row r="8" spans="1:4">
      <c r="A8" s="1914"/>
      <c r="B8" s="1915"/>
      <c r="C8" s="1202"/>
      <c r="D8" s="1203"/>
    </row>
    <row r="9" spans="1:4">
      <c r="A9" s="1914"/>
      <c r="B9" s="1915"/>
      <c r="C9" s="1202"/>
      <c r="D9" s="1203"/>
    </row>
    <row r="10" spans="1:4">
      <c r="A10" s="1914"/>
      <c r="B10" s="1915"/>
      <c r="C10" s="1202"/>
      <c r="D10" s="1203"/>
    </row>
    <row r="11" spans="1:4">
      <c r="A11" s="1914"/>
      <c r="B11" s="1915"/>
      <c r="C11" s="1202"/>
      <c r="D11" s="1203"/>
    </row>
    <row r="12" spans="1:4">
      <c r="A12" s="1204" t="s">
        <v>891</v>
      </c>
      <c r="B12" s="1205"/>
      <c r="C12" s="1202">
        <f>SUM(C8:C11)</f>
        <v>0</v>
      </c>
      <c r="D12" s="1202">
        <f>SUM(D8:D11)</f>
        <v>0</v>
      </c>
    </row>
    <row r="13" spans="1:4">
      <c r="A13" s="1914"/>
      <c r="B13" s="1915"/>
      <c r="C13" s="1202"/>
      <c r="D13" s="1203"/>
    </row>
    <row r="14" spans="1:4">
      <c r="A14" s="1916" t="s">
        <v>888</v>
      </c>
      <c r="B14" s="1917"/>
      <c r="C14" s="1917"/>
      <c r="D14" s="1918"/>
    </row>
    <row r="15" spans="1:4">
      <c r="A15" s="1914"/>
      <c r="B15" s="1915"/>
      <c r="C15" s="1202"/>
      <c r="D15" s="1203"/>
    </row>
    <row r="16" spans="1:4">
      <c r="A16" s="1206"/>
      <c r="B16" s="1207"/>
      <c r="C16" s="459"/>
      <c r="D16" s="459"/>
    </row>
    <row r="17" spans="1:4">
      <c r="A17" s="1914"/>
      <c r="B17" s="1915"/>
      <c r="C17" s="461"/>
      <c r="D17" s="460"/>
    </row>
    <row r="18" spans="1:4">
      <c r="A18" s="1914"/>
      <c r="B18" s="1915"/>
      <c r="C18" s="461"/>
      <c r="D18" s="460"/>
    </row>
    <row r="19" spans="1:4">
      <c r="A19" s="1914"/>
      <c r="B19" s="1915"/>
      <c r="C19" s="461"/>
      <c r="D19" s="460"/>
    </row>
    <row r="20" spans="1:4">
      <c r="A20" s="1914"/>
      <c r="B20" s="1915"/>
      <c r="C20" s="461"/>
      <c r="D20" s="460"/>
    </row>
    <row r="21" spans="1:4">
      <c r="A21" s="1914"/>
      <c r="B21" s="1915"/>
      <c r="C21" s="461"/>
      <c r="D21" s="460"/>
    </row>
    <row r="22" spans="1:4">
      <c r="A22" s="1914"/>
      <c r="B22" s="1915"/>
      <c r="C22" s="461"/>
      <c r="D22" s="460"/>
    </row>
    <row r="23" spans="1:4">
      <c r="A23" s="1914"/>
      <c r="B23" s="1915"/>
      <c r="C23" s="461"/>
      <c r="D23" s="460"/>
    </row>
    <row r="24" spans="1:4">
      <c r="A24" s="1914"/>
      <c r="B24" s="1915"/>
      <c r="C24" s="461"/>
      <c r="D24" s="460"/>
    </row>
    <row r="25" spans="1:4">
      <c r="A25" s="1914"/>
      <c r="B25" s="1915"/>
      <c r="C25" s="461"/>
      <c r="D25" s="460"/>
    </row>
    <row r="26" spans="1:4">
      <c r="A26" s="1914"/>
      <c r="B26" s="1915"/>
      <c r="C26" s="461"/>
      <c r="D26" s="460"/>
    </row>
    <row r="27" spans="1:4">
      <c r="A27" s="1204" t="s">
        <v>892</v>
      </c>
      <c r="B27" s="1205"/>
      <c r="C27" s="461">
        <f>SUM(C15:C26)</f>
        <v>0</v>
      </c>
      <c r="D27" s="461">
        <f>SUM(D15:D26)</f>
        <v>0</v>
      </c>
    </row>
    <row r="28" spans="1:4">
      <c r="A28" s="1914"/>
      <c r="B28" s="1915"/>
      <c r="C28" s="461"/>
      <c r="D28" s="460"/>
    </row>
    <row r="29" spans="1:4">
      <c r="A29" s="1914" t="s">
        <v>98</v>
      </c>
      <c r="B29" s="1915"/>
      <c r="C29" s="462">
        <f>+C12+C27</f>
        <v>0</v>
      </c>
      <c r="D29" s="462">
        <f>+D12+D27</f>
        <v>0</v>
      </c>
    </row>
  </sheetData>
  <mergeCells count="25">
    <mergeCell ref="A7:D7"/>
    <mergeCell ref="A1:D1"/>
    <mergeCell ref="A2:D2"/>
    <mergeCell ref="A3:D3"/>
    <mergeCell ref="A4:D4"/>
    <mergeCell ref="A6:B6"/>
    <mergeCell ref="A21:B21"/>
    <mergeCell ref="A8:B8"/>
    <mergeCell ref="A9:B9"/>
    <mergeCell ref="A10:B10"/>
    <mergeCell ref="A11:B11"/>
    <mergeCell ref="A13:B13"/>
    <mergeCell ref="A14:D14"/>
    <mergeCell ref="A15:B15"/>
    <mergeCell ref="A17:B17"/>
    <mergeCell ref="A18:B18"/>
    <mergeCell ref="A19:B19"/>
    <mergeCell ref="A20:B20"/>
    <mergeCell ref="A29:B29"/>
    <mergeCell ref="A22:B22"/>
    <mergeCell ref="A23:B23"/>
    <mergeCell ref="A24:B24"/>
    <mergeCell ref="A25:B25"/>
    <mergeCell ref="A26:B26"/>
    <mergeCell ref="A28:B28"/>
  </mergeCells>
  <pageMargins left="0.7" right="0.7" top="0.75" bottom="0.75" header="0.3" footer="0.3"/>
  <pageSetup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8"/>
  <dimension ref="A1:F36"/>
  <sheetViews>
    <sheetView workbookViewId="0">
      <selection activeCell="C13" sqref="C13"/>
    </sheetView>
  </sheetViews>
  <sheetFormatPr baseColWidth="10" defaultRowHeight="15"/>
  <cols>
    <col min="1" max="1" width="1.140625" style="361" customWidth="1"/>
    <col min="2" max="2" width="57" style="361" customWidth="1"/>
    <col min="3" max="5" width="11.7109375" style="361" bestFit="1" customWidth="1"/>
    <col min="6" max="6" width="4.28515625" style="354" customWidth="1"/>
    <col min="7" max="16384" width="11.42578125" style="361"/>
  </cols>
  <sheetData>
    <row r="1" spans="1:5">
      <c r="A1" s="1734" t="s">
        <v>2992</v>
      </c>
      <c r="B1" s="1735"/>
      <c r="C1" s="1735"/>
      <c r="D1" s="1735"/>
      <c r="E1" s="1735"/>
    </row>
    <row r="2" spans="1:5">
      <c r="A2" s="1737" t="s">
        <v>924</v>
      </c>
      <c r="B2" s="1738"/>
      <c r="C2" s="1738"/>
      <c r="D2" s="1738"/>
      <c r="E2" s="1738"/>
    </row>
    <row r="3" spans="1:5">
      <c r="A3" s="1740" t="str">
        <f>+EA!C3</f>
        <v>Del 1 de enero al 30 de abril de 2021</v>
      </c>
      <c r="B3" s="1741"/>
      <c r="C3" s="1741"/>
      <c r="D3" s="1741"/>
      <c r="E3" s="1741"/>
    </row>
    <row r="4" spans="1:5" ht="11.25" customHeight="1">
      <c r="A4" s="317"/>
      <c r="B4" s="452"/>
      <c r="C4" s="317"/>
      <c r="D4" s="317"/>
      <c r="E4" s="317"/>
    </row>
    <row r="5" spans="1:5">
      <c r="A5" s="1819" t="s">
        <v>230</v>
      </c>
      <c r="B5" s="1819"/>
      <c r="C5" s="653" t="s">
        <v>795</v>
      </c>
      <c r="D5" s="653" t="s">
        <v>236</v>
      </c>
      <c r="E5" s="653" t="s">
        <v>925</v>
      </c>
    </row>
    <row r="6" spans="1:5" ht="5.25" customHeight="1" thickBot="1">
      <c r="A6" s="370"/>
      <c r="B6" s="371"/>
      <c r="C6" s="372"/>
      <c r="D6" s="372"/>
      <c r="E6" s="372"/>
    </row>
    <row r="7" spans="1:5" ht="15.75" thickBot="1">
      <c r="A7" s="418"/>
      <c r="B7" s="419" t="s">
        <v>926</v>
      </c>
      <c r="C7" s="420">
        <f>+C8+C9</f>
        <v>104709875.48973811</v>
      </c>
      <c r="D7" s="420">
        <f t="shared" ref="D7:E7" si="0">+D8+D9</f>
        <v>30419926.119999997</v>
      </c>
      <c r="E7" s="420">
        <f t="shared" si="0"/>
        <v>30419926.119999997</v>
      </c>
    </row>
    <row r="8" spans="1:5">
      <c r="A8" s="1928" t="s">
        <v>927</v>
      </c>
      <c r="B8" s="1929"/>
      <c r="C8" s="417">
        <f>+EAI!E33</f>
        <v>0</v>
      </c>
      <c r="D8" s="417">
        <f>+EAI!H33</f>
        <v>0</v>
      </c>
      <c r="E8" s="417">
        <f>+EAI!I33</f>
        <v>0</v>
      </c>
    </row>
    <row r="9" spans="1:5">
      <c r="A9" s="1930" t="s">
        <v>928</v>
      </c>
      <c r="B9" s="1931"/>
      <c r="C9" s="421">
        <f>EAI!E26</f>
        <v>104709875.48973811</v>
      </c>
      <c r="D9" s="421">
        <f>EAI!H26</f>
        <v>30419926.119999997</v>
      </c>
      <c r="E9" s="421">
        <f>EAI!I26</f>
        <v>30419926.119999997</v>
      </c>
    </row>
    <row r="10" spans="1:5" ht="6.75" customHeight="1" thickBot="1">
      <c r="A10" s="355"/>
      <c r="B10" s="356"/>
      <c r="C10" s="374"/>
      <c r="D10" s="374"/>
      <c r="E10" s="374"/>
    </row>
    <row r="11" spans="1:5" ht="15.75" thickBot="1">
      <c r="A11" s="422"/>
      <c r="B11" s="419" t="s">
        <v>929</v>
      </c>
      <c r="C11" s="420">
        <f>+C12+C13</f>
        <v>138260283.41649699</v>
      </c>
      <c r="D11" s="420">
        <f t="shared" ref="D11:E11" si="1">+D12+D13</f>
        <v>15020502.310000001</v>
      </c>
      <c r="E11" s="420">
        <f t="shared" si="1"/>
        <v>15020502.310000001</v>
      </c>
    </row>
    <row r="12" spans="1:5">
      <c r="A12" s="1932" t="s">
        <v>930</v>
      </c>
      <c r="B12" s="1933"/>
      <c r="C12" s="417"/>
      <c r="D12" s="417"/>
      <c r="E12" s="417"/>
    </row>
    <row r="13" spans="1:5">
      <c r="A13" s="1930" t="s">
        <v>931</v>
      </c>
      <c r="B13" s="1931"/>
      <c r="C13" s="421">
        <f>+COG!F32</f>
        <v>138260283.41649699</v>
      </c>
      <c r="D13" s="421">
        <f>+COG!G32</f>
        <v>15020502.310000001</v>
      </c>
      <c r="E13" s="421">
        <f>+COG!H32</f>
        <v>15020502.310000001</v>
      </c>
    </row>
    <row r="14" spans="1:5" ht="5.25" customHeight="1" thickBot="1">
      <c r="A14" s="375"/>
      <c r="B14" s="373"/>
      <c r="C14" s="374"/>
      <c r="D14" s="374"/>
      <c r="E14" s="374"/>
    </row>
    <row r="15" spans="1:5" ht="15.75" thickBot="1">
      <c r="A15" s="418"/>
      <c r="B15" s="419" t="s">
        <v>932</v>
      </c>
      <c r="C15" s="420">
        <f>+C7-C11</f>
        <v>-33550407.926758885</v>
      </c>
      <c r="D15" s="420">
        <f t="shared" ref="D15:E15" si="2">+D7-D11</f>
        <v>15399423.809999997</v>
      </c>
      <c r="E15" s="420">
        <f t="shared" si="2"/>
        <v>15399423.809999997</v>
      </c>
    </row>
    <row r="16" spans="1:5">
      <c r="A16" s="317"/>
      <c r="B16" s="317"/>
      <c r="C16" s="423"/>
      <c r="D16" s="423"/>
      <c r="E16" s="423"/>
    </row>
    <row r="17" spans="1:5">
      <c r="A17" s="1819" t="s">
        <v>230</v>
      </c>
      <c r="B17" s="1819"/>
      <c r="C17" s="654" t="s">
        <v>795</v>
      </c>
      <c r="D17" s="654" t="s">
        <v>236</v>
      </c>
      <c r="E17" s="654" t="s">
        <v>925</v>
      </c>
    </row>
    <row r="18" spans="1:5" ht="6.75" customHeight="1">
      <c r="A18" s="370"/>
      <c r="B18" s="371"/>
      <c r="C18" s="424"/>
      <c r="D18" s="424"/>
      <c r="E18" s="424"/>
    </row>
    <row r="19" spans="1:5">
      <c r="A19" s="1934" t="s">
        <v>933</v>
      </c>
      <c r="B19" s="1935"/>
      <c r="C19" s="421">
        <f>+C15</f>
        <v>-33550407.926758885</v>
      </c>
      <c r="D19" s="421">
        <f t="shared" ref="D19:E19" si="3">+D15</f>
        <v>15399423.809999997</v>
      </c>
      <c r="E19" s="421">
        <f t="shared" si="3"/>
        <v>15399423.809999997</v>
      </c>
    </row>
    <row r="20" spans="1:5" ht="6" customHeight="1">
      <c r="A20" s="355"/>
      <c r="B20" s="356"/>
      <c r="C20" s="374"/>
      <c r="D20" s="374"/>
      <c r="E20" s="374"/>
    </row>
    <row r="21" spans="1:5">
      <c r="A21" s="1934" t="s">
        <v>934</v>
      </c>
      <c r="B21" s="1935"/>
      <c r="C21" s="421"/>
      <c r="D21" s="421"/>
      <c r="E21" s="421"/>
    </row>
    <row r="22" spans="1:5" ht="7.5" customHeight="1" thickBot="1">
      <c r="A22" s="375"/>
      <c r="B22" s="373"/>
      <c r="C22" s="374"/>
      <c r="D22" s="374"/>
      <c r="E22" s="374"/>
    </row>
    <row r="23" spans="1:5" ht="15.75" thickBot="1">
      <c r="A23" s="422"/>
      <c r="B23" s="419" t="s">
        <v>935</v>
      </c>
      <c r="C23" s="425">
        <f>+C19-C21</f>
        <v>-33550407.926758885</v>
      </c>
      <c r="D23" s="425">
        <f t="shared" ref="D23:E23" si="4">+D19-D21</f>
        <v>15399423.809999997</v>
      </c>
      <c r="E23" s="425">
        <f t="shared" si="4"/>
        <v>15399423.809999997</v>
      </c>
    </row>
    <row r="24" spans="1:5">
      <c r="A24" s="317"/>
      <c r="B24" s="317"/>
      <c r="C24" s="423"/>
      <c r="D24" s="423"/>
      <c r="E24" s="423"/>
    </row>
    <row r="25" spans="1:5">
      <c r="A25" s="1819" t="s">
        <v>230</v>
      </c>
      <c r="B25" s="1819"/>
      <c r="C25" s="654" t="s">
        <v>795</v>
      </c>
      <c r="D25" s="654" t="s">
        <v>236</v>
      </c>
      <c r="E25" s="654" t="s">
        <v>925</v>
      </c>
    </row>
    <row r="26" spans="1:5" ht="5.25" customHeight="1">
      <c r="A26" s="370"/>
      <c r="B26" s="371"/>
      <c r="C26" s="424"/>
      <c r="D26" s="424"/>
      <c r="E26" s="424"/>
    </row>
    <row r="27" spans="1:5">
      <c r="A27" s="1934" t="s">
        <v>936</v>
      </c>
      <c r="B27" s="1935"/>
      <c r="C27" s="421">
        <v>0</v>
      </c>
      <c r="D27" s="421">
        <v>0</v>
      </c>
      <c r="E27" s="421">
        <v>0</v>
      </c>
    </row>
    <row r="28" spans="1:5" ht="5.25" customHeight="1">
      <c r="A28" s="355"/>
      <c r="B28" s="356"/>
      <c r="C28" s="374"/>
      <c r="D28" s="374"/>
      <c r="E28" s="374"/>
    </row>
    <row r="29" spans="1:5">
      <c r="A29" s="1934" t="s">
        <v>937</v>
      </c>
      <c r="B29" s="1935"/>
      <c r="C29" s="421"/>
      <c r="D29" s="421"/>
      <c r="E29" s="421"/>
    </row>
    <row r="30" spans="1:5" ht="3.75" customHeight="1" thickBot="1">
      <c r="A30" s="376"/>
      <c r="B30" s="377"/>
      <c r="C30" s="417"/>
      <c r="D30" s="417"/>
      <c r="E30" s="417"/>
    </row>
    <row r="31" spans="1:5" ht="15.75" thickBot="1">
      <c r="A31" s="422"/>
      <c r="B31" s="419" t="s">
        <v>938</v>
      </c>
      <c r="C31" s="425">
        <f>+C27-C29</f>
        <v>0</v>
      </c>
      <c r="D31" s="425">
        <f t="shared" ref="D31:E31" si="5">+D27-D29</f>
        <v>0</v>
      </c>
      <c r="E31" s="425">
        <f t="shared" si="5"/>
        <v>0</v>
      </c>
    </row>
    <row r="32" spans="1:5" s="354" customFormat="1">
      <c r="A32" s="317"/>
      <c r="B32" s="317"/>
      <c r="C32" s="317"/>
      <c r="D32" s="317"/>
      <c r="E32" s="317"/>
    </row>
    <row r="33" spans="1:5" ht="23.25" customHeight="1">
      <c r="A33" s="317"/>
      <c r="B33" s="1936" t="s">
        <v>939</v>
      </c>
      <c r="C33" s="1936"/>
      <c r="D33" s="1936"/>
      <c r="E33" s="1936"/>
    </row>
    <row r="34" spans="1:5" ht="28.5" customHeight="1">
      <c r="A34" s="317"/>
      <c r="B34" s="1936" t="s">
        <v>940</v>
      </c>
      <c r="C34" s="1936"/>
      <c r="D34" s="1936"/>
      <c r="E34" s="1936"/>
    </row>
    <row r="35" spans="1:5">
      <c r="A35" s="317"/>
      <c r="B35" s="1937" t="s">
        <v>941</v>
      </c>
      <c r="C35" s="1937"/>
      <c r="D35" s="1937"/>
      <c r="E35" s="1937"/>
    </row>
    <row r="36" spans="1:5" s="354" customFormat="1"/>
  </sheetData>
  <mergeCells count="17">
    <mergeCell ref="A27:B27"/>
    <mergeCell ref="A29:B29"/>
    <mergeCell ref="B33:E33"/>
    <mergeCell ref="B34:E34"/>
    <mergeCell ref="B35:E35"/>
    <mergeCell ref="A25:B25"/>
    <mergeCell ref="A1:E1"/>
    <mergeCell ref="A2:E2"/>
    <mergeCell ref="A3:E3"/>
    <mergeCell ref="A5:B5"/>
    <mergeCell ref="A8:B8"/>
    <mergeCell ref="A9:B9"/>
    <mergeCell ref="A12:B12"/>
    <mergeCell ref="A13:B13"/>
    <mergeCell ref="A17:B17"/>
    <mergeCell ref="A19:B19"/>
    <mergeCell ref="A21:B21"/>
  </mergeCells>
  <pageMargins left="0.7" right="0.7" top="0.75" bottom="0.75" header="0.3" footer="0.3"/>
  <pageSetup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80F23B-2A8B-4817-9567-18DE32BE224F}">
  <dimension ref="B1:R79"/>
  <sheetViews>
    <sheetView workbookViewId="0">
      <selection activeCell="C57" sqref="C57"/>
    </sheetView>
  </sheetViews>
  <sheetFormatPr baseColWidth="10" defaultRowHeight="12.75"/>
  <cols>
    <col min="1" max="1" width="3.7109375" customWidth="1"/>
    <col min="2" max="2" width="49.7109375" style="1267" customWidth="1"/>
    <col min="3" max="5" width="17.85546875" style="964" customWidth="1"/>
    <col min="6" max="6" width="11.7109375" bestFit="1" customWidth="1"/>
  </cols>
  <sheetData>
    <row r="1" spans="2:5" ht="15" customHeight="1" thickBot="1"/>
    <row r="2" spans="2:5">
      <c r="B2" s="1798" t="s">
        <v>2992</v>
      </c>
      <c r="C2" s="1799"/>
      <c r="D2" s="1799"/>
      <c r="E2" s="1800"/>
    </row>
    <row r="3" spans="2:5">
      <c r="B3" s="1801" t="s">
        <v>5134</v>
      </c>
      <c r="C3" s="1802"/>
      <c r="D3" s="1802"/>
      <c r="E3" s="1803"/>
    </row>
    <row r="4" spans="2:5">
      <c r="B4" s="1938"/>
      <c r="C4" s="1939"/>
      <c r="D4" s="1939"/>
      <c r="E4" s="1940"/>
    </row>
    <row r="5" spans="2:5" ht="13.5" thickBot="1">
      <c r="B5" s="1807" t="s">
        <v>5022</v>
      </c>
      <c r="C5" s="1808"/>
      <c r="D5" s="1808"/>
      <c r="E5" s="1809"/>
    </row>
    <row r="6" spans="2:5">
      <c r="B6" s="1810" t="s">
        <v>5023</v>
      </c>
      <c r="C6" s="1268" t="s">
        <v>5135</v>
      </c>
      <c r="D6" s="1815" t="s">
        <v>236</v>
      </c>
      <c r="E6" s="1268" t="s">
        <v>5136</v>
      </c>
    </row>
    <row r="7" spans="2:5" ht="13.5" thickBot="1">
      <c r="B7" s="1811"/>
      <c r="C7" s="1105" t="s">
        <v>5137</v>
      </c>
      <c r="D7" s="1816"/>
      <c r="E7" s="1105" t="s">
        <v>4954</v>
      </c>
    </row>
    <row r="8" spans="2:5">
      <c r="B8" s="1244" t="s">
        <v>5138</v>
      </c>
      <c r="C8" s="1251">
        <f>SUM(C9:C11)</f>
        <v>104709875.48973811</v>
      </c>
      <c r="D8" s="1251">
        <f t="shared" ref="D8:E8" si="0">SUM(D9:D11)</f>
        <v>30419926.119999997</v>
      </c>
      <c r="E8" s="1251">
        <f t="shared" si="0"/>
        <v>30419926.119999997</v>
      </c>
    </row>
    <row r="9" spans="2:5">
      <c r="B9" s="1253" t="s">
        <v>5139</v>
      </c>
      <c r="C9" s="1254">
        <f>+'Post Fiscal'!C9</f>
        <v>104709875.48973811</v>
      </c>
      <c r="D9" s="1254">
        <f>+'Post Fiscal'!D9</f>
        <v>30419926.119999997</v>
      </c>
      <c r="E9" s="1254">
        <f>+'Post Fiscal'!E9</f>
        <v>30419926.119999997</v>
      </c>
    </row>
    <row r="10" spans="2:5">
      <c r="B10" s="1253" t="s">
        <v>5140</v>
      </c>
      <c r="C10" s="1254">
        <v>0</v>
      </c>
      <c r="D10" s="1254">
        <v>0</v>
      </c>
      <c r="E10" s="1254">
        <v>0</v>
      </c>
    </row>
    <row r="11" spans="2:5">
      <c r="B11" s="1253" t="s">
        <v>5141</v>
      </c>
      <c r="C11" s="1254">
        <v>0</v>
      </c>
      <c r="D11" s="1254">
        <v>0</v>
      </c>
      <c r="E11" s="1254">
        <v>0</v>
      </c>
    </row>
    <row r="12" spans="2:5" ht="13.5">
      <c r="B12" s="1244" t="s">
        <v>5142</v>
      </c>
      <c r="C12" s="1251">
        <f>SUM(C13:C14)</f>
        <v>138260283.41649699</v>
      </c>
      <c r="D12" s="1251">
        <f t="shared" ref="D12:E12" si="1">SUM(D13:D14)</f>
        <v>15020502.310000001</v>
      </c>
      <c r="E12" s="1251">
        <f t="shared" si="1"/>
        <v>15020502.310000001</v>
      </c>
    </row>
    <row r="13" spans="2:5" ht="24">
      <c r="B13" s="1253" t="s">
        <v>5143</v>
      </c>
      <c r="C13" s="1254">
        <f>+'Post Fiscal'!C13</f>
        <v>138260283.41649699</v>
      </c>
      <c r="D13" s="1254">
        <f>+'Post Fiscal'!D13</f>
        <v>15020502.310000001</v>
      </c>
      <c r="E13" s="1254">
        <f>+'Post Fiscal'!E13</f>
        <v>15020502.310000001</v>
      </c>
    </row>
    <row r="14" spans="2:5" ht="24">
      <c r="B14" s="1253" t="s">
        <v>5144</v>
      </c>
      <c r="C14" s="1254">
        <v>0</v>
      </c>
      <c r="D14" s="1254">
        <v>0</v>
      </c>
      <c r="E14" s="1254">
        <v>0</v>
      </c>
    </row>
    <row r="15" spans="2:5">
      <c r="B15" s="1244" t="s">
        <v>5145</v>
      </c>
      <c r="C15" s="1269">
        <f>SUM(C16:C17)</f>
        <v>0</v>
      </c>
      <c r="D15" s="1251">
        <f t="shared" ref="D15:E15" si="2">SUM(D16:D17)</f>
        <v>0</v>
      </c>
      <c r="E15" s="1251">
        <f t="shared" si="2"/>
        <v>0</v>
      </c>
    </row>
    <row r="16" spans="2:5" ht="24">
      <c r="B16" s="1253" t="s">
        <v>5146</v>
      </c>
      <c r="C16" s="1270">
        <v>0</v>
      </c>
      <c r="D16" s="1254">
        <v>0</v>
      </c>
      <c r="E16" s="1254">
        <v>0</v>
      </c>
    </row>
    <row r="17" spans="2:5" ht="24">
      <c r="B17" s="1253" t="s">
        <v>5147</v>
      </c>
      <c r="C17" s="1270">
        <v>0</v>
      </c>
      <c r="D17" s="1254">
        <v>0</v>
      </c>
      <c r="E17" s="1254">
        <v>0</v>
      </c>
    </row>
    <row r="18" spans="2:5">
      <c r="B18" s="1244" t="s">
        <v>5148</v>
      </c>
      <c r="C18" s="1251">
        <f>C8-C12+C15</f>
        <v>-33550407.926758885</v>
      </c>
      <c r="D18" s="1251">
        <f t="shared" ref="D18:E18" si="3">D8-D12+D15</f>
        <v>15399423.809999997</v>
      </c>
      <c r="E18" s="1251">
        <f t="shared" si="3"/>
        <v>15399423.809999997</v>
      </c>
    </row>
    <row r="19" spans="2:5" ht="24">
      <c r="B19" s="1244" t="s">
        <v>5149</v>
      </c>
      <c r="C19" s="1251">
        <f>C18-C11</f>
        <v>-33550407.926758885</v>
      </c>
      <c r="D19" s="1251">
        <f t="shared" ref="D19:E19" si="4">D18-D11</f>
        <v>15399423.809999997</v>
      </c>
      <c r="E19" s="1251">
        <f t="shared" si="4"/>
        <v>15399423.809999997</v>
      </c>
    </row>
    <row r="20" spans="2:5" ht="24.75" thickBot="1">
      <c r="B20" s="1271" t="s">
        <v>5150</v>
      </c>
      <c r="C20" s="1272">
        <f>C19-C15</f>
        <v>-33550407.926758885</v>
      </c>
      <c r="D20" s="1272">
        <f t="shared" ref="D20:E20" si="5">D19-D15</f>
        <v>15399423.809999997</v>
      </c>
      <c r="E20" s="1272">
        <f t="shared" si="5"/>
        <v>15399423.809999997</v>
      </c>
    </row>
    <row r="21" spans="2:5">
      <c r="B21" s="1273"/>
      <c r="C21" s="1274"/>
      <c r="D21" s="1274"/>
      <c r="E21" s="1274"/>
    </row>
    <row r="22" spans="2:5" ht="15" customHeight="1" thickBot="1">
      <c r="B22" s="1275"/>
      <c r="C22" s="1276"/>
      <c r="D22" s="1276"/>
      <c r="E22" s="1276"/>
    </row>
    <row r="23" spans="2:5" ht="13.5" thickBot="1">
      <c r="B23" s="1176" t="s">
        <v>230</v>
      </c>
      <c r="C23" s="1107" t="s">
        <v>821</v>
      </c>
      <c r="D23" s="1107" t="s">
        <v>236</v>
      </c>
      <c r="E23" s="1162" t="s">
        <v>823</v>
      </c>
    </row>
    <row r="24" spans="2:5" ht="21" customHeight="1">
      <c r="B24" s="1244" t="s">
        <v>5151</v>
      </c>
      <c r="C24" s="1251">
        <f>SUM(C25:C26)</f>
        <v>0</v>
      </c>
      <c r="D24" s="1251">
        <f t="shared" ref="D24:E24" si="6">SUM(D25:D26)</f>
        <v>0</v>
      </c>
      <c r="E24" s="1251">
        <f t="shared" si="6"/>
        <v>0</v>
      </c>
    </row>
    <row r="25" spans="2:5" ht="24">
      <c r="B25" s="1277" t="s">
        <v>5152</v>
      </c>
      <c r="C25" s="1254">
        <v>0</v>
      </c>
      <c r="D25" s="1254">
        <v>0</v>
      </c>
      <c r="E25" s="1254">
        <v>0</v>
      </c>
    </row>
    <row r="26" spans="2:5" ht="24">
      <c r="B26" s="1277" t="s">
        <v>5153</v>
      </c>
      <c r="C26" s="1254">
        <v>0</v>
      </c>
      <c r="D26" s="1254">
        <v>0</v>
      </c>
      <c r="E26" s="1254">
        <v>0</v>
      </c>
    </row>
    <row r="27" spans="2:5">
      <c r="B27" s="1244" t="s">
        <v>5154</v>
      </c>
      <c r="C27" s="1251">
        <f>C20+C24</f>
        <v>-33550407.926758885</v>
      </c>
      <c r="D27" s="1251">
        <f t="shared" ref="D27:E27" si="7">D20+D24</f>
        <v>15399423.809999997</v>
      </c>
      <c r="E27" s="1251">
        <f t="shared" si="7"/>
        <v>15399423.809999997</v>
      </c>
    </row>
    <row r="28" spans="2:5" ht="12.75" customHeight="1" thickBot="1">
      <c r="B28" s="1278"/>
      <c r="C28" s="1279"/>
      <c r="D28" s="1279"/>
      <c r="E28" s="1279"/>
    </row>
    <row r="29" spans="2:5">
      <c r="B29" s="1280"/>
      <c r="C29" s="1131"/>
      <c r="D29" s="1131"/>
      <c r="E29" s="1131"/>
    </row>
    <row r="30" spans="2:5" ht="15" customHeight="1" thickBot="1">
      <c r="B30" s="1275"/>
      <c r="C30" s="1276"/>
      <c r="D30" s="1276"/>
      <c r="E30" s="1276"/>
    </row>
    <row r="31" spans="2:5">
      <c r="B31" s="1810" t="s">
        <v>230</v>
      </c>
      <c r="C31" s="1810" t="s">
        <v>5155</v>
      </c>
      <c r="D31" s="1810" t="s">
        <v>236</v>
      </c>
      <c r="E31" s="1281" t="s">
        <v>5136</v>
      </c>
    </row>
    <row r="32" spans="2:5" ht="13.5" thickBot="1">
      <c r="B32" s="1811"/>
      <c r="C32" s="1811"/>
      <c r="D32" s="1811"/>
      <c r="E32" s="1282" t="s">
        <v>823</v>
      </c>
    </row>
    <row r="33" spans="2:5">
      <c r="B33" s="1283" t="s">
        <v>5156</v>
      </c>
      <c r="C33" s="979">
        <f>SUM(C34:C35)</f>
        <v>0</v>
      </c>
      <c r="D33" s="979">
        <f t="shared" ref="D33:E33" si="8">SUM(D34:D35)</f>
        <v>0</v>
      </c>
      <c r="E33" s="979">
        <f t="shared" si="8"/>
        <v>0</v>
      </c>
    </row>
    <row r="34" spans="2:5" ht="24">
      <c r="B34" s="1277" t="s">
        <v>5157</v>
      </c>
      <c r="C34" s="982">
        <v>0</v>
      </c>
      <c r="D34" s="982">
        <v>0</v>
      </c>
      <c r="E34" s="982">
        <v>0</v>
      </c>
    </row>
    <row r="35" spans="2:5" ht="24">
      <c r="B35" s="1277" t="s">
        <v>5158</v>
      </c>
      <c r="C35" s="982">
        <v>0</v>
      </c>
      <c r="D35" s="982">
        <v>0</v>
      </c>
      <c r="E35" s="982">
        <v>0</v>
      </c>
    </row>
    <row r="36" spans="2:5">
      <c r="B36" s="1244" t="s">
        <v>5159</v>
      </c>
      <c r="C36" s="979">
        <f>SUM(C37:C38)</f>
        <v>0</v>
      </c>
      <c r="D36" s="979">
        <f t="shared" ref="D36:E36" si="9">SUM(D37:D38)</f>
        <v>0</v>
      </c>
      <c r="E36" s="979">
        <f t="shared" si="9"/>
        <v>0</v>
      </c>
    </row>
    <row r="37" spans="2:5" ht="22.9" customHeight="1">
      <c r="B37" s="1277" t="s">
        <v>5160</v>
      </c>
      <c r="C37" s="982">
        <v>0</v>
      </c>
      <c r="D37" s="982">
        <v>0</v>
      </c>
      <c r="E37" s="982">
        <v>0</v>
      </c>
    </row>
    <row r="38" spans="2:5" ht="25.9" customHeight="1">
      <c r="B38" s="1277" t="s">
        <v>5161</v>
      </c>
      <c r="C38" s="982">
        <v>0</v>
      </c>
      <c r="D38" s="982">
        <v>0</v>
      </c>
      <c r="E38" s="982">
        <v>0</v>
      </c>
    </row>
    <row r="39" spans="2:5" ht="15" customHeight="1">
      <c r="B39" s="1941" t="s">
        <v>5162</v>
      </c>
      <c r="C39" s="1943">
        <f>C33-C36</f>
        <v>0</v>
      </c>
      <c r="D39" s="1943">
        <f t="shared" ref="D39:E39" si="10">D33-D36</f>
        <v>0</v>
      </c>
      <c r="E39" s="1943">
        <f t="shared" si="10"/>
        <v>0</v>
      </c>
    </row>
    <row r="40" spans="2:5" ht="13.5" thickBot="1">
      <c r="B40" s="1942"/>
      <c r="C40" s="1944"/>
      <c r="D40" s="1944"/>
      <c r="E40" s="1944"/>
    </row>
    <row r="41" spans="2:5" ht="15" customHeight="1">
      <c r="B41" s="1284"/>
      <c r="C41" s="1233"/>
      <c r="D41" s="1233"/>
      <c r="E41" s="1233"/>
    </row>
    <row r="42" spans="2:5" ht="15" customHeight="1" thickBot="1">
      <c r="B42" s="1275"/>
      <c r="C42" s="1276"/>
      <c r="D42" s="1276"/>
      <c r="E42" s="1276"/>
    </row>
    <row r="43" spans="2:5">
      <c r="B43" s="1810" t="s">
        <v>230</v>
      </c>
      <c r="C43" s="1281" t="s">
        <v>5135</v>
      </c>
      <c r="D43" s="1810" t="s">
        <v>236</v>
      </c>
      <c r="E43" s="1281" t="s">
        <v>5136</v>
      </c>
    </row>
    <row r="44" spans="2:5" ht="13.5" thickBot="1">
      <c r="B44" s="1811"/>
      <c r="C44" s="1282" t="s">
        <v>821</v>
      </c>
      <c r="D44" s="1811"/>
      <c r="E44" s="1282" t="s">
        <v>823</v>
      </c>
    </row>
    <row r="45" spans="2:5">
      <c r="B45" s="1250" t="s">
        <v>5163</v>
      </c>
      <c r="C45" s="1285">
        <f>C9</f>
        <v>104709875.48973811</v>
      </c>
      <c r="D45" s="982">
        <f>+D9</f>
        <v>30419926.119999997</v>
      </c>
      <c r="E45" s="982">
        <f>+E9</f>
        <v>30419926.119999997</v>
      </c>
    </row>
    <row r="46" spans="2:5" ht="24">
      <c r="B46" s="1250" t="s">
        <v>5164</v>
      </c>
      <c r="C46" s="1285">
        <f>C34-C37</f>
        <v>0</v>
      </c>
      <c r="D46" s="1285">
        <f t="shared" ref="D46:E46" si="11">D34-D37</f>
        <v>0</v>
      </c>
      <c r="E46" s="1285">
        <f t="shared" si="11"/>
        <v>0</v>
      </c>
    </row>
    <row r="47" spans="2:5" ht="24">
      <c r="B47" s="1253" t="s">
        <v>5157</v>
      </c>
      <c r="C47" s="1285">
        <f>C34</f>
        <v>0</v>
      </c>
      <c r="D47" s="1285">
        <f t="shared" ref="D47:E47" si="12">D34</f>
        <v>0</v>
      </c>
      <c r="E47" s="1285">
        <f t="shared" si="12"/>
        <v>0</v>
      </c>
    </row>
    <row r="48" spans="2:5" ht="26.45" customHeight="1">
      <c r="B48" s="1253" t="s">
        <v>5160</v>
      </c>
      <c r="C48" s="1285">
        <f>C37</f>
        <v>0</v>
      </c>
      <c r="D48" s="1285">
        <f t="shared" ref="D48:E48" si="13">D37</f>
        <v>0</v>
      </c>
      <c r="E48" s="1285">
        <f t="shared" si="13"/>
        <v>0</v>
      </c>
    </row>
    <row r="49" spans="2:6" ht="24">
      <c r="B49" s="1250" t="s">
        <v>5143</v>
      </c>
      <c r="C49" s="1285">
        <f>C13</f>
        <v>138260283.41649699</v>
      </c>
      <c r="D49" s="1285">
        <f t="shared" ref="D49:E49" si="14">D13</f>
        <v>15020502.310000001</v>
      </c>
      <c r="E49" s="1285">
        <f t="shared" si="14"/>
        <v>15020502.310000001</v>
      </c>
    </row>
    <row r="50" spans="2:6" ht="24">
      <c r="B50" s="1250" t="s">
        <v>5146</v>
      </c>
      <c r="C50" s="1286">
        <f>C16</f>
        <v>0</v>
      </c>
      <c r="D50" s="1285">
        <f t="shared" ref="D50:E50" si="15">D16</f>
        <v>0</v>
      </c>
      <c r="E50" s="1285">
        <f t="shared" si="15"/>
        <v>0</v>
      </c>
    </row>
    <row r="51" spans="2:6" ht="24">
      <c r="B51" s="1244" t="s">
        <v>5165</v>
      </c>
      <c r="C51" s="979">
        <f>C45+C46-C49+C50</f>
        <v>-33550407.926758885</v>
      </c>
      <c r="D51" s="979">
        <f t="shared" ref="D51:E51" si="16">D45+D46-D49+D50</f>
        <v>15399423.809999997</v>
      </c>
      <c r="E51" s="979">
        <f t="shared" si="16"/>
        <v>15399423.809999997</v>
      </c>
      <c r="F51" s="767"/>
    </row>
    <row r="52" spans="2:6" ht="24.75" thickBot="1">
      <c r="B52" s="1244" t="s">
        <v>5166</v>
      </c>
      <c r="C52" s="979">
        <f>C51-C46</f>
        <v>-33550407.926758885</v>
      </c>
      <c r="D52" s="979">
        <f t="shared" ref="D52:E52" si="17">D51-D46</f>
        <v>15399423.809999997</v>
      </c>
      <c r="E52" s="979">
        <f t="shared" si="17"/>
        <v>15399423.809999997</v>
      </c>
    </row>
    <row r="53" spans="2:6" ht="15" customHeight="1">
      <c r="B53" s="1280"/>
      <c r="C53" s="1110"/>
      <c r="D53" s="1110"/>
      <c r="E53" s="1110"/>
    </row>
    <row r="54" spans="2:6" ht="15" customHeight="1" thickBot="1">
      <c r="B54" s="1275"/>
      <c r="C54" s="1276"/>
      <c r="D54" s="1276"/>
      <c r="E54" s="1276"/>
    </row>
    <row r="55" spans="2:6">
      <c r="B55" s="1810" t="s">
        <v>230</v>
      </c>
      <c r="C55" s="1810" t="s">
        <v>5155</v>
      </c>
      <c r="D55" s="1810" t="s">
        <v>236</v>
      </c>
      <c r="E55" s="1281" t="s">
        <v>5136</v>
      </c>
    </row>
    <row r="56" spans="2:6" ht="13.5" thickBot="1">
      <c r="B56" s="1811"/>
      <c r="C56" s="1811"/>
      <c r="D56" s="1811"/>
      <c r="E56" s="1282" t="s">
        <v>823</v>
      </c>
    </row>
    <row r="57" spans="2:6">
      <c r="B57" s="1250" t="s">
        <v>5140</v>
      </c>
      <c r="C57" s="1285">
        <f>C10</f>
        <v>0</v>
      </c>
      <c r="D57" s="1285">
        <f t="shared" ref="D57:E57" si="18">D10</f>
        <v>0</v>
      </c>
      <c r="E57" s="1285">
        <f t="shared" si="18"/>
        <v>0</v>
      </c>
    </row>
    <row r="58" spans="2:6" ht="24">
      <c r="B58" s="1250" t="s">
        <v>5167</v>
      </c>
      <c r="C58" s="1285">
        <f>C59-C60</f>
        <v>0</v>
      </c>
      <c r="D58" s="1285">
        <f t="shared" ref="D58:E58" si="19">D59-D60</f>
        <v>0</v>
      </c>
      <c r="E58" s="1285">
        <f t="shared" si="19"/>
        <v>0</v>
      </c>
    </row>
    <row r="59" spans="2:6" ht="24">
      <c r="B59" s="1277" t="s">
        <v>5158</v>
      </c>
      <c r="C59" s="1285">
        <f>C35</f>
        <v>0</v>
      </c>
      <c r="D59" s="1285">
        <f t="shared" ref="D59:E59" si="20">D35</f>
        <v>0</v>
      </c>
      <c r="E59" s="1285">
        <f t="shared" si="20"/>
        <v>0</v>
      </c>
    </row>
    <row r="60" spans="2:6" ht="24.75" customHeight="1">
      <c r="B60" s="1277" t="s">
        <v>5161</v>
      </c>
      <c r="C60" s="1285">
        <f>C38</f>
        <v>0</v>
      </c>
      <c r="D60" s="1285">
        <f t="shared" ref="D60:E60" si="21">D38</f>
        <v>0</v>
      </c>
      <c r="E60" s="1285">
        <f t="shared" si="21"/>
        <v>0</v>
      </c>
    </row>
    <row r="61" spans="2:6" ht="24">
      <c r="B61" s="1250" t="s">
        <v>5168</v>
      </c>
      <c r="C61" s="1285">
        <f>C14</f>
        <v>0</v>
      </c>
      <c r="D61" s="1285">
        <f t="shared" ref="D61:E61" si="22">D14</f>
        <v>0</v>
      </c>
      <c r="E61" s="1285">
        <f t="shared" si="22"/>
        <v>0</v>
      </c>
    </row>
    <row r="62" spans="2:6" ht="24">
      <c r="B62" s="1250" t="s">
        <v>5147</v>
      </c>
      <c r="C62" s="1286">
        <f>C17</f>
        <v>0</v>
      </c>
      <c r="D62" s="1285">
        <f t="shared" ref="D62:E62" si="23">D17</f>
        <v>0</v>
      </c>
      <c r="E62" s="1285">
        <f t="shared" si="23"/>
        <v>0</v>
      </c>
    </row>
    <row r="63" spans="2:6" ht="24">
      <c r="B63" s="1244" t="s">
        <v>5169</v>
      </c>
      <c r="C63" s="979">
        <f>C57+C58-C61+C62</f>
        <v>0</v>
      </c>
      <c r="D63" s="979">
        <f t="shared" ref="D63:E63" si="24">D57+D58-D61+D62</f>
        <v>0</v>
      </c>
      <c r="E63" s="979">
        <f t="shared" si="24"/>
        <v>0</v>
      </c>
    </row>
    <row r="64" spans="2:6" ht="24.75" thickBot="1">
      <c r="B64" s="1271" t="s">
        <v>5170</v>
      </c>
      <c r="C64" s="1287">
        <f>C63-C58</f>
        <v>0</v>
      </c>
      <c r="D64" s="1287">
        <f t="shared" ref="D64:E64" si="25">D63-D58</f>
        <v>0</v>
      </c>
      <c r="E64" s="1287">
        <f t="shared" si="25"/>
        <v>0</v>
      </c>
    </row>
    <row r="79" spans="18:18" ht="15">
      <c r="R79" s="901"/>
    </row>
  </sheetData>
  <mergeCells count="18">
    <mergeCell ref="E39:E40"/>
    <mergeCell ref="B43:B44"/>
    <mergeCell ref="D43:D44"/>
    <mergeCell ref="B55:B56"/>
    <mergeCell ref="C55:C56"/>
    <mergeCell ref="D55:D56"/>
    <mergeCell ref="B31:B32"/>
    <mergeCell ref="C31:C32"/>
    <mergeCell ref="D31:D32"/>
    <mergeCell ref="B39:B40"/>
    <mergeCell ref="C39:C40"/>
    <mergeCell ref="D39:D40"/>
    <mergeCell ref="B2:E2"/>
    <mergeCell ref="B3:E3"/>
    <mergeCell ref="B4:E4"/>
    <mergeCell ref="B5:E5"/>
    <mergeCell ref="B6:B7"/>
    <mergeCell ref="D6:D7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AAF7FF-DB1C-4F80-A2F2-EBC45F3332AF}">
  <dimension ref="B2:G39"/>
  <sheetViews>
    <sheetView workbookViewId="0">
      <selection activeCell="F29" sqref="F29"/>
    </sheetView>
  </sheetViews>
  <sheetFormatPr baseColWidth="10" defaultColWidth="11.42578125" defaultRowHeight="12"/>
  <cols>
    <col min="1" max="1" width="3.5703125" style="1" customWidth="1"/>
    <col min="2" max="2" width="50" style="1" customWidth="1"/>
    <col min="3" max="7" width="20.7109375" style="1" customWidth="1"/>
    <col min="8" max="8" width="13.28515625" style="1" customWidth="1"/>
    <col min="9" max="16384" width="11.42578125" style="1"/>
  </cols>
  <sheetData>
    <row r="2" spans="2:7">
      <c r="B2" s="1761" t="s">
        <v>2992</v>
      </c>
      <c r="C2" s="1762"/>
      <c r="D2" s="1762"/>
      <c r="E2" s="1762"/>
      <c r="F2" s="1762"/>
      <c r="G2" s="1763"/>
    </row>
    <row r="3" spans="2:7">
      <c r="B3" s="1764" t="s">
        <v>5015</v>
      </c>
      <c r="C3" s="1650"/>
      <c r="D3" s="1650"/>
      <c r="E3" s="1650"/>
      <c r="F3" s="1650"/>
      <c r="G3" s="1765"/>
    </row>
    <row r="4" spans="2:7">
      <c r="B4" s="1766"/>
      <c r="C4" s="1767"/>
      <c r="D4" s="1767"/>
      <c r="E4" s="1767"/>
      <c r="F4" s="1767"/>
      <c r="G4" s="1768"/>
    </row>
    <row r="5" spans="2:7" ht="42" customHeight="1">
      <c r="B5" s="1945" t="s">
        <v>230</v>
      </c>
      <c r="C5" s="1208" t="s">
        <v>795</v>
      </c>
      <c r="D5" s="1040" t="s">
        <v>796</v>
      </c>
      <c r="E5" s="1039" t="s">
        <v>797</v>
      </c>
      <c r="F5" s="1039" t="s">
        <v>236</v>
      </c>
      <c r="G5" s="1039" t="s">
        <v>798</v>
      </c>
    </row>
    <row r="6" spans="2:7">
      <c r="B6" s="1946"/>
      <c r="C6" s="1061" t="s">
        <v>4936</v>
      </c>
      <c r="D6" s="1209" t="s">
        <v>4937</v>
      </c>
      <c r="E6" s="1210" t="s">
        <v>801</v>
      </c>
      <c r="F6" s="1210" t="s">
        <v>4938</v>
      </c>
      <c r="G6" s="1210" t="s">
        <v>4939</v>
      </c>
    </row>
    <row r="7" spans="2:7">
      <c r="B7" s="1211"/>
      <c r="C7" s="1212"/>
      <c r="D7" s="1213"/>
      <c r="E7" s="1214"/>
      <c r="F7" s="1214"/>
      <c r="G7" s="1214"/>
    </row>
    <row r="8" spans="2:7">
      <c r="B8" s="1215" t="s">
        <v>5016</v>
      </c>
      <c r="C8" s="1216"/>
      <c r="D8" s="1046"/>
      <c r="E8" s="1048"/>
      <c r="F8" s="1048"/>
      <c r="G8" s="1048"/>
    </row>
    <row r="9" spans="2:7" ht="12" customHeight="1">
      <c r="B9" s="1217" t="s">
        <v>619</v>
      </c>
      <c r="C9" s="1218">
        <v>0</v>
      </c>
      <c r="D9" s="1100">
        <v>0</v>
      </c>
      <c r="E9" s="1048">
        <f t="shared" ref="E9:E18" si="0">C9+D9</f>
        <v>0</v>
      </c>
      <c r="F9" s="1042">
        <v>0</v>
      </c>
      <c r="G9" s="1042">
        <v>0</v>
      </c>
    </row>
    <row r="10" spans="2:7">
      <c r="B10" s="1217" t="s">
        <v>770</v>
      </c>
      <c r="C10" s="1218">
        <v>0</v>
      </c>
      <c r="D10" s="1100">
        <v>0</v>
      </c>
      <c r="E10" s="1048">
        <f t="shared" si="0"/>
        <v>0</v>
      </c>
      <c r="F10" s="1042">
        <v>0</v>
      </c>
      <c r="G10" s="1042">
        <v>0</v>
      </c>
    </row>
    <row r="11" spans="2:7">
      <c r="B11" s="1217" t="s">
        <v>622</v>
      </c>
      <c r="C11" s="1218">
        <v>0</v>
      </c>
      <c r="D11" s="1100">
        <v>0</v>
      </c>
      <c r="E11" s="1048">
        <f t="shared" si="0"/>
        <v>0</v>
      </c>
      <c r="F11" s="1042">
        <v>0</v>
      </c>
      <c r="G11" s="1042">
        <v>0</v>
      </c>
    </row>
    <row r="12" spans="2:7">
      <c r="B12" s="1217" t="s">
        <v>623</v>
      </c>
      <c r="C12" s="1218">
        <v>0</v>
      </c>
      <c r="D12" s="1100">
        <v>0</v>
      </c>
      <c r="E12" s="1048">
        <f t="shared" si="0"/>
        <v>0</v>
      </c>
      <c r="F12" s="1042"/>
      <c r="G12" s="1042">
        <v>0</v>
      </c>
    </row>
    <row r="13" spans="2:7">
      <c r="B13" s="1217" t="s">
        <v>805</v>
      </c>
      <c r="C13" s="1218">
        <v>0</v>
      </c>
      <c r="D13" s="1100">
        <v>0</v>
      </c>
      <c r="E13" s="1048">
        <f t="shared" si="0"/>
        <v>0</v>
      </c>
      <c r="F13" s="1042">
        <v>0</v>
      </c>
      <c r="G13" s="1042">
        <v>0</v>
      </c>
    </row>
    <row r="14" spans="2:7">
      <c r="B14" s="1217" t="s">
        <v>808</v>
      </c>
      <c r="C14" s="1218">
        <v>0</v>
      </c>
      <c r="D14" s="1100">
        <v>0</v>
      </c>
      <c r="E14" s="1048">
        <f t="shared" si="0"/>
        <v>0</v>
      </c>
      <c r="F14" s="1042">
        <v>0</v>
      </c>
      <c r="G14" s="1042">
        <v>0</v>
      </c>
    </row>
    <row r="15" spans="2:7" ht="24" customHeight="1">
      <c r="B15" s="1219" t="s">
        <v>4941</v>
      </c>
      <c r="C15" s="1218">
        <f>+'13 ri sif'!C14</f>
        <v>101100153.74161573</v>
      </c>
      <c r="D15" s="1100">
        <f>+'13 ri sif'!D14</f>
        <v>0</v>
      </c>
      <c r="E15" s="1048">
        <f t="shared" si="0"/>
        <v>101100153.74161573</v>
      </c>
      <c r="F15" s="1042">
        <f>+'13 ri sif'!F14</f>
        <v>27770619.809999999</v>
      </c>
      <c r="G15" s="1042">
        <f>+'13 ri sif'!G14</f>
        <v>27770619.809999999</v>
      </c>
    </row>
    <row r="16" spans="2:7" ht="36" customHeight="1">
      <c r="B16" s="1219" t="s">
        <v>4885</v>
      </c>
      <c r="C16" s="1218">
        <v>0</v>
      </c>
      <c r="D16" s="1100">
        <v>0</v>
      </c>
      <c r="E16" s="1048">
        <f t="shared" si="0"/>
        <v>0</v>
      </c>
      <c r="F16" s="1042">
        <v>0</v>
      </c>
      <c r="G16" s="1042">
        <v>0</v>
      </c>
    </row>
    <row r="17" spans="2:7" ht="24" customHeight="1">
      <c r="B17" s="1219" t="s">
        <v>4886</v>
      </c>
      <c r="C17" s="1218">
        <v>0</v>
      </c>
      <c r="D17" s="1100">
        <v>0</v>
      </c>
      <c r="E17" s="1048">
        <f t="shared" si="0"/>
        <v>0</v>
      </c>
      <c r="F17" s="1042">
        <v>0</v>
      </c>
      <c r="G17" s="1042">
        <v>0</v>
      </c>
    </row>
    <row r="18" spans="2:7" ht="24" customHeight="1">
      <c r="B18" s="1217" t="s">
        <v>811</v>
      </c>
      <c r="C18" s="1042">
        <f>'13 ri sif'!C17</f>
        <v>3609721.7481223745</v>
      </c>
      <c r="D18" s="1042">
        <f>'13 ri sif'!D17</f>
        <v>0</v>
      </c>
      <c r="E18" s="1048">
        <f t="shared" si="0"/>
        <v>3609721.7481223745</v>
      </c>
      <c r="F18" s="1042">
        <f>'13 ri sif'!F17</f>
        <v>2649306.3099999996</v>
      </c>
      <c r="G18" s="1042">
        <f>'13 ri sif'!G17</f>
        <v>2649306.3099999996</v>
      </c>
    </row>
    <row r="19" spans="2:7">
      <c r="B19" s="1220"/>
      <c r="C19" s="1048"/>
      <c r="D19" s="1046"/>
      <c r="E19" s="1048"/>
      <c r="F19" s="1048"/>
      <c r="G19" s="1048"/>
    </row>
    <row r="20" spans="2:7">
      <c r="B20" s="1221" t="s">
        <v>5017</v>
      </c>
      <c r="C20" s="1222">
        <f>SUM(C9:C18)</f>
        <v>104709875.48973811</v>
      </c>
      <c r="D20" s="1223">
        <f>SUM(D9:D18)</f>
        <v>0</v>
      </c>
      <c r="E20" s="1222">
        <f>C20+D20</f>
        <v>104709875.48973811</v>
      </c>
      <c r="F20" s="1222">
        <f>SUM(F9:F18)</f>
        <v>30419926.119999997</v>
      </c>
      <c r="G20" s="1222">
        <f>SUM(G9:G18)</f>
        <v>30419926.119999997</v>
      </c>
    </row>
    <row r="21" spans="2:7">
      <c r="B21" s="1221"/>
      <c r="C21" s="1222"/>
      <c r="D21" s="1223"/>
      <c r="E21" s="1222"/>
      <c r="F21" s="1222"/>
      <c r="G21" s="1222"/>
    </row>
    <row r="22" spans="2:7" ht="39" customHeight="1">
      <c r="B22" s="1945" t="s">
        <v>230</v>
      </c>
      <c r="C22" s="1208" t="s">
        <v>821</v>
      </c>
      <c r="D22" s="1040" t="s">
        <v>796</v>
      </c>
      <c r="E22" s="1039" t="s">
        <v>797</v>
      </c>
      <c r="F22" s="1039" t="s">
        <v>236</v>
      </c>
      <c r="G22" s="1039" t="s">
        <v>4954</v>
      </c>
    </row>
    <row r="23" spans="2:7">
      <c r="B23" s="1946"/>
      <c r="C23" s="1061" t="s">
        <v>4936</v>
      </c>
      <c r="D23" s="1209" t="s">
        <v>4937</v>
      </c>
      <c r="E23" s="1210" t="s">
        <v>801</v>
      </c>
      <c r="F23" s="1210" t="s">
        <v>4938</v>
      </c>
      <c r="G23" s="1210" t="s">
        <v>4939</v>
      </c>
    </row>
    <row r="24" spans="2:7" s="3" customFormat="1">
      <c r="B24" s="1224"/>
      <c r="C24" s="1048"/>
      <c r="D24" s="1046"/>
      <c r="E24" s="1048"/>
      <c r="F24" s="1048"/>
      <c r="G24" s="1048"/>
    </row>
    <row r="25" spans="2:7" ht="12" customHeight="1">
      <c r="B25" s="1225" t="s">
        <v>75</v>
      </c>
      <c r="C25" s="1048"/>
      <c r="D25" s="1046"/>
      <c r="E25" s="1048"/>
      <c r="F25" s="1048"/>
      <c r="G25" s="1048"/>
    </row>
    <row r="26" spans="2:7" ht="12" customHeight="1">
      <c r="B26" s="1224" t="s">
        <v>4967</v>
      </c>
      <c r="C26" s="1042">
        <f>+COG!D10</f>
        <v>19299621.387999997</v>
      </c>
      <c r="D26" s="1100">
        <f>+COG!E10</f>
        <v>0</v>
      </c>
      <c r="E26" s="1048">
        <f t="shared" ref="E26:E34" si="1">C26+D26</f>
        <v>19299621.387999997</v>
      </c>
      <c r="F26" s="1042">
        <f>+COG!G10</f>
        <v>4375817.34</v>
      </c>
      <c r="G26" s="1042">
        <f>+COG!H10</f>
        <v>4375817.34</v>
      </c>
    </row>
    <row r="27" spans="2:7" ht="12" customHeight="1">
      <c r="B27" s="1224" t="s">
        <v>167</v>
      </c>
      <c r="C27" s="1042">
        <f>+COG!D15</f>
        <v>2153010.4640000006</v>
      </c>
      <c r="D27" s="1100">
        <f>+COG!E15</f>
        <v>0</v>
      </c>
      <c r="E27" s="1048">
        <f t="shared" si="1"/>
        <v>2153010.4640000006</v>
      </c>
      <c r="F27" s="1042">
        <f>+COG!G15</f>
        <v>241376.94</v>
      </c>
      <c r="G27" s="1042">
        <f>+COG!H15</f>
        <v>241376.94</v>
      </c>
    </row>
    <row r="28" spans="2:7">
      <c r="B28" s="1224" t="s">
        <v>168</v>
      </c>
      <c r="C28" s="1042">
        <f>+COG!D20</f>
        <v>115790657.28028001</v>
      </c>
      <c r="D28" s="1100">
        <f>+COG!E20</f>
        <v>0</v>
      </c>
      <c r="E28" s="1048">
        <f t="shared" si="1"/>
        <v>115790657.28028001</v>
      </c>
      <c r="F28" s="1042">
        <f>+COG!G20</f>
        <v>10243780.560000001</v>
      </c>
      <c r="G28" s="1042">
        <f>+COG!H20</f>
        <v>10243780.560000001</v>
      </c>
    </row>
    <row r="29" spans="2:7">
      <c r="B29" s="1224" t="s">
        <v>4978</v>
      </c>
      <c r="C29" s="1042">
        <f>+COG!D29</f>
        <v>1016994.2842170001</v>
      </c>
      <c r="D29" s="1100">
        <f>+COG!E29</f>
        <v>0</v>
      </c>
      <c r="E29" s="1048">
        <f t="shared" si="1"/>
        <v>1016994.2842170001</v>
      </c>
      <c r="F29" s="1042">
        <f>+COG!G29</f>
        <v>159527.47</v>
      </c>
      <c r="G29" s="1042">
        <f>+COG!H29</f>
        <v>159527.47</v>
      </c>
    </row>
    <row r="30" spans="2:7">
      <c r="B30" s="1224" t="s">
        <v>4980</v>
      </c>
      <c r="C30" s="1042">
        <v>0</v>
      </c>
      <c r="D30" s="1100">
        <v>0</v>
      </c>
      <c r="E30" s="1048">
        <f t="shared" si="1"/>
        <v>0</v>
      </c>
      <c r="F30" s="1042">
        <v>0</v>
      </c>
      <c r="G30" s="1042">
        <v>0</v>
      </c>
    </row>
    <row r="31" spans="2:7">
      <c r="B31" s="1224" t="s">
        <v>4989</v>
      </c>
      <c r="C31" s="1042">
        <v>0</v>
      </c>
      <c r="D31" s="1100">
        <v>0</v>
      </c>
      <c r="E31" s="1048">
        <f t="shared" si="1"/>
        <v>0</v>
      </c>
      <c r="F31" s="1042">
        <v>0</v>
      </c>
      <c r="G31" s="1042">
        <v>0</v>
      </c>
    </row>
    <row r="32" spans="2:7">
      <c r="B32" s="1224" t="s">
        <v>4993</v>
      </c>
      <c r="C32" s="1042">
        <v>0</v>
      </c>
      <c r="D32" s="1100">
        <v>0</v>
      </c>
      <c r="E32" s="1048">
        <f t="shared" si="1"/>
        <v>0</v>
      </c>
      <c r="F32" s="1042">
        <v>0</v>
      </c>
      <c r="G32" s="1042">
        <v>0</v>
      </c>
    </row>
    <row r="33" spans="2:7">
      <c r="B33" s="1224" t="s">
        <v>635</v>
      </c>
      <c r="C33" s="1042">
        <v>0</v>
      </c>
      <c r="D33" s="1100">
        <v>0</v>
      </c>
      <c r="E33" s="1048">
        <f t="shared" si="1"/>
        <v>0</v>
      </c>
      <c r="F33" s="1042">
        <v>0</v>
      </c>
      <c r="G33" s="1042">
        <v>0</v>
      </c>
    </row>
    <row r="34" spans="2:7">
      <c r="B34" s="1224" t="s">
        <v>5002</v>
      </c>
      <c r="C34" s="1042">
        <v>0</v>
      </c>
      <c r="D34" s="1100">
        <v>0</v>
      </c>
      <c r="E34" s="1048">
        <f t="shared" si="1"/>
        <v>0</v>
      </c>
      <c r="F34" s="1042">
        <v>0</v>
      </c>
      <c r="G34" s="1042">
        <v>0</v>
      </c>
    </row>
    <row r="35" spans="2:7">
      <c r="B35" s="1224"/>
      <c r="C35" s="1048"/>
      <c r="D35" s="1046"/>
      <c r="E35" s="1048"/>
      <c r="F35" s="1046"/>
      <c r="G35" s="1048"/>
    </row>
    <row r="36" spans="2:7">
      <c r="B36" s="1226" t="s">
        <v>5018</v>
      </c>
      <c r="C36" s="1222">
        <f>SUM(C26:C34)</f>
        <v>138260283.41649699</v>
      </c>
      <c r="D36" s="1223">
        <f>SUM(D26:D34)</f>
        <v>0</v>
      </c>
      <c r="E36" s="1223">
        <f>SUM(E26:E34)</f>
        <v>138260283.41649699</v>
      </c>
      <c r="F36" s="1223">
        <f>SUM(F26:F34)</f>
        <v>15020502.310000001</v>
      </c>
      <c r="G36" s="1222">
        <f>SUM(G26:G34)</f>
        <v>15020502.310000001</v>
      </c>
    </row>
    <row r="37" spans="2:7" s="3" customFormat="1">
      <c r="B37" s="1050"/>
      <c r="C37" s="1048"/>
      <c r="D37" s="1046"/>
      <c r="E37" s="1048"/>
      <c r="F37" s="1046"/>
      <c r="G37" s="1227"/>
    </row>
    <row r="38" spans="2:7">
      <c r="B38" s="1101" t="s">
        <v>5019</v>
      </c>
      <c r="C38" s="1053">
        <f>C20-C36</f>
        <v>-33550407.926758885</v>
      </c>
      <c r="D38" s="1228">
        <f>D20-D36</f>
        <v>0</v>
      </c>
      <c r="E38" s="1053">
        <f>D38+C38</f>
        <v>-33550407.926758885</v>
      </c>
      <c r="F38" s="1053">
        <f>F20-F36</f>
        <v>15399423.809999997</v>
      </c>
      <c r="G38" s="1053">
        <f>G20-G36</f>
        <v>15399423.809999997</v>
      </c>
    </row>
    <row r="39" spans="2:7" ht="15" customHeight="1"/>
  </sheetData>
  <mergeCells count="5">
    <mergeCell ref="B2:G2"/>
    <mergeCell ref="B3:G3"/>
    <mergeCell ref="B4:G4"/>
    <mergeCell ref="B5:B6"/>
    <mergeCell ref="B22:B23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9"/>
  <dimension ref="A1:E19"/>
  <sheetViews>
    <sheetView workbookViewId="0">
      <selection activeCell="D15" sqref="D15"/>
    </sheetView>
  </sheetViews>
  <sheetFormatPr baseColWidth="10" defaultRowHeight="12"/>
  <cols>
    <col min="1" max="1" width="3.140625" style="434" customWidth="1"/>
    <col min="2" max="2" width="46.5703125" style="434" customWidth="1"/>
    <col min="3" max="3" width="19.85546875" style="434" customWidth="1"/>
    <col min="4" max="4" width="19.7109375" style="434" customWidth="1"/>
    <col min="5" max="5" width="5.140625" style="157" customWidth="1"/>
    <col min="6" max="16384" width="11.42578125" style="434"/>
  </cols>
  <sheetData>
    <row r="1" spans="1:4" ht="12.75" thickBot="1">
      <c r="A1" s="157"/>
      <c r="B1" s="157"/>
      <c r="C1" s="157"/>
      <c r="D1" s="157"/>
    </row>
    <row r="2" spans="1:4">
      <c r="A2" s="157"/>
      <c r="B2" s="1947"/>
      <c r="C2" s="1948"/>
      <c r="D2" s="1949"/>
    </row>
    <row r="3" spans="1:4">
      <c r="A3" s="157"/>
      <c r="B3" s="1950" t="s">
        <v>2992</v>
      </c>
      <c r="C3" s="1951"/>
      <c r="D3" s="1952"/>
    </row>
    <row r="4" spans="1:4" ht="15.75" customHeight="1" thickBot="1">
      <c r="A4" s="157"/>
      <c r="B4" s="1953" t="s">
        <v>942</v>
      </c>
      <c r="C4" s="1954"/>
      <c r="D4" s="1955"/>
    </row>
    <row r="5" spans="1:4">
      <c r="A5" s="157"/>
      <c r="B5" s="1956" t="s">
        <v>943</v>
      </c>
      <c r="C5" s="1958" t="s">
        <v>944</v>
      </c>
      <c r="D5" s="1959"/>
    </row>
    <row r="6" spans="1:4" ht="12.75" thickBot="1">
      <c r="A6" s="157"/>
      <c r="B6" s="1957"/>
      <c r="C6" s="427" t="s">
        <v>945</v>
      </c>
      <c r="D6" s="428" t="s">
        <v>946</v>
      </c>
    </row>
    <row r="7" spans="1:4">
      <c r="A7" s="157"/>
      <c r="B7" s="429" t="s">
        <v>947</v>
      </c>
      <c r="C7" s="429" t="s">
        <v>948</v>
      </c>
      <c r="D7" s="430" t="s">
        <v>949</v>
      </c>
    </row>
    <row r="8" spans="1:4">
      <c r="A8" s="157"/>
      <c r="B8" s="429" t="s">
        <v>947</v>
      </c>
      <c r="C8" s="431" t="s">
        <v>5950</v>
      </c>
      <c r="D8" s="432" t="s">
        <v>950</v>
      </c>
    </row>
    <row r="9" spans="1:4">
      <c r="A9" s="157"/>
      <c r="B9" s="429" t="s">
        <v>947</v>
      </c>
      <c r="C9" s="431" t="s">
        <v>2989</v>
      </c>
      <c r="D9" s="431" t="s">
        <v>951</v>
      </c>
    </row>
    <row r="10" spans="1:4">
      <c r="A10" s="157"/>
      <c r="B10" s="731" t="s">
        <v>3153</v>
      </c>
      <c r="C10" s="431" t="s">
        <v>2989</v>
      </c>
      <c r="D10" s="431">
        <v>285</v>
      </c>
    </row>
    <row r="11" spans="1:4">
      <c r="A11" s="157"/>
      <c r="B11" s="429" t="s">
        <v>952</v>
      </c>
      <c r="C11" s="431" t="s">
        <v>2989</v>
      </c>
      <c r="D11" s="431" t="s">
        <v>953</v>
      </c>
    </row>
    <row r="12" spans="1:4">
      <c r="A12" s="157"/>
      <c r="B12" s="1361" t="s">
        <v>3153</v>
      </c>
      <c r="C12" s="431" t="s">
        <v>5951</v>
      </c>
      <c r="D12" s="431">
        <v>643</v>
      </c>
    </row>
    <row r="13" spans="1:4">
      <c r="A13" s="157"/>
      <c r="B13" s="1377" t="s">
        <v>5996</v>
      </c>
      <c r="C13" s="431" t="s">
        <v>5951</v>
      </c>
      <c r="D13" s="432" t="s">
        <v>5997</v>
      </c>
    </row>
    <row r="14" spans="1:4">
      <c r="A14" s="157"/>
      <c r="B14" s="1377" t="s">
        <v>3153</v>
      </c>
      <c r="C14" s="431" t="s">
        <v>5951</v>
      </c>
      <c r="D14" s="431">
        <v>1527997164</v>
      </c>
    </row>
    <row r="15" spans="1:4">
      <c r="A15" s="157"/>
      <c r="B15" s="433"/>
      <c r="C15" s="433"/>
      <c r="D15" s="433"/>
    </row>
    <row r="16" spans="1:4">
      <c r="A16" s="157"/>
      <c r="B16" s="433"/>
      <c r="C16" s="433"/>
      <c r="D16" s="433"/>
    </row>
    <row r="17" spans="1:4">
      <c r="A17" s="157"/>
      <c r="B17" s="433"/>
      <c r="C17" s="433"/>
      <c r="D17" s="433"/>
    </row>
    <row r="18" spans="1:4">
      <c r="A18" s="157"/>
      <c r="B18" s="157"/>
      <c r="C18" s="157"/>
      <c r="D18" s="157"/>
    </row>
    <row r="19" spans="1:4">
      <c r="A19" s="157"/>
      <c r="B19" s="157"/>
      <c r="C19" s="157"/>
      <c r="D19" s="157"/>
    </row>
  </sheetData>
  <mergeCells count="5">
    <mergeCell ref="B2:D2"/>
    <mergeCell ref="B3:D3"/>
    <mergeCell ref="B4:D4"/>
    <mergeCell ref="B5:B6"/>
    <mergeCell ref="C5:D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F7B632-0DA7-492F-826D-B6F415BDB7FA}">
  <dimension ref="A1:AT404"/>
  <sheetViews>
    <sheetView topLeftCell="A378" workbookViewId="0">
      <selection activeCell="N403" sqref="N403"/>
    </sheetView>
  </sheetViews>
  <sheetFormatPr baseColWidth="10" defaultRowHeight="9"/>
  <cols>
    <col min="1" max="1" width="4.7109375" style="1405" customWidth="1"/>
    <col min="2" max="2" width="7" style="1405" customWidth="1"/>
    <col min="3" max="3" width="34.28515625" style="1405" customWidth="1"/>
    <col min="4" max="4" width="10.7109375" style="1405" hidden="1" customWidth="1"/>
    <col min="5" max="5" width="13.7109375" style="1405" hidden="1" customWidth="1"/>
    <col min="6" max="6" width="14.42578125" style="1405" hidden="1" customWidth="1"/>
    <col min="7" max="7" width="5.42578125" style="1405" hidden="1" customWidth="1"/>
    <col min="8" max="8" width="7.85546875" style="1405" hidden="1" customWidth="1"/>
    <col min="9" max="9" width="5.5703125" style="1405" hidden="1" customWidth="1"/>
    <col min="10" max="10" width="8" style="1405" hidden="1" customWidth="1"/>
    <col min="11" max="11" width="15.28515625" style="1405" hidden="1" customWidth="1"/>
    <col min="12" max="12" width="13.5703125" style="1405" hidden="1" customWidth="1"/>
    <col min="13" max="13" width="8.42578125" style="1405" hidden="1" customWidth="1"/>
    <col min="14" max="14" width="11.7109375" style="1405" bestFit="1" customWidth="1"/>
    <col min="15" max="15" width="10.85546875" style="1405" bestFit="1" customWidth="1"/>
    <col min="16" max="16" width="12.85546875" style="1414" hidden="1" customWidth="1"/>
    <col min="17" max="17" width="11.85546875" style="1414" hidden="1" customWidth="1"/>
    <col min="18" max="18" width="13.140625" style="1405" hidden="1" customWidth="1"/>
    <col min="19" max="19" width="7.28515625" style="1405" hidden="1" customWidth="1"/>
    <col min="20" max="20" width="11.42578125" style="1405" hidden="1" customWidth="1"/>
    <col min="21" max="21" width="8.7109375" style="1405" hidden="1" customWidth="1"/>
    <col min="22" max="22" width="12.5703125" style="788" customWidth="1"/>
    <col min="23" max="23" width="12.85546875" style="788" bestFit="1" customWidth="1"/>
    <col min="24" max="24" width="12" style="788" bestFit="1" customWidth="1"/>
    <col min="25" max="25" width="12.85546875" style="788" customWidth="1"/>
    <col min="26" max="26" width="3" style="1405" hidden="1" customWidth="1"/>
    <col min="27" max="27" width="8.5703125" style="1405" hidden="1" customWidth="1"/>
    <col min="28" max="28" width="34.5703125" style="1405" hidden="1" customWidth="1"/>
    <col min="29" max="29" width="45.28515625" style="1405" hidden="1" customWidth="1"/>
    <col min="30" max="30" width="6.5703125" style="1405" hidden="1" customWidth="1"/>
    <col min="31" max="31" width="10" style="1405" hidden="1" customWidth="1"/>
    <col min="32" max="32" width="10.7109375" style="1405" hidden="1" customWidth="1"/>
    <col min="33" max="33" width="9.28515625" style="1405" hidden="1" customWidth="1"/>
    <col min="34" max="34" width="10.42578125" style="1405" hidden="1" customWidth="1"/>
    <col min="35" max="35" width="6.28515625" style="1405" hidden="1" customWidth="1"/>
    <col min="36" max="36" width="4.5703125" style="1405" hidden="1" customWidth="1"/>
    <col min="37" max="37" width="61.85546875" style="1405" hidden="1" customWidth="1"/>
    <col min="38" max="39" width="0" style="1405" hidden="1" customWidth="1"/>
    <col min="40" max="40" width="38.5703125" style="1405" hidden="1" customWidth="1"/>
    <col min="41" max="41" width="24.28515625" style="1405" hidden="1" customWidth="1"/>
    <col min="42" max="49" width="0" style="1405" hidden="1" customWidth="1"/>
    <col min="50" max="256" width="11.42578125" style="1405"/>
    <col min="257" max="257" width="4.7109375" style="1405" customWidth="1"/>
    <col min="258" max="258" width="7" style="1405" customWidth="1"/>
    <col min="259" max="259" width="34.28515625" style="1405" customWidth="1"/>
    <col min="260" max="269" width="0" style="1405" hidden="1" customWidth="1"/>
    <col min="270" max="270" width="11.7109375" style="1405" bestFit="1" customWidth="1"/>
    <col min="271" max="271" width="10.85546875" style="1405" bestFit="1" customWidth="1"/>
    <col min="272" max="277" width="0" style="1405" hidden="1" customWidth="1"/>
    <col min="278" max="278" width="12.5703125" style="1405" customWidth="1"/>
    <col min="279" max="279" width="12.85546875" style="1405" bestFit="1" customWidth="1"/>
    <col min="280" max="280" width="12" style="1405" bestFit="1" customWidth="1"/>
    <col min="281" max="281" width="12.85546875" style="1405" customWidth="1"/>
    <col min="282" max="282" width="3" style="1405" customWidth="1"/>
    <col min="283" max="285" width="0" style="1405" hidden="1" customWidth="1"/>
    <col min="286" max="286" width="6.5703125" style="1405" customWidth="1"/>
    <col min="287" max="287" width="10" style="1405" customWidth="1"/>
    <col min="288" max="288" width="10.7109375" style="1405" customWidth="1"/>
    <col min="289" max="289" width="9.28515625" style="1405" customWidth="1"/>
    <col min="290" max="290" width="10.42578125" style="1405" customWidth="1"/>
    <col min="291" max="291" width="6.28515625" style="1405" customWidth="1"/>
    <col min="292" max="292" width="4.5703125" style="1405" customWidth="1"/>
    <col min="293" max="293" width="61.85546875" style="1405" customWidth="1"/>
    <col min="294" max="295" width="11.42578125" style="1405"/>
    <col min="296" max="296" width="38.5703125" style="1405" customWidth="1"/>
    <col min="297" max="297" width="24.28515625" style="1405" customWidth="1"/>
    <col min="298" max="512" width="11.42578125" style="1405"/>
    <col min="513" max="513" width="4.7109375" style="1405" customWidth="1"/>
    <col min="514" max="514" width="7" style="1405" customWidth="1"/>
    <col min="515" max="515" width="34.28515625" style="1405" customWidth="1"/>
    <col min="516" max="525" width="0" style="1405" hidden="1" customWidth="1"/>
    <col min="526" max="526" width="11.7109375" style="1405" bestFit="1" customWidth="1"/>
    <col min="527" max="527" width="10.85546875" style="1405" bestFit="1" customWidth="1"/>
    <col min="528" max="533" width="0" style="1405" hidden="1" customWidth="1"/>
    <col min="534" max="534" width="12.5703125" style="1405" customWidth="1"/>
    <col min="535" max="535" width="12.85546875" style="1405" bestFit="1" customWidth="1"/>
    <col min="536" max="536" width="12" style="1405" bestFit="1" customWidth="1"/>
    <col min="537" max="537" width="12.85546875" style="1405" customWidth="1"/>
    <col min="538" max="538" width="3" style="1405" customWidth="1"/>
    <col min="539" max="541" width="0" style="1405" hidden="1" customWidth="1"/>
    <col min="542" max="542" width="6.5703125" style="1405" customWidth="1"/>
    <col min="543" max="543" width="10" style="1405" customWidth="1"/>
    <col min="544" max="544" width="10.7109375" style="1405" customWidth="1"/>
    <col min="545" max="545" width="9.28515625" style="1405" customWidth="1"/>
    <col min="546" max="546" width="10.42578125" style="1405" customWidth="1"/>
    <col min="547" max="547" width="6.28515625" style="1405" customWidth="1"/>
    <col min="548" max="548" width="4.5703125" style="1405" customWidth="1"/>
    <col min="549" max="549" width="61.85546875" style="1405" customWidth="1"/>
    <col min="550" max="551" width="11.42578125" style="1405"/>
    <col min="552" max="552" width="38.5703125" style="1405" customWidth="1"/>
    <col min="553" max="553" width="24.28515625" style="1405" customWidth="1"/>
    <col min="554" max="768" width="11.42578125" style="1405"/>
    <col min="769" max="769" width="4.7109375" style="1405" customWidth="1"/>
    <col min="770" max="770" width="7" style="1405" customWidth="1"/>
    <col min="771" max="771" width="34.28515625" style="1405" customWidth="1"/>
    <col min="772" max="781" width="0" style="1405" hidden="1" customWidth="1"/>
    <col min="782" max="782" width="11.7109375" style="1405" bestFit="1" customWidth="1"/>
    <col min="783" max="783" width="10.85546875" style="1405" bestFit="1" customWidth="1"/>
    <col min="784" max="789" width="0" style="1405" hidden="1" customWidth="1"/>
    <col min="790" max="790" width="12.5703125" style="1405" customWidth="1"/>
    <col min="791" max="791" width="12.85546875" style="1405" bestFit="1" customWidth="1"/>
    <col min="792" max="792" width="12" style="1405" bestFit="1" customWidth="1"/>
    <col min="793" max="793" width="12.85546875" style="1405" customWidth="1"/>
    <col min="794" max="794" width="3" style="1405" customWidth="1"/>
    <col min="795" max="797" width="0" style="1405" hidden="1" customWidth="1"/>
    <col min="798" max="798" width="6.5703125" style="1405" customWidth="1"/>
    <col min="799" max="799" width="10" style="1405" customWidth="1"/>
    <col min="800" max="800" width="10.7109375" style="1405" customWidth="1"/>
    <col min="801" max="801" width="9.28515625" style="1405" customWidth="1"/>
    <col min="802" max="802" width="10.42578125" style="1405" customWidth="1"/>
    <col min="803" max="803" width="6.28515625" style="1405" customWidth="1"/>
    <col min="804" max="804" width="4.5703125" style="1405" customWidth="1"/>
    <col min="805" max="805" width="61.85546875" style="1405" customWidth="1"/>
    <col min="806" max="807" width="11.42578125" style="1405"/>
    <col min="808" max="808" width="38.5703125" style="1405" customWidth="1"/>
    <col min="809" max="809" width="24.28515625" style="1405" customWidth="1"/>
    <col min="810" max="1024" width="11.42578125" style="1405"/>
    <col min="1025" max="1025" width="4.7109375" style="1405" customWidth="1"/>
    <col min="1026" max="1026" width="7" style="1405" customWidth="1"/>
    <col min="1027" max="1027" width="34.28515625" style="1405" customWidth="1"/>
    <col min="1028" max="1037" width="0" style="1405" hidden="1" customWidth="1"/>
    <col min="1038" max="1038" width="11.7109375" style="1405" bestFit="1" customWidth="1"/>
    <col min="1039" max="1039" width="10.85546875" style="1405" bestFit="1" customWidth="1"/>
    <col min="1040" max="1045" width="0" style="1405" hidden="1" customWidth="1"/>
    <col min="1046" max="1046" width="12.5703125" style="1405" customWidth="1"/>
    <col min="1047" max="1047" width="12.85546875" style="1405" bestFit="1" customWidth="1"/>
    <col min="1048" max="1048" width="12" style="1405" bestFit="1" customWidth="1"/>
    <col min="1049" max="1049" width="12.85546875" style="1405" customWidth="1"/>
    <col min="1050" max="1050" width="3" style="1405" customWidth="1"/>
    <col min="1051" max="1053" width="0" style="1405" hidden="1" customWidth="1"/>
    <col min="1054" max="1054" width="6.5703125" style="1405" customWidth="1"/>
    <col min="1055" max="1055" width="10" style="1405" customWidth="1"/>
    <col min="1056" max="1056" width="10.7109375" style="1405" customWidth="1"/>
    <col min="1057" max="1057" width="9.28515625" style="1405" customWidth="1"/>
    <col min="1058" max="1058" width="10.42578125" style="1405" customWidth="1"/>
    <col min="1059" max="1059" width="6.28515625" style="1405" customWidth="1"/>
    <col min="1060" max="1060" width="4.5703125" style="1405" customWidth="1"/>
    <col min="1061" max="1061" width="61.85546875" style="1405" customWidth="1"/>
    <col min="1062" max="1063" width="11.42578125" style="1405"/>
    <col min="1064" max="1064" width="38.5703125" style="1405" customWidth="1"/>
    <col min="1065" max="1065" width="24.28515625" style="1405" customWidth="1"/>
    <col min="1066" max="1280" width="11.42578125" style="1405"/>
    <col min="1281" max="1281" width="4.7109375" style="1405" customWidth="1"/>
    <col min="1282" max="1282" width="7" style="1405" customWidth="1"/>
    <col min="1283" max="1283" width="34.28515625" style="1405" customWidth="1"/>
    <col min="1284" max="1293" width="0" style="1405" hidden="1" customWidth="1"/>
    <col min="1294" max="1294" width="11.7109375" style="1405" bestFit="1" customWidth="1"/>
    <col min="1295" max="1295" width="10.85546875" style="1405" bestFit="1" customWidth="1"/>
    <col min="1296" max="1301" width="0" style="1405" hidden="1" customWidth="1"/>
    <col min="1302" max="1302" width="12.5703125" style="1405" customWidth="1"/>
    <col min="1303" max="1303" width="12.85546875" style="1405" bestFit="1" customWidth="1"/>
    <col min="1304" max="1304" width="12" style="1405" bestFit="1" customWidth="1"/>
    <col min="1305" max="1305" width="12.85546875" style="1405" customWidth="1"/>
    <col min="1306" max="1306" width="3" style="1405" customWidth="1"/>
    <col min="1307" max="1309" width="0" style="1405" hidden="1" customWidth="1"/>
    <col min="1310" max="1310" width="6.5703125" style="1405" customWidth="1"/>
    <col min="1311" max="1311" width="10" style="1405" customWidth="1"/>
    <col min="1312" max="1312" width="10.7109375" style="1405" customWidth="1"/>
    <col min="1313" max="1313" width="9.28515625" style="1405" customWidth="1"/>
    <col min="1314" max="1314" width="10.42578125" style="1405" customWidth="1"/>
    <col min="1315" max="1315" width="6.28515625" style="1405" customWidth="1"/>
    <col min="1316" max="1316" width="4.5703125" style="1405" customWidth="1"/>
    <col min="1317" max="1317" width="61.85546875" style="1405" customWidth="1"/>
    <col min="1318" max="1319" width="11.42578125" style="1405"/>
    <col min="1320" max="1320" width="38.5703125" style="1405" customWidth="1"/>
    <col min="1321" max="1321" width="24.28515625" style="1405" customWidth="1"/>
    <col min="1322" max="1536" width="11.42578125" style="1405"/>
    <col min="1537" max="1537" width="4.7109375" style="1405" customWidth="1"/>
    <col min="1538" max="1538" width="7" style="1405" customWidth="1"/>
    <col min="1539" max="1539" width="34.28515625" style="1405" customWidth="1"/>
    <col min="1540" max="1549" width="0" style="1405" hidden="1" customWidth="1"/>
    <col min="1550" max="1550" width="11.7109375" style="1405" bestFit="1" customWidth="1"/>
    <col min="1551" max="1551" width="10.85546875" style="1405" bestFit="1" customWidth="1"/>
    <col min="1552" max="1557" width="0" style="1405" hidden="1" customWidth="1"/>
    <col min="1558" max="1558" width="12.5703125" style="1405" customWidth="1"/>
    <col min="1559" max="1559" width="12.85546875" style="1405" bestFit="1" customWidth="1"/>
    <col min="1560" max="1560" width="12" style="1405" bestFit="1" customWidth="1"/>
    <col min="1561" max="1561" width="12.85546875" style="1405" customWidth="1"/>
    <col min="1562" max="1562" width="3" style="1405" customWidth="1"/>
    <col min="1563" max="1565" width="0" style="1405" hidden="1" customWidth="1"/>
    <col min="1566" max="1566" width="6.5703125" style="1405" customWidth="1"/>
    <col min="1567" max="1567" width="10" style="1405" customWidth="1"/>
    <col min="1568" max="1568" width="10.7109375" style="1405" customWidth="1"/>
    <col min="1569" max="1569" width="9.28515625" style="1405" customWidth="1"/>
    <col min="1570" max="1570" width="10.42578125" style="1405" customWidth="1"/>
    <col min="1571" max="1571" width="6.28515625" style="1405" customWidth="1"/>
    <col min="1572" max="1572" width="4.5703125" style="1405" customWidth="1"/>
    <col min="1573" max="1573" width="61.85546875" style="1405" customWidth="1"/>
    <col min="1574" max="1575" width="11.42578125" style="1405"/>
    <col min="1576" max="1576" width="38.5703125" style="1405" customWidth="1"/>
    <col min="1577" max="1577" width="24.28515625" style="1405" customWidth="1"/>
    <col min="1578" max="1792" width="11.42578125" style="1405"/>
    <col min="1793" max="1793" width="4.7109375" style="1405" customWidth="1"/>
    <col min="1794" max="1794" width="7" style="1405" customWidth="1"/>
    <col min="1795" max="1795" width="34.28515625" style="1405" customWidth="1"/>
    <col min="1796" max="1805" width="0" style="1405" hidden="1" customWidth="1"/>
    <col min="1806" max="1806" width="11.7109375" style="1405" bestFit="1" customWidth="1"/>
    <col min="1807" max="1807" width="10.85546875" style="1405" bestFit="1" customWidth="1"/>
    <col min="1808" max="1813" width="0" style="1405" hidden="1" customWidth="1"/>
    <col min="1814" max="1814" width="12.5703125" style="1405" customWidth="1"/>
    <col min="1815" max="1815" width="12.85546875" style="1405" bestFit="1" customWidth="1"/>
    <col min="1816" max="1816" width="12" style="1405" bestFit="1" customWidth="1"/>
    <col min="1817" max="1817" width="12.85546875" style="1405" customWidth="1"/>
    <col min="1818" max="1818" width="3" style="1405" customWidth="1"/>
    <col min="1819" max="1821" width="0" style="1405" hidden="1" customWidth="1"/>
    <col min="1822" max="1822" width="6.5703125" style="1405" customWidth="1"/>
    <col min="1823" max="1823" width="10" style="1405" customWidth="1"/>
    <col min="1824" max="1824" width="10.7109375" style="1405" customWidth="1"/>
    <col min="1825" max="1825" width="9.28515625" style="1405" customWidth="1"/>
    <col min="1826" max="1826" width="10.42578125" style="1405" customWidth="1"/>
    <col min="1827" max="1827" width="6.28515625" style="1405" customWidth="1"/>
    <col min="1828" max="1828" width="4.5703125" style="1405" customWidth="1"/>
    <col min="1829" max="1829" width="61.85546875" style="1405" customWidth="1"/>
    <col min="1830" max="1831" width="11.42578125" style="1405"/>
    <col min="1832" max="1832" width="38.5703125" style="1405" customWidth="1"/>
    <col min="1833" max="1833" width="24.28515625" style="1405" customWidth="1"/>
    <col min="1834" max="2048" width="11.42578125" style="1405"/>
    <col min="2049" max="2049" width="4.7109375" style="1405" customWidth="1"/>
    <col min="2050" max="2050" width="7" style="1405" customWidth="1"/>
    <col min="2051" max="2051" width="34.28515625" style="1405" customWidth="1"/>
    <col min="2052" max="2061" width="0" style="1405" hidden="1" customWidth="1"/>
    <col min="2062" max="2062" width="11.7109375" style="1405" bestFit="1" customWidth="1"/>
    <col min="2063" max="2063" width="10.85546875" style="1405" bestFit="1" customWidth="1"/>
    <col min="2064" max="2069" width="0" style="1405" hidden="1" customWidth="1"/>
    <col min="2070" max="2070" width="12.5703125" style="1405" customWidth="1"/>
    <col min="2071" max="2071" width="12.85546875" style="1405" bestFit="1" customWidth="1"/>
    <col min="2072" max="2072" width="12" style="1405" bestFit="1" customWidth="1"/>
    <col min="2073" max="2073" width="12.85546875" style="1405" customWidth="1"/>
    <col min="2074" max="2074" width="3" style="1405" customWidth="1"/>
    <col min="2075" max="2077" width="0" style="1405" hidden="1" customWidth="1"/>
    <col min="2078" max="2078" width="6.5703125" style="1405" customWidth="1"/>
    <col min="2079" max="2079" width="10" style="1405" customWidth="1"/>
    <col min="2080" max="2080" width="10.7109375" style="1405" customWidth="1"/>
    <col min="2081" max="2081" width="9.28515625" style="1405" customWidth="1"/>
    <col min="2082" max="2082" width="10.42578125" style="1405" customWidth="1"/>
    <col min="2083" max="2083" width="6.28515625" style="1405" customWidth="1"/>
    <col min="2084" max="2084" width="4.5703125" style="1405" customWidth="1"/>
    <col min="2085" max="2085" width="61.85546875" style="1405" customWidth="1"/>
    <col min="2086" max="2087" width="11.42578125" style="1405"/>
    <col min="2088" max="2088" width="38.5703125" style="1405" customWidth="1"/>
    <col min="2089" max="2089" width="24.28515625" style="1405" customWidth="1"/>
    <col min="2090" max="2304" width="11.42578125" style="1405"/>
    <col min="2305" max="2305" width="4.7109375" style="1405" customWidth="1"/>
    <col min="2306" max="2306" width="7" style="1405" customWidth="1"/>
    <col min="2307" max="2307" width="34.28515625" style="1405" customWidth="1"/>
    <col min="2308" max="2317" width="0" style="1405" hidden="1" customWidth="1"/>
    <col min="2318" max="2318" width="11.7109375" style="1405" bestFit="1" customWidth="1"/>
    <col min="2319" max="2319" width="10.85546875" style="1405" bestFit="1" customWidth="1"/>
    <col min="2320" max="2325" width="0" style="1405" hidden="1" customWidth="1"/>
    <col min="2326" max="2326" width="12.5703125" style="1405" customWidth="1"/>
    <col min="2327" max="2327" width="12.85546875" style="1405" bestFit="1" customWidth="1"/>
    <col min="2328" max="2328" width="12" style="1405" bestFit="1" customWidth="1"/>
    <col min="2329" max="2329" width="12.85546875" style="1405" customWidth="1"/>
    <col min="2330" max="2330" width="3" style="1405" customWidth="1"/>
    <col min="2331" max="2333" width="0" style="1405" hidden="1" customWidth="1"/>
    <col min="2334" max="2334" width="6.5703125" style="1405" customWidth="1"/>
    <col min="2335" max="2335" width="10" style="1405" customWidth="1"/>
    <col min="2336" max="2336" width="10.7109375" style="1405" customWidth="1"/>
    <col min="2337" max="2337" width="9.28515625" style="1405" customWidth="1"/>
    <col min="2338" max="2338" width="10.42578125" style="1405" customWidth="1"/>
    <col min="2339" max="2339" width="6.28515625" style="1405" customWidth="1"/>
    <col min="2340" max="2340" width="4.5703125" style="1405" customWidth="1"/>
    <col min="2341" max="2341" width="61.85546875" style="1405" customWidth="1"/>
    <col min="2342" max="2343" width="11.42578125" style="1405"/>
    <col min="2344" max="2344" width="38.5703125" style="1405" customWidth="1"/>
    <col min="2345" max="2345" width="24.28515625" style="1405" customWidth="1"/>
    <col min="2346" max="2560" width="11.42578125" style="1405"/>
    <col min="2561" max="2561" width="4.7109375" style="1405" customWidth="1"/>
    <col min="2562" max="2562" width="7" style="1405" customWidth="1"/>
    <col min="2563" max="2563" width="34.28515625" style="1405" customWidth="1"/>
    <col min="2564" max="2573" width="0" style="1405" hidden="1" customWidth="1"/>
    <col min="2574" max="2574" width="11.7109375" style="1405" bestFit="1" customWidth="1"/>
    <col min="2575" max="2575" width="10.85546875" style="1405" bestFit="1" customWidth="1"/>
    <col min="2576" max="2581" width="0" style="1405" hidden="1" customWidth="1"/>
    <col min="2582" max="2582" width="12.5703125" style="1405" customWidth="1"/>
    <col min="2583" max="2583" width="12.85546875" style="1405" bestFit="1" customWidth="1"/>
    <col min="2584" max="2584" width="12" style="1405" bestFit="1" customWidth="1"/>
    <col min="2585" max="2585" width="12.85546875" style="1405" customWidth="1"/>
    <col min="2586" max="2586" width="3" style="1405" customWidth="1"/>
    <col min="2587" max="2589" width="0" style="1405" hidden="1" customWidth="1"/>
    <col min="2590" max="2590" width="6.5703125" style="1405" customWidth="1"/>
    <col min="2591" max="2591" width="10" style="1405" customWidth="1"/>
    <col min="2592" max="2592" width="10.7109375" style="1405" customWidth="1"/>
    <col min="2593" max="2593" width="9.28515625" style="1405" customWidth="1"/>
    <col min="2594" max="2594" width="10.42578125" style="1405" customWidth="1"/>
    <col min="2595" max="2595" width="6.28515625" style="1405" customWidth="1"/>
    <col min="2596" max="2596" width="4.5703125" style="1405" customWidth="1"/>
    <col min="2597" max="2597" width="61.85546875" style="1405" customWidth="1"/>
    <col min="2598" max="2599" width="11.42578125" style="1405"/>
    <col min="2600" max="2600" width="38.5703125" style="1405" customWidth="1"/>
    <col min="2601" max="2601" width="24.28515625" style="1405" customWidth="1"/>
    <col min="2602" max="2816" width="11.42578125" style="1405"/>
    <col min="2817" max="2817" width="4.7109375" style="1405" customWidth="1"/>
    <col min="2818" max="2818" width="7" style="1405" customWidth="1"/>
    <col min="2819" max="2819" width="34.28515625" style="1405" customWidth="1"/>
    <col min="2820" max="2829" width="0" style="1405" hidden="1" customWidth="1"/>
    <col min="2830" max="2830" width="11.7109375" style="1405" bestFit="1" customWidth="1"/>
    <col min="2831" max="2831" width="10.85546875" style="1405" bestFit="1" customWidth="1"/>
    <col min="2832" max="2837" width="0" style="1405" hidden="1" customWidth="1"/>
    <col min="2838" max="2838" width="12.5703125" style="1405" customWidth="1"/>
    <col min="2839" max="2839" width="12.85546875" style="1405" bestFit="1" customWidth="1"/>
    <col min="2840" max="2840" width="12" style="1405" bestFit="1" customWidth="1"/>
    <col min="2841" max="2841" width="12.85546875" style="1405" customWidth="1"/>
    <col min="2842" max="2842" width="3" style="1405" customWidth="1"/>
    <col min="2843" max="2845" width="0" style="1405" hidden="1" customWidth="1"/>
    <col min="2846" max="2846" width="6.5703125" style="1405" customWidth="1"/>
    <col min="2847" max="2847" width="10" style="1405" customWidth="1"/>
    <col min="2848" max="2848" width="10.7109375" style="1405" customWidth="1"/>
    <col min="2849" max="2849" width="9.28515625" style="1405" customWidth="1"/>
    <col min="2850" max="2850" width="10.42578125" style="1405" customWidth="1"/>
    <col min="2851" max="2851" width="6.28515625" style="1405" customWidth="1"/>
    <col min="2852" max="2852" width="4.5703125" style="1405" customWidth="1"/>
    <col min="2853" max="2853" width="61.85546875" style="1405" customWidth="1"/>
    <col min="2854" max="2855" width="11.42578125" style="1405"/>
    <col min="2856" max="2856" width="38.5703125" style="1405" customWidth="1"/>
    <col min="2857" max="2857" width="24.28515625" style="1405" customWidth="1"/>
    <col min="2858" max="3072" width="11.42578125" style="1405"/>
    <col min="3073" max="3073" width="4.7109375" style="1405" customWidth="1"/>
    <col min="3074" max="3074" width="7" style="1405" customWidth="1"/>
    <col min="3075" max="3075" width="34.28515625" style="1405" customWidth="1"/>
    <col min="3076" max="3085" width="0" style="1405" hidden="1" customWidth="1"/>
    <col min="3086" max="3086" width="11.7109375" style="1405" bestFit="1" customWidth="1"/>
    <col min="3087" max="3087" width="10.85546875" style="1405" bestFit="1" customWidth="1"/>
    <col min="3088" max="3093" width="0" style="1405" hidden="1" customWidth="1"/>
    <col min="3094" max="3094" width="12.5703125" style="1405" customWidth="1"/>
    <col min="3095" max="3095" width="12.85546875" style="1405" bestFit="1" customWidth="1"/>
    <col min="3096" max="3096" width="12" style="1405" bestFit="1" customWidth="1"/>
    <col min="3097" max="3097" width="12.85546875" style="1405" customWidth="1"/>
    <col min="3098" max="3098" width="3" style="1405" customWidth="1"/>
    <col min="3099" max="3101" width="0" style="1405" hidden="1" customWidth="1"/>
    <col min="3102" max="3102" width="6.5703125" style="1405" customWidth="1"/>
    <col min="3103" max="3103" width="10" style="1405" customWidth="1"/>
    <col min="3104" max="3104" width="10.7109375" style="1405" customWidth="1"/>
    <col min="3105" max="3105" width="9.28515625" style="1405" customWidth="1"/>
    <col min="3106" max="3106" width="10.42578125" style="1405" customWidth="1"/>
    <col min="3107" max="3107" width="6.28515625" style="1405" customWidth="1"/>
    <col min="3108" max="3108" width="4.5703125" style="1405" customWidth="1"/>
    <col min="3109" max="3109" width="61.85546875" style="1405" customWidth="1"/>
    <col min="3110" max="3111" width="11.42578125" style="1405"/>
    <col min="3112" max="3112" width="38.5703125" style="1405" customWidth="1"/>
    <col min="3113" max="3113" width="24.28515625" style="1405" customWidth="1"/>
    <col min="3114" max="3328" width="11.42578125" style="1405"/>
    <col min="3329" max="3329" width="4.7109375" style="1405" customWidth="1"/>
    <col min="3330" max="3330" width="7" style="1405" customWidth="1"/>
    <col min="3331" max="3331" width="34.28515625" style="1405" customWidth="1"/>
    <col min="3332" max="3341" width="0" style="1405" hidden="1" customWidth="1"/>
    <col min="3342" max="3342" width="11.7109375" style="1405" bestFit="1" customWidth="1"/>
    <col min="3343" max="3343" width="10.85546875" style="1405" bestFit="1" customWidth="1"/>
    <col min="3344" max="3349" width="0" style="1405" hidden="1" customWidth="1"/>
    <col min="3350" max="3350" width="12.5703125" style="1405" customWidth="1"/>
    <col min="3351" max="3351" width="12.85546875" style="1405" bestFit="1" customWidth="1"/>
    <col min="3352" max="3352" width="12" style="1405" bestFit="1" customWidth="1"/>
    <col min="3353" max="3353" width="12.85546875" style="1405" customWidth="1"/>
    <col min="3354" max="3354" width="3" style="1405" customWidth="1"/>
    <col min="3355" max="3357" width="0" style="1405" hidden="1" customWidth="1"/>
    <col min="3358" max="3358" width="6.5703125" style="1405" customWidth="1"/>
    <col min="3359" max="3359" width="10" style="1405" customWidth="1"/>
    <col min="3360" max="3360" width="10.7109375" style="1405" customWidth="1"/>
    <col min="3361" max="3361" width="9.28515625" style="1405" customWidth="1"/>
    <col min="3362" max="3362" width="10.42578125" style="1405" customWidth="1"/>
    <col min="3363" max="3363" width="6.28515625" style="1405" customWidth="1"/>
    <col min="3364" max="3364" width="4.5703125" style="1405" customWidth="1"/>
    <col min="3365" max="3365" width="61.85546875" style="1405" customWidth="1"/>
    <col min="3366" max="3367" width="11.42578125" style="1405"/>
    <col min="3368" max="3368" width="38.5703125" style="1405" customWidth="1"/>
    <col min="3369" max="3369" width="24.28515625" style="1405" customWidth="1"/>
    <col min="3370" max="3584" width="11.42578125" style="1405"/>
    <col min="3585" max="3585" width="4.7109375" style="1405" customWidth="1"/>
    <col min="3586" max="3586" width="7" style="1405" customWidth="1"/>
    <col min="3587" max="3587" width="34.28515625" style="1405" customWidth="1"/>
    <col min="3588" max="3597" width="0" style="1405" hidden="1" customWidth="1"/>
    <col min="3598" max="3598" width="11.7109375" style="1405" bestFit="1" customWidth="1"/>
    <col min="3599" max="3599" width="10.85546875" style="1405" bestFit="1" customWidth="1"/>
    <col min="3600" max="3605" width="0" style="1405" hidden="1" customWidth="1"/>
    <col min="3606" max="3606" width="12.5703125" style="1405" customWidth="1"/>
    <col min="3607" max="3607" width="12.85546875" style="1405" bestFit="1" customWidth="1"/>
    <col min="3608" max="3608" width="12" style="1405" bestFit="1" customWidth="1"/>
    <col min="3609" max="3609" width="12.85546875" style="1405" customWidth="1"/>
    <col min="3610" max="3610" width="3" style="1405" customWidth="1"/>
    <col min="3611" max="3613" width="0" style="1405" hidden="1" customWidth="1"/>
    <col min="3614" max="3614" width="6.5703125" style="1405" customWidth="1"/>
    <col min="3615" max="3615" width="10" style="1405" customWidth="1"/>
    <col min="3616" max="3616" width="10.7109375" style="1405" customWidth="1"/>
    <col min="3617" max="3617" width="9.28515625" style="1405" customWidth="1"/>
    <col min="3618" max="3618" width="10.42578125" style="1405" customWidth="1"/>
    <col min="3619" max="3619" width="6.28515625" style="1405" customWidth="1"/>
    <col min="3620" max="3620" width="4.5703125" style="1405" customWidth="1"/>
    <col min="3621" max="3621" width="61.85546875" style="1405" customWidth="1"/>
    <col min="3622" max="3623" width="11.42578125" style="1405"/>
    <col min="3624" max="3624" width="38.5703125" style="1405" customWidth="1"/>
    <col min="3625" max="3625" width="24.28515625" style="1405" customWidth="1"/>
    <col min="3626" max="3840" width="11.42578125" style="1405"/>
    <col min="3841" max="3841" width="4.7109375" style="1405" customWidth="1"/>
    <col min="3842" max="3842" width="7" style="1405" customWidth="1"/>
    <col min="3843" max="3843" width="34.28515625" style="1405" customWidth="1"/>
    <col min="3844" max="3853" width="0" style="1405" hidden="1" customWidth="1"/>
    <col min="3854" max="3854" width="11.7109375" style="1405" bestFit="1" customWidth="1"/>
    <col min="3855" max="3855" width="10.85546875" style="1405" bestFit="1" customWidth="1"/>
    <col min="3856" max="3861" width="0" style="1405" hidden="1" customWidth="1"/>
    <col min="3862" max="3862" width="12.5703125" style="1405" customWidth="1"/>
    <col min="3863" max="3863" width="12.85546875" style="1405" bestFit="1" customWidth="1"/>
    <col min="3864" max="3864" width="12" style="1405" bestFit="1" customWidth="1"/>
    <col min="3865" max="3865" width="12.85546875" style="1405" customWidth="1"/>
    <col min="3866" max="3866" width="3" style="1405" customWidth="1"/>
    <col min="3867" max="3869" width="0" style="1405" hidden="1" customWidth="1"/>
    <col min="3870" max="3870" width="6.5703125" style="1405" customWidth="1"/>
    <col min="3871" max="3871" width="10" style="1405" customWidth="1"/>
    <col min="3872" max="3872" width="10.7109375" style="1405" customWidth="1"/>
    <col min="3873" max="3873" width="9.28515625" style="1405" customWidth="1"/>
    <col min="3874" max="3874" width="10.42578125" style="1405" customWidth="1"/>
    <col min="3875" max="3875" width="6.28515625" style="1405" customWidth="1"/>
    <col min="3876" max="3876" width="4.5703125" style="1405" customWidth="1"/>
    <col min="3877" max="3877" width="61.85546875" style="1405" customWidth="1"/>
    <col min="3878" max="3879" width="11.42578125" style="1405"/>
    <col min="3880" max="3880" width="38.5703125" style="1405" customWidth="1"/>
    <col min="3881" max="3881" width="24.28515625" style="1405" customWidth="1"/>
    <col min="3882" max="4096" width="11.42578125" style="1405"/>
    <col min="4097" max="4097" width="4.7109375" style="1405" customWidth="1"/>
    <col min="4098" max="4098" width="7" style="1405" customWidth="1"/>
    <col min="4099" max="4099" width="34.28515625" style="1405" customWidth="1"/>
    <col min="4100" max="4109" width="0" style="1405" hidden="1" customWidth="1"/>
    <col min="4110" max="4110" width="11.7109375" style="1405" bestFit="1" customWidth="1"/>
    <col min="4111" max="4111" width="10.85546875" style="1405" bestFit="1" customWidth="1"/>
    <col min="4112" max="4117" width="0" style="1405" hidden="1" customWidth="1"/>
    <col min="4118" max="4118" width="12.5703125" style="1405" customWidth="1"/>
    <col min="4119" max="4119" width="12.85546875" style="1405" bestFit="1" customWidth="1"/>
    <col min="4120" max="4120" width="12" style="1405" bestFit="1" customWidth="1"/>
    <col min="4121" max="4121" width="12.85546875" style="1405" customWidth="1"/>
    <col min="4122" max="4122" width="3" style="1405" customWidth="1"/>
    <col min="4123" max="4125" width="0" style="1405" hidden="1" customWidth="1"/>
    <col min="4126" max="4126" width="6.5703125" style="1405" customWidth="1"/>
    <col min="4127" max="4127" width="10" style="1405" customWidth="1"/>
    <col min="4128" max="4128" width="10.7109375" style="1405" customWidth="1"/>
    <col min="4129" max="4129" width="9.28515625" style="1405" customWidth="1"/>
    <col min="4130" max="4130" width="10.42578125" style="1405" customWidth="1"/>
    <col min="4131" max="4131" width="6.28515625" style="1405" customWidth="1"/>
    <col min="4132" max="4132" width="4.5703125" style="1405" customWidth="1"/>
    <col min="4133" max="4133" width="61.85546875" style="1405" customWidth="1"/>
    <col min="4134" max="4135" width="11.42578125" style="1405"/>
    <col min="4136" max="4136" width="38.5703125" style="1405" customWidth="1"/>
    <col min="4137" max="4137" width="24.28515625" style="1405" customWidth="1"/>
    <col min="4138" max="4352" width="11.42578125" style="1405"/>
    <col min="4353" max="4353" width="4.7109375" style="1405" customWidth="1"/>
    <col min="4354" max="4354" width="7" style="1405" customWidth="1"/>
    <col min="4355" max="4355" width="34.28515625" style="1405" customWidth="1"/>
    <col min="4356" max="4365" width="0" style="1405" hidden="1" customWidth="1"/>
    <col min="4366" max="4366" width="11.7109375" style="1405" bestFit="1" customWidth="1"/>
    <col min="4367" max="4367" width="10.85546875" style="1405" bestFit="1" customWidth="1"/>
    <col min="4368" max="4373" width="0" style="1405" hidden="1" customWidth="1"/>
    <col min="4374" max="4374" width="12.5703125" style="1405" customWidth="1"/>
    <col min="4375" max="4375" width="12.85546875" style="1405" bestFit="1" customWidth="1"/>
    <col min="4376" max="4376" width="12" style="1405" bestFit="1" customWidth="1"/>
    <col min="4377" max="4377" width="12.85546875" style="1405" customWidth="1"/>
    <col min="4378" max="4378" width="3" style="1405" customWidth="1"/>
    <col min="4379" max="4381" width="0" style="1405" hidden="1" customWidth="1"/>
    <col min="4382" max="4382" width="6.5703125" style="1405" customWidth="1"/>
    <col min="4383" max="4383" width="10" style="1405" customWidth="1"/>
    <col min="4384" max="4384" width="10.7109375" style="1405" customWidth="1"/>
    <col min="4385" max="4385" width="9.28515625" style="1405" customWidth="1"/>
    <col min="4386" max="4386" width="10.42578125" style="1405" customWidth="1"/>
    <col min="4387" max="4387" width="6.28515625" style="1405" customWidth="1"/>
    <col min="4388" max="4388" width="4.5703125" style="1405" customWidth="1"/>
    <col min="4389" max="4389" width="61.85546875" style="1405" customWidth="1"/>
    <col min="4390" max="4391" width="11.42578125" style="1405"/>
    <col min="4392" max="4392" width="38.5703125" style="1405" customWidth="1"/>
    <col min="4393" max="4393" width="24.28515625" style="1405" customWidth="1"/>
    <col min="4394" max="4608" width="11.42578125" style="1405"/>
    <col min="4609" max="4609" width="4.7109375" style="1405" customWidth="1"/>
    <col min="4610" max="4610" width="7" style="1405" customWidth="1"/>
    <col min="4611" max="4611" width="34.28515625" style="1405" customWidth="1"/>
    <col min="4612" max="4621" width="0" style="1405" hidden="1" customWidth="1"/>
    <col min="4622" max="4622" width="11.7109375" style="1405" bestFit="1" customWidth="1"/>
    <col min="4623" max="4623" width="10.85546875" style="1405" bestFit="1" customWidth="1"/>
    <col min="4624" max="4629" width="0" style="1405" hidden="1" customWidth="1"/>
    <col min="4630" max="4630" width="12.5703125" style="1405" customWidth="1"/>
    <col min="4631" max="4631" width="12.85546875" style="1405" bestFit="1" customWidth="1"/>
    <col min="4632" max="4632" width="12" style="1405" bestFit="1" customWidth="1"/>
    <col min="4633" max="4633" width="12.85546875" style="1405" customWidth="1"/>
    <col min="4634" max="4634" width="3" style="1405" customWidth="1"/>
    <col min="4635" max="4637" width="0" style="1405" hidden="1" customWidth="1"/>
    <col min="4638" max="4638" width="6.5703125" style="1405" customWidth="1"/>
    <col min="4639" max="4639" width="10" style="1405" customWidth="1"/>
    <col min="4640" max="4640" width="10.7109375" style="1405" customWidth="1"/>
    <col min="4641" max="4641" width="9.28515625" style="1405" customWidth="1"/>
    <col min="4642" max="4642" width="10.42578125" style="1405" customWidth="1"/>
    <col min="4643" max="4643" width="6.28515625" style="1405" customWidth="1"/>
    <col min="4644" max="4644" width="4.5703125" style="1405" customWidth="1"/>
    <col min="4645" max="4645" width="61.85546875" style="1405" customWidth="1"/>
    <col min="4646" max="4647" width="11.42578125" style="1405"/>
    <col min="4648" max="4648" width="38.5703125" style="1405" customWidth="1"/>
    <col min="4649" max="4649" width="24.28515625" style="1405" customWidth="1"/>
    <col min="4650" max="4864" width="11.42578125" style="1405"/>
    <col min="4865" max="4865" width="4.7109375" style="1405" customWidth="1"/>
    <col min="4866" max="4866" width="7" style="1405" customWidth="1"/>
    <col min="4867" max="4867" width="34.28515625" style="1405" customWidth="1"/>
    <col min="4868" max="4877" width="0" style="1405" hidden="1" customWidth="1"/>
    <col min="4878" max="4878" width="11.7109375" style="1405" bestFit="1" customWidth="1"/>
    <col min="4879" max="4879" width="10.85546875" style="1405" bestFit="1" customWidth="1"/>
    <col min="4880" max="4885" width="0" style="1405" hidden="1" customWidth="1"/>
    <col min="4886" max="4886" width="12.5703125" style="1405" customWidth="1"/>
    <col min="4887" max="4887" width="12.85546875" style="1405" bestFit="1" customWidth="1"/>
    <col min="4888" max="4888" width="12" style="1405" bestFit="1" customWidth="1"/>
    <col min="4889" max="4889" width="12.85546875" style="1405" customWidth="1"/>
    <col min="4890" max="4890" width="3" style="1405" customWidth="1"/>
    <col min="4891" max="4893" width="0" style="1405" hidden="1" customWidth="1"/>
    <col min="4894" max="4894" width="6.5703125" style="1405" customWidth="1"/>
    <col min="4895" max="4895" width="10" style="1405" customWidth="1"/>
    <col min="4896" max="4896" width="10.7109375" style="1405" customWidth="1"/>
    <col min="4897" max="4897" width="9.28515625" style="1405" customWidth="1"/>
    <col min="4898" max="4898" width="10.42578125" style="1405" customWidth="1"/>
    <col min="4899" max="4899" width="6.28515625" style="1405" customWidth="1"/>
    <col min="4900" max="4900" width="4.5703125" style="1405" customWidth="1"/>
    <col min="4901" max="4901" width="61.85546875" style="1405" customWidth="1"/>
    <col min="4902" max="4903" width="11.42578125" style="1405"/>
    <col min="4904" max="4904" width="38.5703125" style="1405" customWidth="1"/>
    <col min="4905" max="4905" width="24.28515625" style="1405" customWidth="1"/>
    <col min="4906" max="5120" width="11.42578125" style="1405"/>
    <col min="5121" max="5121" width="4.7109375" style="1405" customWidth="1"/>
    <col min="5122" max="5122" width="7" style="1405" customWidth="1"/>
    <col min="5123" max="5123" width="34.28515625" style="1405" customWidth="1"/>
    <col min="5124" max="5133" width="0" style="1405" hidden="1" customWidth="1"/>
    <col min="5134" max="5134" width="11.7109375" style="1405" bestFit="1" customWidth="1"/>
    <col min="5135" max="5135" width="10.85546875" style="1405" bestFit="1" customWidth="1"/>
    <col min="5136" max="5141" width="0" style="1405" hidden="1" customWidth="1"/>
    <col min="5142" max="5142" width="12.5703125" style="1405" customWidth="1"/>
    <col min="5143" max="5143" width="12.85546875" style="1405" bestFit="1" customWidth="1"/>
    <col min="5144" max="5144" width="12" style="1405" bestFit="1" customWidth="1"/>
    <col min="5145" max="5145" width="12.85546875" style="1405" customWidth="1"/>
    <col min="5146" max="5146" width="3" style="1405" customWidth="1"/>
    <col min="5147" max="5149" width="0" style="1405" hidden="1" customWidth="1"/>
    <col min="5150" max="5150" width="6.5703125" style="1405" customWidth="1"/>
    <col min="5151" max="5151" width="10" style="1405" customWidth="1"/>
    <col min="5152" max="5152" width="10.7109375" style="1405" customWidth="1"/>
    <col min="5153" max="5153" width="9.28515625" style="1405" customWidth="1"/>
    <col min="5154" max="5154" width="10.42578125" style="1405" customWidth="1"/>
    <col min="5155" max="5155" width="6.28515625" style="1405" customWidth="1"/>
    <col min="5156" max="5156" width="4.5703125" style="1405" customWidth="1"/>
    <col min="5157" max="5157" width="61.85546875" style="1405" customWidth="1"/>
    <col min="5158" max="5159" width="11.42578125" style="1405"/>
    <col min="5160" max="5160" width="38.5703125" style="1405" customWidth="1"/>
    <col min="5161" max="5161" width="24.28515625" style="1405" customWidth="1"/>
    <col min="5162" max="5376" width="11.42578125" style="1405"/>
    <col min="5377" max="5377" width="4.7109375" style="1405" customWidth="1"/>
    <col min="5378" max="5378" width="7" style="1405" customWidth="1"/>
    <col min="5379" max="5379" width="34.28515625" style="1405" customWidth="1"/>
    <col min="5380" max="5389" width="0" style="1405" hidden="1" customWidth="1"/>
    <col min="5390" max="5390" width="11.7109375" style="1405" bestFit="1" customWidth="1"/>
    <col min="5391" max="5391" width="10.85546875" style="1405" bestFit="1" customWidth="1"/>
    <col min="5392" max="5397" width="0" style="1405" hidden="1" customWidth="1"/>
    <col min="5398" max="5398" width="12.5703125" style="1405" customWidth="1"/>
    <col min="5399" max="5399" width="12.85546875" style="1405" bestFit="1" customWidth="1"/>
    <col min="5400" max="5400" width="12" style="1405" bestFit="1" customWidth="1"/>
    <col min="5401" max="5401" width="12.85546875" style="1405" customWidth="1"/>
    <col min="5402" max="5402" width="3" style="1405" customWidth="1"/>
    <col min="5403" max="5405" width="0" style="1405" hidden="1" customWidth="1"/>
    <col min="5406" max="5406" width="6.5703125" style="1405" customWidth="1"/>
    <col min="5407" max="5407" width="10" style="1405" customWidth="1"/>
    <col min="5408" max="5408" width="10.7109375" style="1405" customWidth="1"/>
    <col min="5409" max="5409" width="9.28515625" style="1405" customWidth="1"/>
    <col min="5410" max="5410" width="10.42578125" style="1405" customWidth="1"/>
    <col min="5411" max="5411" width="6.28515625" style="1405" customWidth="1"/>
    <col min="5412" max="5412" width="4.5703125" style="1405" customWidth="1"/>
    <col min="5413" max="5413" width="61.85546875" style="1405" customWidth="1"/>
    <col min="5414" max="5415" width="11.42578125" style="1405"/>
    <col min="5416" max="5416" width="38.5703125" style="1405" customWidth="1"/>
    <col min="5417" max="5417" width="24.28515625" style="1405" customWidth="1"/>
    <col min="5418" max="5632" width="11.42578125" style="1405"/>
    <col min="5633" max="5633" width="4.7109375" style="1405" customWidth="1"/>
    <col min="5634" max="5634" width="7" style="1405" customWidth="1"/>
    <col min="5635" max="5635" width="34.28515625" style="1405" customWidth="1"/>
    <col min="5636" max="5645" width="0" style="1405" hidden="1" customWidth="1"/>
    <col min="5646" max="5646" width="11.7109375" style="1405" bestFit="1" customWidth="1"/>
    <col min="5647" max="5647" width="10.85546875" style="1405" bestFit="1" customWidth="1"/>
    <col min="5648" max="5653" width="0" style="1405" hidden="1" customWidth="1"/>
    <col min="5654" max="5654" width="12.5703125" style="1405" customWidth="1"/>
    <col min="5655" max="5655" width="12.85546875" style="1405" bestFit="1" customWidth="1"/>
    <col min="5656" max="5656" width="12" style="1405" bestFit="1" customWidth="1"/>
    <col min="5657" max="5657" width="12.85546875" style="1405" customWidth="1"/>
    <col min="5658" max="5658" width="3" style="1405" customWidth="1"/>
    <col min="5659" max="5661" width="0" style="1405" hidden="1" customWidth="1"/>
    <col min="5662" max="5662" width="6.5703125" style="1405" customWidth="1"/>
    <col min="5663" max="5663" width="10" style="1405" customWidth="1"/>
    <col min="5664" max="5664" width="10.7109375" style="1405" customWidth="1"/>
    <col min="5665" max="5665" width="9.28515625" style="1405" customWidth="1"/>
    <col min="5666" max="5666" width="10.42578125" style="1405" customWidth="1"/>
    <col min="5667" max="5667" width="6.28515625" style="1405" customWidth="1"/>
    <col min="5668" max="5668" width="4.5703125" style="1405" customWidth="1"/>
    <col min="5669" max="5669" width="61.85546875" style="1405" customWidth="1"/>
    <col min="5670" max="5671" width="11.42578125" style="1405"/>
    <col min="5672" max="5672" width="38.5703125" style="1405" customWidth="1"/>
    <col min="5673" max="5673" width="24.28515625" style="1405" customWidth="1"/>
    <col min="5674" max="5888" width="11.42578125" style="1405"/>
    <col min="5889" max="5889" width="4.7109375" style="1405" customWidth="1"/>
    <col min="5890" max="5890" width="7" style="1405" customWidth="1"/>
    <col min="5891" max="5891" width="34.28515625" style="1405" customWidth="1"/>
    <col min="5892" max="5901" width="0" style="1405" hidden="1" customWidth="1"/>
    <col min="5902" max="5902" width="11.7109375" style="1405" bestFit="1" customWidth="1"/>
    <col min="5903" max="5903" width="10.85546875" style="1405" bestFit="1" customWidth="1"/>
    <col min="5904" max="5909" width="0" style="1405" hidden="1" customWidth="1"/>
    <col min="5910" max="5910" width="12.5703125" style="1405" customWidth="1"/>
    <col min="5911" max="5911" width="12.85546875" style="1405" bestFit="1" customWidth="1"/>
    <col min="5912" max="5912" width="12" style="1405" bestFit="1" customWidth="1"/>
    <col min="5913" max="5913" width="12.85546875" style="1405" customWidth="1"/>
    <col min="5914" max="5914" width="3" style="1405" customWidth="1"/>
    <col min="5915" max="5917" width="0" style="1405" hidden="1" customWidth="1"/>
    <col min="5918" max="5918" width="6.5703125" style="1405" customWidth="1"/>
    <col min="5919" max="5919" width="10" style="1405" customWidth="1"/>
    <col min="5920" max="5920" width="10.7109375" style="1405" customWidth="1"/>
    <col min="5921" max="5921" width="9.28515625" style="1405" customWidth="1"/>
    <col min="5922" max="5922" width="10.42578125" style="1405" customWidth="1"/>
    <col min="5923" max="5923" width="6.28515625" style="1405" customWidth="1"/>
    <col min="5924" max="5924" width="4.5703125" style="1405" customWidth="1"/>
    <col min="5925" max="5925" width="61.85546875" style="1405" customWidth="1"/>
    <col min="5926" max="5927" width="11.42578125" style="1405"/>
    <col min="5928" max="5928" width="38.5703125" style="1405" customWidth="1"/>
    <col min="5929" max="5929" width="24.28515625" style="1405" customWidth="1"/>
    <col min="5930" max="6144" width="11.42578125" style="1405"/>
    <col min="6145" max="6145" width="4.7109375" style="1405" customWidth="1"/>
    <col min="6146" max="6146" width="7" style="1405" customWidth="1"/>
    <col min="6147" max="6147" width="34.28515625" style="1405" customWidth="1"/>
    <col min="6148" max="6157" width="0" style="1405" hidden="1" customWidth="1"/>
    <col min="6158" max="6158" width="11.7109375" style="1405" bestFit="1" customWidth="1"/>
    <col min="6159" max="6159" width="10.85546875" style="1405" bestFit="1" customWidth="1"/>
    <col min="6160" max="6165" width="0" style="1405" hidden="1" customWidth="1"/>
    <col min="6166" max="6166" width="12.5703125" style="1405" customWidth="1"/>
    <col min="6167" max="6167" width="12.85546875" style="1405" bestFit="1" customWidth="1"/>
    <col min="6168" max="6168" width="12" style="1405" bestFit="1" customWidth="1"/>
    <col min="6169" max="6169" width="12.85546875" style="1405" customWidth="1"/>
    <col min="6170" max="6170" width="3" style="1405" customWidth="1"/>
    <col min="6171" max="6173" width="0" style="1405" hidden="1" customWidth="1"/>
    <col min="6174" max="6174" width="6.5703125" style="1405" customWidth="1"/>
    <col min="6175" max="6175" width="10" style="1405" customWidth="1"/>
    <col min="6176" max="6176" width="10.7109375" style="1405" customWidth="1"/>
    <col min="6177" max="6177" width="9.28515625" style="1405" customWidth="1"/>
    <col min="6178" max="6178" width="10.42578125" style="1405" customWidth="1"/>
    <col min="6179" max="6179" width="6.28515625" style="1405" customWidth="1"/>
    <col min="6180" max="6180" width="4.5703125" style="1405" customWidth="1"/>
    <col min="6181" max="6181" width="61.85546875" style="1405" customWidth="1"/>
    <col min="6182" max="6183" width="11.42578125" style="1405"/>
    <col min="6184" max="6184" width="38.5703125" style="1405" customWidth="1"/>
    <col min="6185" max="6185" width="24.28515625" style="1405" customWidth="1"/>
    <col min="6186" max="6400" width="11.42578125" style="1405"/>
    <col min="6401" max="6401" width="4.7109375" style="1405" customWidth="1"/>
    <col min="6402" max="6402" width="7" style="1405" customWidth="1"/>
    <col min="6403" max="6403" width="34.28515625" style="1405" customWidth="1"/>
    <col min="6404" max="6413" width="0" style="1405" hidden="1" customWidth="1"/>
    <col min="6414" max="6414" width="11.7109375" style="1405" bestFit="1" customWidth="1"/>
    <col min="6415" max="6415" width="10.85546875" style="1405" bestFit="1" customWidth="1"/>
    <col min="6416" max="6421" width="0" style="1405" hidden="1" customWidth="1"/>
    <col min="6422" max="6422" width="12.5703125" style="1405" customWidth="1"/>
    <col min="6423" max="6423" width="12.85546875" style="1405" bestFit="1" customWidth="1"/>
    <col min="6424" max="6424" width="12" style="1405" bestFit="1" customWidth="1"/>
    <col min="6425" max="6425" width="12.85546875" style="1405" customWidth="1"/>
    <col min="6426" max="6426" width="3" style="1405" customWidth="1"/>
    <col min="6427" max="6429" width="0" style="1405" hidden="1" customWidth="1"/>
    <col min="6430" max="6430" width="6.5703125" style="1405" customWidth="1"/>
    <col min="6431" max="6431" width="10" style="1405" customWidth="1"/>
    <col min="6432" max="6432" width="10.7109375" style="1405" customWidth="1"/>
    <col min="6433" max="6433" width="9.28515625" style="1405" customWidth="1"/>
    <col min="6434" max="6434" width="10.42578125" style="1405" customWidth="1"/>
    <col min="6435" max="6435" width="6.28515625" style="1405" customWidth="1"/>
    <col min="6436" max="6436" width="4.5703125" style="1405" customWidth="1"/>
    <col min="6437" max="6437" width="61.85546875" style="1405" customWidth="1"/>
    <col min="6438" max="6439" width="11.42578125" style="1405"/>
    <col min="6440" max="6440" width="38.5703125" style="1405" customWidth="1"/>
    <col min="6441" max="6441" width="24.28515625" style="1405" customWidth="1"/>
    <col min="6442" max="6656" width="11.42578125" style="1405"/>
    <col min="6657" max="6657" width="4.7109375" style="1405" customWidth="1"/>
    <col min="6658" max="6658" width="7" style="1405" customWidth="1"/>
    <col min="6659" max="6659" width="34.28515625" style="1405" customWidth="1"/>
    <col min="6660" max="6669" width="0" style="1405" hidden="1" customWidth="1"/>
    <col min="6670" max="6670" width="11.7109375" style="1405" bestFit="1" customWidth="1"/>
    <col min="6671" max="6671" width="10.85546875" style="1405" bestFit="1" customWidth="1"/>
    <col min="6672" max="6677" width="0" style="1405" hidden="1" customWidth="1"/>
    <col min="6678" max="6678" width="12.5703125" style="1405" customWidth="1"/>
    <col min="6679" max="6679" width="12.85546875" style="1405" bestFit="1" customWidth="1"/>
    <col min="6680" max="6680" width="12" style="1405" bestFit="1" customWidth="1"/>
    <col min="6681" max="6681" width="12.85546875" style="1405" customWidth="1"/>
    <col min="6682" max="6682" width="3" style="1405" customWidth="1"/>
    <col min="6683" max="6685" width="0" style="1405" hidden="1" customWidth="1"/>
    <col min="6686" max="6686" width="6.5703125" style="1405" customWidth="1"/>
    <col min="6687" max="6687" width="10" style="1405" customWidth="1"/>
    <col min="6688" max="6688" width="10.7109375" style="1405" customWidth="1"/>
    <col min="6689" max="6689" width="9.28515625" style="1405" customWidth="1"/>
    <col min="6690" max="6690" width="10.42578125" style="1405" customWidth="1"/>
    <col min="6691" max="6691" width="6.28515625" style="1405" customWidth="1"/>
    <col min="6692" max="6692" width="4.5703125" style="1405" customWidth="1"/>
    <col min="6693" max="6693" width="61.85546875" style="1405" customWidth="1"/>
    <col min="6694" max="6695" width="11.42578125" style="1405"/>
    <col min="6696" max="6696" width="38.5703125" style="1405" customWidth="1"/>
    <col min="6697" max="6697" width="24.28515625" style="1405" customWidth="1"/>
    <col min="6698" max="6912" width="11.42578125" style="1405"/>
    <col min="6913" max="6913" width="4.7109375" style="1405" customWidth="1"/>
    <col min="6914" max="6914" width="7" style="1405" customWidth="1"/>
    <col min="6915" max="6915" width="34.28515625" style="1405" customWidth="1"/>
    <col min="6916" max="6925" width="0" style="1405" hidden="1" customWidth="1"/>
    <col min="6926" max="6926" width="11.7109375" style="1405" bestFit="1" customWidth="1"/>
    <col min="6927" max="6927" width="10.85546875" style="1405" bestFit="1" customWidth="1"/>
    <col min="6928" max="6933" width="0" style="1405" hidden="1" customWidth="1"/>
    <col min="6934" max="6934" width="12.5703125" style="1405" customWidth="1"/>
    <col min="6935" max="6935" width="12.85546875" style="1405" bestFit="1" customWidth="1"/>
    <col min="6936" max="6936" width="12" style="1405" bestFit="1" customWidth="1"/>
    <col min="6937" max="6937" width="12.85546875" style="1405" customWidth="1"/>
    <col min="6938" max="6938" width="3" style="1405" customWidth="1"/>
    <col min="6939" max="6941" width="0" style="1405" hidden="1" customWidth="1"/>
    <col min="6942" max="6942" width="6.5703125" style="1405" customWidth="1"/>
    <col min="6943" max="6943" width="10" style="1405" customWidth="1"/>
    <col min="6944" max="6944" width="10.7109375" style="1405" customWidth="1"/>
    <col min="6945" max="6945" width="9.28515625" style="1405" customWidth="1"/>
    <col min="6946" max="6946" width="10.42578125" style="1405" customWidth="1"/>
    <col min="6947" max="6947" width="6.28515625" style="1405" customWidth="1"/>
    <col min="6948" max="6948" width="4.5703125" style="1405" customWidth="1"/>
    <col min="6949" max="6949" width="61.85546875" style="1405" customWidth="1"/>
    <col min="6950" max="6951" width="11.42578125" style="1405"/>
    <col min="6952" max="6952" width="38.5703125" style="1405" customWidth="1"/>
    <col min="6953" max="6953" width="24.28515625" style="1405" customWidth="1"/>
    <col min="6954" max="7168" width="11.42578125" style="1405"/>
    <col min="7169" max="7169" width="4.7109375" style="1405" customWidth="1"/>
    <col min="7170" max="7170" width="7" style="1405" customWidth="1"/>
    <col min="7171" max="7171" width="34.28515625" style="1405" customWidth="1"/>
    <col min="7172" max="7181" width="0" style="1405" hidden="1" customWidth="1"/>
    <col min="7182" max="7182" width="11.7109375" style="1405" bestFit="1" customWidth="1"/>
    <col min="7183" max="7183" width="10.85546875" style="1405" bestFit="1" customWidth="1"/>
    <col min="7184" max="7189" width="0" style="1405" hidden="1" customWidth="1"/>
    <col min="7190" max="7190" width="12.5703125" style="1405" customWidth="1"/>
    <col min="7191" max="7191" width="12.85546875" style="1405" bestFit="1" customWidth="1"/>
    <col min="7192" max="7192" width="12" style="1405" bestFit="1" customWidth="1"/>
    <col min="7193" max="7193" width="12.85546875" style="1405" customWidth="1"/>
    <col min="7194" max="7194" width="3" style="1405" customWidth="1"/>
    <col min="7195" max="7197" width="0" style="1405" hidden="1" customWidth="1"/>
    <col min="7198" max="7198" width="6.5703125" style="1405" customWidth="1"/>
    <col min="7199" max="7199" width="10" style="1405" customWidth="1"/>
    <col min="7200" max="7200" width="10.7109375" style="1405" customWidth="1"/>
    <col min="7201" max="7201" width="9.28515625" style="1405" customWidth="1"/>
    <col min="7202" max="7202" width="10.42578125" style="1405" customWidth="1"/>
    <col min="7203" max="7203" width="6.28515625" style="1405" customWidth="1"/>
    <col min="7204" max="7204" width="4.5703125" style="1405" customWidth="1"/>
    <col min="7205" max="7205" width="61.85546875" style="1405" customWidth="1"/>
    <col min="7206" max="7207" width="11.42578125" style="1405"/>
    <col min="7208" max="7208" width="38.5703125" style="1405" customWidth="1"/>
    <col min="7209" max="7209" width="24.28515625" style="1405" customWidth="1"/>
    <col min="7210" max="7424" width="11.42578125" style="1405"/>
    <col min="7425" max="7425" width="4.7109375" style="1405" customWidth="1"/>
    <col min="7426" max="7426" width="7" style="1405" customWidth="1"/>
    <col min="7427" max="7427" width="34.28515625" style="1405" customWidth="1"/>
    <col min="7428" max="7437" width="0" style="1405" hidden="1" customWidth="1"/>
    <col min="7438" max="7438" width="11.7109375" style="1405" bestFit="1" customWidth="1"/>
    <col min="7439" max="7439" width="10.85546875" style="1405" bestFit="1" customWidth="1"/>
    <col min="7440" max="7445" width="0" style="1405" hidden="1" customWidth="1"/>
    <col min="7446" max="7446" width="12.5703125" style="1405" customWidth="1"/>
    <col min="7447" max="7447" width="12.85546875" style="1405" bestFit="1" customWidth="1"/>
    <col min="7448" max="7448" width="12" style="1405" bestFit="1" customWidth="1"/>
    <col min="7449" max="7449" width="12.85546875" style="1405" customWidth="1"/>
    <col min="7450" max="7450" width="3" style="1405" customWidth="1"/>
    <col min="7451" max="7453" width="0" style="1405" hidden="1" customWidth="1"/>
    <col min="7454" max="7454" width="6.5703125" style="1405" customWidth="1"/>
    <col min="7455" max="7455" width="10" style="1405" customWidth="1"/>
    <col min="7456" max="7456" width="10.7109375" style="1405" customWidth="1"/>
    <col min="7457" max="7457" width="9.28515625" style="1405" customWidth="1"/>
    <col min="7458" max="7458" width="10.42578125" style="1405" customWidth="1"/>
    <col min="7459" max="7459" width="6.28515625" style="1405" customWidth="1"/>
    <col min="7460" max="7460" width="4.5703125" style="1405" customWidth="1"/>
    <col min="7461" max="7461" width="61.85546875" style="1405" customWidth="1"/>
    <col min="7462" max="7463" width="11.42578125" style="1405"/>
    <col min="7464" max="7464" width="38.5703125" style="1405" customWidth="1"/>
    <col min="7465" max="7465" width="24.28515625" style="1405" customWidth="1"/>
    <col min="7466" max="7680" width="11.42578125" style="1405"/>
    <col min="7681" max="7681" width="4.7109375" style="1405" customWidth="1"/>
    <col min="7682" max="7682" width="7" style="1405" customWidth="1"/>
    <col min="7683" max="7683" width="34.28515625" style="1405" customWidth="1"/>
    <col min="7684" max="7693" width="0" style="1405" hidden="1" customWidth="1"/>
    <col min="7694" max="7694" width="11.7109375" style="1405" bestFit="1" customWidth="1"/>
    <col min="7695" max="7695" width="10.85546875" style="1405" bestFit="1" customWidth="1"/>
    <col min="7696" max="7701" width="0" style="1405" hidden="1" customWidth="1"/>
    <col min="7702" max="7702" width="12.5703125" style="1405" customWidth="1"/>
    <col min="7703" max="7703" width="12.85546875" style="1405" bestFit="1" customWidth="1"/>
    <col min="7704" max="7704" width="12" style="1405" bestFit="1" customWidth="1"/>
    <col min="7705" max="7705" width="12.85546875" style="1405" customWidth="1"/>
    <col min="7706" max="7706" width="3" style="1405" customWidth="1"/>
    <col min="7707" max="7709" width="0" style="1405" hidden="1" customWidth="1"/>
    <col min="7710" max="7710" width="6.5703125" style="1405" customWidth="1"/>
    <col min="7711" max="7711" width="10" style="1405" customWidth="1"/>
    <col min="7712" max="7712" width="10.7109375" style="1405" customWidth="1"/>
    <col min="7713" max="7713" width="9.28515625" style="1405" customWidth="1"/>
    <col min="7714" max="7714" width="10.42578125" style="1405" customWidth="1"/>
    <col min="7715" max="7715" width="6.28515625" style="1405" customWidth="1"/>
    <col min="7716" max="7716" width="4.5703125" style="1405" customWidth="1"/>
    <col min="7717" max="7717" width="61.85546875" style="1405" customWidth="1"/>
    <col min="7718" max="7719" width="11.42578125" style="1405"/>
    <col min="7720" max="7720" width="38.5703125" style="1405" customWidth="1"/>
    <col min="7721" max="7721" width="24.28515625" style="1405" customWidth="1"/>
    <col min="7722" max="7936" width="11.42578125" style="1405"/>
    <col min="7937" max="7937" width="4.7109375" style="1405" customWidth="1"/>
    <col min="7938" max="7938" width="7" style="1405" customWidth="1"/>
    <col min="7939" max="7939" width="34.28515625" style="1405" customWidth="1"/>
    <col min="7940" max="7949" width="0" style="1405" hidden="1" customWidth="1"/>
    <col min="7950" max="7950" width="11.7109375" style="1405" bestFit="1" customWidth="1"/>
    <col min="7951" max="7951" width="10.85546875" style="1405" bestFit="1" customWidth="1"/>
    <col min="7952" max="7957" width="0" style="1405" hidden="1" customWidth="1"/>
    <col min="7958" max="7958" width="12.5703125" style="1405" customWidth="1"/>
    <col min="7959" max="7959" width="12.85546875" style="1405" bestFit="1" customWidth="1"/>
    <col min="7960" max="7960" width="12" style="1405" bestFit="1" customWidth="1"/>
    <col min="7961" max="7961" width="12.85546875" style="1405" customWidth="1"/>
    <col min="7962" max="7962" width="3" style="1405" customWidth="1"/>
    <col min="7963" max="7965" width="0" style="1405" hidden="1" customWidth="1"/>
    <col min="7966" max="7966" width="6.5703125" style="1405" customWidth="1"/>
    <col min="7967" max="7967" width="10" style="1405" customWidth="1"/>
    <col min="7968" max="7968" width="10.7109375" style="1405" customWidth="1"/>
    <col min="7969" max="7969" width="9.28515625" style="1405" customWidth="1"/>
    <col min="7970" max="7970" width="10.42578125" style="1405" customWidth="1"/>
    <col min="7971" max="7971" width="6.28515625" style="1405" customWidth="1"/>
    <col min="7972" max="7972" width="4.5703125" style="1405" customWidth="1"/>
    <col min="7973" max="7973" width="61.85546875" style="1405" customWidth="1"/>
    <col min="7974" max="7975" width="11.42578125" style="1405"/>
    <col min="7976" max="7976" width="38.5703125" style="1405" customWidth="1"/>
    <col min="7977" max="7977" width="24.28515625" style="1405" customWidth="1"/>
    <col min="7978" max="8192" width="11.42578125" style="1405"/>
    <col min="8193" max="8193" width="4.7109375" style="1405" customWidth="1"/>
    <col min="8194" max="8194" width="7" style="1405" customWidth="1"/>
    <col min="8195" max="8195" width="34.28515625" style="1405" customWidth="1"/>
    <col min="8196" max="8205" width="0" style="1405" hidden="1" customWidth="1"/>
    <col min="8206" max="8206" width="11.7109375" style="1405" bestFit="1" customWidth="1"/>
    <col min="8207" max="8207" width="10.85546875" style="1405" bestFit="1" customWidth="1"/>
    <col min="8208" max="8213" width="0" style="1405" hidden="1" customWidth="1"/>
    <col min="8214" max="8214" width="12.5703125" style="1405" customWidth="1"/>
    <col min="8215" max="8215" width="12.85546875" style="1405" bestFit="1" customWidth="1"/>
    <col min="8216" max="8216" width="12" style="1405" bestFit="1" customWidth="1"/>
    <col min="8217" max="8217" width="12.85546875" style="1405" customWidth="1"/>
    <col min="8218" max="8218" width="3" style="1405" customWidth="1"/>
    <col min="8219" max="8221" width="0" style="1405" hidden="1" customWidth="1"/>
    <col min="8222" max="8222" width="6.5703125" style="1405" customWidth="1"/>
    <col min="8223" max="8223" width="10" style="1405" customWidth="1"/>
    <col min="8224" max="8224" width="10.7109375" style="1405" customWidth="1"/>
    <col min="8225" max="8225" width="9.28515625" style="1405" customWidth="1"/>
    <col min="8226" max="8226" width="10.42578125" style="1405" customWidth="1"/>
    <col min="8227" max="8227" width="6.28515625" style="1405" customWidth="1"/>
    <col min="8228" max="8228" width="4.5703125" style="1405" customWidth="1"/>
    <col min="8229" max="8229" width="61.85546875" style="1405" customWidth="1"/>
    <col min="8230" max="8231" width="11.42578125" style="1405"/>
    <col min="8232" max="8232" width="38.5703125" style="1405" customWidth="1"/>
    <col min="8233" max="8233" width="24.28515625" style="1405" customWidth="1"/>
    <col min="8234" max="8448" width="11.42578125" style="1405"/>
    <col min="8449" max="8449" width="4.7109375" style="1405" customWidth="1"/>
    <col min="8450" max="8450" width="7" style="1405" customWidth="1"/>
    <col min="8451" max="8451" width="34.28515625" style="1405" customWidth="1"/>
    <col min="8452" max="8461" width="0" style="1405" hidden="1" customWidth="1"/>
    <col min="8462" max="8462" width="11.7109375" style="1405" bestFit="1" customWidth="1"/>
    <col min="8463" max="8463" width="10.85546875" style="1405" bestFit="1" customWidth="1"/>
    <col min="8464" max="8469" width="0" style="1405" hidden="1" customWidth="1"/>
    <col min="8470" max="8470" width="12.5703125" style="1405" customWidth="1"/>
    <col min="8471" max="8471" width="12.85546875" style="1405" bestFit="1" customWidth="1"/>
    <col min="8472" max="8472" width="12" style="1405" bestFit="1" customWidth="1"/>
    <col min="8473" max="8473" width="12.85546875" style="1405" customWidth="1"/>
    <col min="8474" max="8474" width="3" style="1405" customWidth="1"/>
    <col min="8475" max="8477" width="0" style="1405" hidden="1" customWidth="1"/>
    <col min="8478" max="8478" width="6.5703125" style="1405" customWidth="1"/>
    <col min="8479" max="8479" width="10" style="1405" customWidth="1"/>
    <col min="8480" max="8480" width="10.7109375" style="1405" customWidth="1"/>
    <col min="8481" max="8481" width="9.28515625" style="1405" customWidth="1"/>
    <col min="8482" max="8482" width="10.42578125" style="1405" customWidth="1"/>
    <col min="8483" max="8483" width="6.28515625" style="1405" customWidth="1"/>
    <col min="8484" max="8484" width="4.5703125" style="1405" customWidth="1"/>
    <col min="8485" max="8485" width="61.85546875" style="1405" customWidth="1"/>
    <col min="8486" max="8487" width="11.42578125" style="1405"/>
    <col min="8488" max="8488" width="38.5703125" style="1405" customWidth="1"/>
    <col min="8489" max="8489" width="24.28515625" style="1405" customWidth="1"/>
    <col min="8490" max="8704" width="11.42578125" style="1405"/>
    <col min="8705" max="8705" width="4.7109375" style="1405" customWidth="1"/>
    <col min="8706" max="8706" width="7" style="1405" customWidth="1"/>
    <col min="8707" max="8707" width="34.28515625" style="1405" customWidth="1"/>
    <col min="8708" max="8717" width="0" style="1405" hidden="1" customWidth="1"/>
    <col min="8718" max="8718" width="11.7109375" style="1405" bestFit="1" customWidth="1"/>
    <col min="8719" max="8719" width="10.85546875" style="1405" bestFit="1" customWidth="1"/>
    <col min="8720" max="8725" width="0" style="1405" hidden="1" customWidth="1"/>
    <col min="8726" max="8726" width="12.5703125" style="1405" customWidth="1"/>
    <col min="8727" max="8727" width="12.85546875" style="1405" bestFit="1" customWidth="1"/>
    <col min="8728" max="8728" width="12" style="1405" bestFit="1" customWidth="1"/>
    <col min="8729" max="8729" width="12.85546875" style="1405" customWidth="1"/>
    <col min="8730" max="8730" width="3" style="1405" customWidth="1"/>
    <col min="8731" max="8733" width="0" style="1405" hidden="1" customWidth="1"/>
    <col min="8734" max="8734" width="6.5703125" style="1405" customWidth="1"/>
    <col min="8735" max="8735" width="10" style="1405" customWidth="1"/>
    <col min="8736" max="8736" width="10.7109375" style="1405" customWidth="1"/>
    <col min="8737" max="8737" width="9.28515625" style="1405" customWidth="1"/>
    <col min="8738" max="8738" width="10.42578125" style="1405" customWidth="1"/>
    <col min="8739" max="8739" width="6.28515625" style="1405" customWidth="1"/>
    <col min="8740" max="8740" width="4.5703125" style="1405" customWidth="1"/>
    <col min="8741" max="8741" width="61.85546875" style="1405" customWidth="1"/>
    <col min="8742" max="8743" width="11.42578125" style="1405"/>
    <col min="8744" max="8744" width="38.5703125" style="1405" customWidth="1"/>
    <col min="8745" max="8745" width="24.28515625" style="1405" customWidth="1"/>
    <col min="8746" max="8960" width="11.42578125" style="1405"/>
    <col min="8961" max="8961" width="4.7109375" style="1405" customWidth="1"/>
    <col min="8962" max="8962" width="7" style="1405" customWidth="1"/>
    <col min="8963" max="8963" width="34.28515625" style="1405" customWidth="1"/>
    <col min="8964" max="8973" width="0" style="1405" hidden="1" customWidth="1"/>
    <col min="8974" max="8974" width="11.7109375" style="1405" bestFit="1" customWidth="1"/>
    <col min="8975" max="8975" width="10.85546875" style="1405" bestFit="1" customWidth="1"/>
    <col min="8976" max="8981" width="0" style="1405" hidden="1" customWidth="1"/>
    <col min="8982" max="8982" width="12.5703125" style="1405" customWidth="1"/>
    <col min="8983" max="8983" width="12.85546875" style="1405" bestFit="1" customWidth="1"/>
    <col min="8984" max="8984" width="12" style="1405" bestFit="1" customWidth="1"/>
    <col min="8985" max="8985" width="12.85546875" style="1405" customWidth="1"/>
    <col min="8986" max="8986" width="3" style="1405" customWidth="1"/>
    <col min="8987" max="8989" width="0" style="1405" hidden="1" customWidth="1"/>
    <col min="8990" max="8990" width="6.5703125" style="1405" customWidth="1"/>
    <col min="8991" max="8991" width="10" style="1405" customWidth="1"/>
    <col min="8992" max="8992" width="10.7109375" style="1405" customWidth="1"/>
    <col min="8993" max="8993" width="9.28515625" style="1405" customWidth="1"/>
    <col min="8994" max="8994" width="10.42578125" style="1405" customWidth="1"/>
    <col min="8995" max="8995" width="6.28515625" style="1405" customWidth="1"/>
    <col min="8996" max="8996" width="4.5703125" style="1405" customWidth="1"/>
    <col min="8997" max="8997" width="61.85546875" style="1405" customWidth="1"/>
    <col min="8998" max="8999" width="11.42578125" style="1405"/>
    <col min="9000" max="9000" width="38.5703125" style="1405" customWidth="1"/>
    <col min="9001" max="9001" width="24.28515625" style="1405" customWidth="1"/>
    <col min="9002" max="9216" width="11.42578125" style="1405"/>
    <col min="9217" max="9217" width="4.7109375" style="1405" customWidth="1"/>
    <col min="9218" max="9218" width="7" style="1405" customWidth="1"/>
    <col min="9219" max="9219" width="34.28515625" style="1405" customWidth="1"/>
    <col min="9220" max="9229" width="0" style="1405" hidden="1" customWidth="1"/>
    <col min="9230" max="9230" width="11.7109375" style="1405" bestFit="1" customWidth="1"/>
    <col min="9231" max="9231" width="10.85546875" style="1405" bestFit="1" customWidth="1"/>
    <col min="9232" max="9237" width="0" style="1405" hidden="1" customWidth="1"/>
    <col min="9238" max="9238" width="12.5703125" style="1405" customWidth="1"/>
    <col min="9239" max="9239" width="12.85546875" style="1405" bestFit="1" customWidth="1"/>
    <col min="9240" max="9240" width="12" style="1405" bestFit="1" customWidth="1"/>
    <col min="9241" max="9241" width="12.85546875" style="1405" customWidth="1"/>
    <col min="9242" max="9242" width="3" style="1405" customWidth="1"/>
    <col min="9243" max="9245" width="0" style="1405" hidden="1" customWidth="1"/>
    <col min="9246" max="9246" width="6.5703125" style="1405" customWidth="1"/>
    <col min="9247" max="9247" width="10" style="1405" customWidth="1"/>
    <col min="9248" max="9248" width="10.7109375" style="1405" customWidth="1"/>
    <col min="9249" max="9249" width="9.28515625" style="1405" customWidth="1"/>
    <col min="9250" max="9250" width="10.42578125" style="1405" customWidth="1"/>
    <col min="9251" max="9251" width="6.28515625" style="1405" customWidth="1"/>
    <col min="9252" max="9252" width="4.5703125" style="1405" customWidth="1"/>
    <col min="9253" max="9253" width="61.85546875" style="1405" customWidth="1"/>
    <col min="9254" max="9255" width="11.42578125" style="1405"/>
    <col min="9256" max="9256" width="38.5703125" style="1405" customWidth="1"/>
    <col min="9257" max="9257" width="24.28515625" style="1405" customWidth="1"/>
    <col min="9258" max="9472" width="11.42578125" style="1405"/>
    <col min="9473" max="9473" width="4.7109375" style="1405" customWidth="1"/>
    <col min="9474" max="9474" width="7" style="1405" customWidth="1"/>
    <col min="9475" max="9475" width="34.28515625" style="1405" customWidth="1"/>
    <col min="9476" max="9485" width="0" style="1405" hidden="1" customWidth="1"/>
    <col min="9486" max="9486" width="11.7109375" style="1405" bestFit="1" customWidth="1"/>
    <col min="9487" max="9487" width="10.85546875" style="1405" bestFit="1" customWidth="1"/>
    <col min="9488" max="9493" width="0" style="1405" hidden="1" customWidth="1"/>
    <col min="9494" max="9494" width="12.5703125" style="1405" customWidth="1"/>
    <col min="9495" max="9495" width="12.85546875" style="1405" bestFit="1" customWidth="1"/>
    <col min="9496" max="9496" width="12" style="1405" bestFit="1" customWidth="1"/>
    <col min="9497" max="9497" width="12.85546875" style="1405" customWidth="1"/>
    <col min="9498" max="9498" width="3" style="1405" customWidth="1"/>
    <col min="9499" max="9501" width="0" style="1405" hidden="1" customWidth="1"/>
    <col min="9502" max="9502" width="6.5703125" style="1405" customWidth="1"/>
    <col min="9503" max="9503" width="10" style="1405" customWidth="1"/>
    <col min="9504" max="9504" width="10.7109375" style="1405" customWidth="1"/>
    <col min="9505" max="9505" width="9.28515625" style="1405" customWidth="1"/>
    <col min="9506" max="9506" width="10.42578125" style="1405" customWidth="1"/>
    <col min="9507" max="9507" width="6.28515625" style="1405" customWidth="1"/>
    <col min="9508" max="9508" width="4.5703125" style="1405" customWidth="1"/>
    <col min="9509" max="9509" width="61.85546875" style="1405" customWidth="1"/>
    <col min="9510" max="9511" width="11.42578125" style="1405"/>
    <col min="9512" max="9512" width="38.5703125" style="1405" customWidth="1"/>
    <col min="9513" max="9513" width="24.28515625" style="1405" customWidth="1"/>
    <col min="9514" max="9728" width="11.42578125" style="1405"/>
    <col min="9729" max="9729" width="4.7109375" style="1405" customWidth="1"/>
    <col min="9730" max="9730" width="7" style="1405" customWidth="1"/>
    <col min="9731" max="9731" width="34.28515625" style="1405" customWidth="1"/>
    <col min="9732" max="9741" width="0" style="1405" hidden="1" customWidth="1"/>
    <col min="9742" max="9742" width="11.7109375" style="1405" bestFit="1" customWidth="1"/>
    <col min="9743" max="9743" width="10.85546875" style="1405" bestFit="1" customWidth="1"/>
    <col min="9744" max="9749" width="0" style="1405" hidden="1" customWidth="1"/>
    <col min="9750" max="9750" width="12.5703125" style="1405" customWidth="1"/>
    <col min="9751" max="9751" width="12.85546875" style="1405" bestFit="1" customWidth="1"/>
    <col min="9752" max="9752" width="12" style="1405" bestFit="1" customWidth="1"/>
    <col min="9753" max="9753" width="12.85546875" style="1405" customWidth="1"/>
    <col min="9754" max="9754" width="3" style="1405" customWidth="1"/>
    <col min="9755" max="9757" width="0" style="1405" hidden="1" customWidth="1"/>
    <col min="9758" max="9758" width="6.5703125" style="1405" customWidth="1"/>
    <col min="9759" max="9759" width="10" style="1405" customWidth="1"/>
    <col min="9760" max="9760" width="10.7109375" style="1405" customWidth="1"/>
    <col min="9761" max="9761" width="9.28515625" style="1405" customWidth="1"/>
    <col min="9762" max="9762" width="10.42578125" style="1405" customWidth="1"/>
    <col min="9763" max="9763" width="6.28515625" style="1405" customWidth="1"/>
    <col min="9764" max="9764" width="4.5703125" style="1405" customWidth="1"/>
    <col min="9765" max="9765" width="61.85546875" style="1405" customWidth="1"/>
    <col min="9766" max="9767" width="11.42578125" style="1405"/>
    <col min="9768" max="9768" width="38.5703125" style="1405" customWidth="1"/>
    <col min="9769" max="9769" width="24.28515625" style="1405" customWidth="1"/>
    <col min="9770" max="9984" width="11.42578125" style="1405"/>
    <col min="9985" max="9985" width="4.7109375" style="1405" customWidth="1"/>
    <col min="9986" max="9986" width="7" style="1405" customWidth="1"/>
    <col min="9987" max="9987" width="34.28515625" style="1405" customWidth="1"/>
    <col min="9988" max="9997" width="0" style="1405" hidden="1" customWidth="1"/>
    <col min="9998" max="9998" width="11.7109375" style="1405" bestFit="1" customWidth="1"/>
    <col min="9999" max="9999" width="10.85546875" style="1405" bestFit="1" customWidth="1"/>
    <col min="10000" max="10005" width="0" style="1405" hidden="1" customWidth="1"/>
    <col min="10006" max="10006" width="12.5703125" style="1405" customWidth="1"/>
    <col min="10007" max="10007" width="12.85546875" style="1405" bestFit="1" customWidth="1"/>
    <col min="10008" max="10008" width="12" style="1405" bestFit="1" customWidth="1"/>
    <col min="10009" max="10009" width="12.85546875" style="1405" customWidth="1"/>
    <col min="10010" max="10010" width="3" style="1405" customWidth="1"/>
    <col min="10011" max="10013" width="0" style="1405" hidden="1" customWidth="1"/>
    <col min="10014" max="10014" width="6.5703125" style="1405" customWidth="1"/>
    <col min="10015" max="10015" width="10" style="1405" customWidth="1"/>
    <col min="10016" max="10016" width="10.7109375" style="1405" customWidth="1"/>
    <col min="10017" max="10017" width="9.28515625" style="1405" customWidth="1"/>
    <col min="10018" max="10018" width="10.42578125" style="1405" customWidth="1"/>
    <col min="10019" max="10019" width="6.28515625" style="1405" customWidth="1"/>
    <col min="10020" max="10020" width="4.5703125" style="1405" customWidth="1"/>
    <col min="10021" max="10021" width="61.85546875" style="1405" customWidth="1"/>
    <col min="10022" max="10023" width="11.42578125" style="1405"/>
    <col min="10024" max="10024" width="38.5703125" style="1405" customWidth="1"/>
    <col min="10025" max="10025" width="24.28515625" style="1405" customWidth="1"/>
    <col min="10026" max="10240" width="11.42578125" style="1405"/>
    <col min="10241" max="10241" width="4.7109375" style="1405" customWidth="1"/>
    <col min="10242" max="10242" width="7" style="1405" customWidth="1"/>
    <col min="10243" max="10243" width="34.28515625" style="1405" customWidth="1"/>
    <col min="10244" max="10253" width="0" style="1405" hidden="1" customWidth="1"/>
    <col min="10254" max="10254" width="11.7109375" style="1405" bestFit="1" customWidth="1"/>
    <col min="10255" max="10255" width="10.85546875" style="1405" bestFit="1" customWidth="1"/>
    <col min="10256" max="10261" width="0" style="1405" hidden="1" customWidth="1"/>
    <col min="10262" max="10262" width="12.5703125" style="1405" customWidth="1"/>
    <col min="10263" max="10263" width="12.85546875" style="1405" bestFit="1" customWidth="1"/>
    <col min="10264" max="10264" width="12" style="1405" bestFit="1" customWidth="1"/>
    <col min="10265" max="10265" width="12.85546875" style="1405" customWidth="1"/>
    <col min="10266" max="10266" width="3" style="1405" customWidth="1"/>
    <col min="10267" max="10269" width="0" style="1405" hidden="1" customWidth="1"/>
    <col min="10270" max="10270" width="6.5703125" style="1405" customWidth="1"/>
    <col min="10271" max="10271" width="10" style="1405" customWidth="1"/>
    <col min="10272" max="10272" width="10.7109375" style="1405" customWidth="1"/>
    <col min="10273" max="10273" width="9.28515625" style="1405" customWidth="1"/>
    <col min="10274" max="10274" width="10.42578125" style="1405" customWidth="1"/>
    <col min="10275" max="10275" width="6.28515625" style="1405" customWidth="1"/>
    <col min="10276" max="10276" width="4.5703125" style="1405" customWidth="1"/>
    <col min="10277" max="10277" width="61.85546875" style="1405" customWidth="1"/>
    <col min="10278" max="10279" width="11.42578125" style="1405"/>
    <col min="10280" max="10280" width="38.5703125" style="1405" customWidth="1"/>
    <col min="10281" max="10281" width="24.28515625" style="1405" customWidth="1"/>
    <col min="10282" max="10496" width="11.42578125" style="1405"/>
    <col min="10497" max="10497" width="4.7109375" style="1405" customWidth="1"/>
    <col min="10498" max="10498" width="7" style="1405" customWidth="1"/>
    <col min="10499" max="10499" width="34.28515625" style="1405" customWidth="1"/>
    <col min="10500" max="10509" width="0" style="1405" hidden="1" customWidth="1"/>
    <col min="10510" max="10510" width="11.7109375" style="1405" bestFit="1" customWidth="1"/>
    <col min="10511" max="10511" width="10.85546875" style="1405" bestFit="1" customWidth="1"/>
    <col min="10512" max="10517" width="0" style="1405" hidden="1" customWidth="1"/>
    <col min="10518" max="10518" width="12.5703125" style="1405" customWidth="1"/>
    <col min="10519" max="10519" width="12.85546875" style="1405" bestFit="1" customWidth="1"/>
    <col min="10520" max="10520" width="12" style="1405" bestFit="1" customWidth="1"/>
    <col min="10521" max="10521" width="12.85546875" style="1405" customWidth="1"/>
    <col min="10522" max="10522" width="3" style="1405" customWidth="1"/>
    <col min="10523" max="10525" width="0" style="1405" hidden="1" customWidth="1"/>
    <col min="10526" max="10526" width="6.5703125" style="1405" customWidth="1"/>
    <col min="10527" max="10527" width="10" style="1405" customWidth="1"/>
    <col min="10528" max="10528" width="10.7109375" style="1405" customWidth="1"/>
    <col min="10529" max="10529" width="9.28515625" style="1405" customWidth="1"/>
    <col min="10530" max="10530" width="10.42578125" style="1405" customWidth="1"/>
    <col min="10531" max="10531" width="6.28515625" style="1405" customWidth="1"/>
    <col min="10532" max="10532" width="4.5703125" style="1405" customWidth="1"/>
    <col min="10533" max="10533" width="61.85546875" style="1405" customWidth="1"/>
    <col min="10534" max="10535" width="11.42578125" style="1405"/>
    <col min="10536" max="10536" width="38.5703125" style="1405" customWidth="1"/>
    <col min="10537" max="10537" width="24.28515625" style="1405" customWidth="1"/>
    <col min="10538" max="10752" width="11.42578125" style="1405"/>
    <col min="10753" max="10753" width="4.7109375" style="1405" customWidth="1"/>
    <col min="10754" max="10754" width="7" style="1405" customWidth="1"/>
    <col min="10755" max="10755" width="34.28515625" style="1405" customWidth="1"/>
    <col min="10756" max="10765" width="0" style="1405" hidden="1" customWidth="1"/>
    <col min="10766" max="10766" width="11.7109375" style="1405" bestFit="1" customWidth="1"/>
    <col min="10767" max="10767" width="10.85546875" style="1405" bestFit="1" customWidth="1"/>
    <col min="10768" max="10773" width="0" style="1405" hidden="1" customWidth="1"/>
    <col min="10774" max="10774" width="12.5703125" style="1405" customWidth="1"/>
    <col min="10775" max="10775" width="12.85546875" style="1405" bestFit="1" customWidth="1"/>
    <col min="10776" max="10776" width="12" style="1405" bestFit="1" customWidth="1"/>
    <col min="10777" max="10777" width="12.85546875" style="1405" customWidth="1"/>
    <col min="10778" max="10778" width="3" style="1405" customWidth="1"/>
    <col min="10779" max="10781" width="0" style="1405" hidden="1" customWidth="1"/>
    <col min="10782" max="10782" width="6.5703125" style="1405" customWidth="1"/>
    <col min="10783" max="10783" width="10" style="1405" customWidth="1"/>
    <col min="10784" max="10784" width="10.7109375" style="1405" customWidth="1"/>
    <col min="10785" max="10785" width="9.28515625" style="1405" customWidth="1"/>
    <col min="10786" max="10786" width="10.42578125" style="1405" customWidth="1"/>
    <col min="10787" max="10787" width="6.28515625" style="1405" customWidth="1"/>
    <col min="10788" max="10788" width="4.5703125" style="1405" customWidth="1"/>
    <col min="10789" max="10789" width="61.85546875" style="1405" customWidth="1"/>
    <col min="10790" max="10791" width="11.42578125" style="1405"/>
    <col min="10792" max="10792" width="38.5703125" style="1405" customWidth="1"/>
    <col min="10793" max="10793" width="24.28515625" style="1405" customWidth="1"/>
    <col min="10794" max="11008" width="11.42578125" style="1405"/>
    <col min="11009" max="11009" width="4.7109375" style="1405" customWidth="1"/>
    <col min="11010" max="11010" width="7" style="1405" customWidth="1"/>
    <col min="11011" max="11011" width="34.28515625" style="1405" customWidth="1"/>
    <col min="11012" max="11021" width="0" style="1405" hidden="1" customWidth="1"/>
    <col min="11022" max="11022" width="11.7109375" style="1405" bestFit="1" customWidth="1"/>
    <col min="11023" max="11023" width="10.85546875" style="1405" bestFit="1" customWidth="1"/>
    <col min="11024" max="11029" width="0" style="1405" hidden="1" customWidth="1"/>
    <col min="11030" max="11030" width="12.5703125" style="1405" customWidth="1"/>
    <col min="11031" max="11031" width="12.85546875" style="1405" bestFit="1" customWidth="1"/>
    <col min="11032" max="11032" width="12" style="1405" bestFit="1" customWidth="1"/>
    <col min="11033" max="11033" width="12.85546875" style="1405" customWidth="1"/>
    <col min="11034" max="11034" width="3" style="1405" customWidth="1"/>
    <col min="11035" max="11037" width="0" style="1405" hidden="1" customWidth="1"/>
    <col min="11038" max="11038" width="6.5703125" style="1405" customWidth="1"/>
    <col min="11039" max="11039" width="10" style="1405" customWidth="1"/>
    <col min="11040" max="11040" width="10.7109375" style="1405" customWidth="1"/>
    <col min="11041" max="11041" width="9.28515625" style="1405" customWidth="1"/>
    <col min="11042" max="11042" width="10.42578125" style="1405" customWidth="1"/>
    <col min="11043" max="11043" width="6.28515625" style="1405" customWidth="1"/>
    <col min="11044" max="11044" width="4.5703125" style="1405" customWidth="1"/>
    <col min="11045" max="11045" width="61.85546875" style="1405" customWidth="1"/>
    <col min="11046" max="11047" width="11.42578125" style="1405"/>
    <col min="11048" max="11048" width="38.5703125" style="1405" customWidth="1"/>
    <col min="11049" max="11049" width="24.28515625" style="1405" customWidth="1"/>
    <col min="11050" max="11264" width="11.42578125" style="1405"/>
    <col min="11265" max="11265" width="4.7109375" style="1405" customWidth="1"/>
    <col min="11266" max="11266" width="7" style="1405" customWidth="1"/>
    <col min="11267" max="11267" width="34.28515625" style="1405" customWidth="1"/>
    <col min="11268" max="11277" width="0" style="1405" hidden="1" customWidth="1"/>
    <col min="11278" max="11278" width="11.7109375" style="1405" bestFit="1" customWidth="1"/>
    <col min="11279" max="11279" width="10.85546875" style="1405" bestFit="1" customWidth="1"/>
    <col min="11280" max="11285" width="0" style="1405" hidden="1" customWidth="1"/>
    <col min="11286" max="11286" width="12.5703125" style="1405" customWidth="1"/>
    <col min="11287" max="11287" width="12.85546875" style="1405" bestFit="1" customWidth="1"/>
    <col min="11288" max="11288" width="12" style="1405" bestFit="1" customWidth="1"/>
    <col min="11289" max="11289" width="12.85546875" style="1405" customWidth="1"/>
    <col min="11290" max="11290" width="3" style="1405" customWidth="1"/>
    <col min="11291" max="11293" width="0" style="1405" hidden="1" customWidth="1"/>
    <col min="11294" max="11294" width="6.5703125" style="1405" customWidth="1"/>
    <col min="11295" max="11295" width="10" style="1405" customWidth="1"/>
    <col min="11296" max="11296" width="10.7109375" style="1405" customWidth="1"/>
    <col min="11297" max="11297" width="9.28515625" style="1405" customWidth="1"/>
    <col min="11298" max="11298" width="10.42578125" style="1405" customWidth="1"/>
    <col min="11299" max="11299" width="6.28515625" style="1405" customWidth="1"/>
    <col min="11300" max="11300" width="4.5703125" style="1405" customWidth="1"/>
    <col min="11301" max="11301" width="61.85546875" style="1405" customWidth="1"/>
    <col min="11302" max="11303" width="11.42578125" style="1405"/>
    <col min="11304" max="11304" width="38.5703125" style="1405" customWidth="1"/>
    <col min="11305" max="11305" width="24.28515625" style="1405" customWidth="1"/>
    <col min="11306" max="11520" width="11.42578125" style="1405"/>
    <col min="11521" max="11521" width="4.7109375" style="1405" customWidth="1"/>
    <col min="11522" max="11522" width="7" style="1405" customWidth="1"/>
    <col min="11523" max="11523" width="34.28515625" style="1405" customWidth="1"/>
    <col min="11524" max="11533" width="0" style="1405" hidden="1" customWidth="1"/>
    <col min="11534" max="11534" width="11.7109375" style="1405" bestFit="1" customWidth="1"/>
    <col min="11535" max="11535" width="10.85546875" style="1405" bestFit="1" customWidth="1"/>
    <col min="11536" max="11541" width="0" style="1405" hidden="1" customWidth="1"/>
    <col min="11542" max="11542" width="12.5703125" style="1405" customWidth="1"/>
    <col min="11543" max="11543" width="12.85546875" style="1405" bestFit="1" customWidth="1"/>
    <col min="11544" max="11544" width="12" style="1405" bestFit="1" customWidth="1"/>
    <col min="11545" max="11545" width="12.85546875" style="1405" customWidth="1"/>
    <col min="11546" max="11546" width="3" style="1405" customWidth="1"/>
    <col min="11547" max="11549" width="0" style="1405" hidden="1" customWidth="1"/>
    <col min="11550" max="11550" width="6.5703125" style="1405" customWidth="1"/>
    <col min="11551" max="11551" width="10" style="1405" customWidth="1"/>
    <col min="11552" max="11552" width="10.7109375" style="1405" customWidth="1"/>
    <col min="11553" max="11553" width="9.28515625" style="1405" customWidth="1"/>
    <col min="11554" max="11554" width="10.42578125" style="1405" customWidth="1"/>
    <col min="11555" max="11555" width="6.28515625" style="1405" customWidth="1"/>
    <col min="11556" max="11556" width="4.5703125" style="1405" customWidth="1"/>
    <col min="11557" max="11557" width="61.85546875" style="1405" customWidth="1"/>
    <col min="11558" max="11559" width="11.42578125" style="1405"/>
    <col min="11560" max="11560" width="38.5703125" style="1405" customWidth="1"/>
    <col min="11561" max="11561" width="24.28515625" style="1405" customWidth="1"/>
    <col min="11562" max="11776" width="11.42578125" style="1405"/>
    <col min="11777" max="11777" width="4.7109375" style="1405" customWidth="1"/>
    <col min="11778" max="11778" width="7" style="1405" customWidth="1"/>
    <col min="11779" max="11779" width="34.28515625" style="1405" customWidth="1"/>
    <col min="11780" max="11789" width="0" style="1405" hidden="1" customWidth="1"/>
    <col min="11790" max="11790" width="11.7109375" style="1405" bestFit="1" customWidth="1"/>
    <col min="11791" max="11791" width="10.85546875" style="1405" bestFit="1" customWidth="1"/>
    <col min="11792" max="11797" width="0" style="1405" hidden="1" customWidth="1"/>
    <col min="11798" max="11798" width="12.5703125" style="1405" customWidth="1"/>
    <col min="11799" max="11799" width="12.85546875" style="1405" bestFit="1" customWidth="1"/>
    <col min="11800" max="11800" width="12" style="1405" bestFit="1" customWidth="1"/>
    <col min="11801" max="11801" width="12.85546875" style="1405" customWidth="1"/>
    <col min="11802" max="11802" width="3" style="1405" customWidth="1"/>
    <col min="11803" max="11805" width="0" style="1405" hidden="1" customWidth="1"/>
    <col min="11806" max="11806" width="6.5703125" style="1405" customWidth="1"/>
    <col min="11807" max="11807" width="10" style="1405" customWidth="1"/>
    <col min="11808" max="11808" width="10.7109375" style="1405" customWidth="1"/>
    <col min="11809" max="11809" width="9.28515625" style="1405" customWidth="1"/>
    <col min="11810" max="11810" width="10.42578125" style="1405" customWidth="1"/>
    <col min="11811" max="11811" width="6.28515625" style="1405" customWidth="1"/>
    <col min="11812" max="11812" width="4.5703125" style="1405" customWidth="1"/>
    <col min="11813" max="11813" width="61.85546875" style="1405" customWidth="1"/>
    <col min="11814" max="11815" width="11.42578125" style="1405"/>
    <col min="11816" max="11816" width="38.5703125" style="1405" customWidth="1"/>
    <col min="11817" max="11817" width="24.28515625" style="1405" customWidth="1"/>
    <col min="11818" max="12032" width="11.42578125" style="1405"/>
    <col min="12033" max="12033" width="4.7109375" style="1405" customWidth="1"/>
    <col min="12034" max="12034" width="7" style="1405" customWidth="1"/>
    <col min="12035" max="12035" width="34.28515625" style="1405" customWidth="1"/>
    <col min="12036" max="12045" width="0" style="1405" hidden="1" customWidth="1"/>
    <col min="12046" max="12046" width="11.7109375" style="1405" bestFit="1" customWidth="1"/>
    <col min="12047" max="12047" width="10.85546875" style="1405" bestFit="1" customWidth="1"/>
    <col min="12048" max="12053" width="0" style="1405" hidden="1" customWidth="1"/>
    <col min="12054" max="12054" width="12.5703125" style="1405" customWidth="1"/>
    <col min="12055" max="12055" width="12.85546875" style="1405" bestFit="1" customWidth="1"/>
    <col min="12056" max="12056" width="12" style="1405" bestFit="1" customWidth="1"/>
    <col min="12057" max="12057" width="12.85546875" style="1405" customWidth="1"/>
    <col min="12058" max="12058" width="3" style="1405" customWidth="1"/>
    <col min="12059" max="12061" width="0" style="1405" hidden="1" customWidth="1"/>
    <col min="12062" max="12062" width="6.5703125" style="1405" customWidth="1"/>
    <col min="12063" max="12063" width="10" style="1405" customWidth="1"/>
    <col min="12064" max="12064" width="10.7109375" style="1405" customWidth="1"/>
    <col min="12065" max="12065" width="9.28515625" style="1405" customWidth="1"/>
    <col min="12066" max="12066" width="10.42578125" style="1405" customWidth="1"/>
    <col min="12067" max="12067" width="6.28515625" style="1405" customWidth="1"/>
    <col min="12068" max="12068" width="4.5703125" style="1405" customWidth="1"/>
    <col min="12069" max="12069" width="61.85546875" style="1405" customWidth="1"/>
    <col min="12070" max="12071" width="11.42578125" style="1405"/>
    <col min="12072" max="12072" width="38.5703125" style="1405" customWidth="1"/>
    <col min="12073" max="12073" width="24.28515625" style="1405" customWidth="1"/>
    <col min="12074" max="12288" width="11.42578125" style="1405"/>
    <col min="12289" max="12289" width="4.7109375" style="1405" customWidth="1"/>
    <col min="12290" max="12290" width="7" style="1405" customWidth="1"/>
    <col min="12291" max="12291" width="34.28515625" style="1405" customWidth="1"/>
    <col min="12292" max="12301" width="0" style="1405" hidden="1" customWidth="1"/>
    <col min="12302" max="12302" width="11.7109375" style="1405" bestFit="1" customWidth="1"/>
    <col min="12303" max="12303" width="10.85546875" style="1405" bestFit="1" customWidth="1"/>
    <col min="12304" max="12309" width="0" style="1405" hidden="1" customWidth="1"/>
    <col min="12310" max="12310" width="12.5703125" style="1405" customWidth="1"/>
    <col min="12311" max="12311" width="12.85546875" style="1405" bestFit="1" customWidth="1"/>
    <col min="12312" max="12312" width="12" style="1405" bestFit="1" customWidth="1"/>
    <col min="12313" max="12313" width="12.85546875" style="1405" customWidth="1"/>
    <col min="12314" max="12314" width="3" style="1405" customWidth="1"/>
    <col min="12315" max="12317" width="0" style="1405" hidden="1" customWidth="1"/>
    <col min="12318" max="12318" width="6.5703125" style="1405" customWidth="1"/>
    <col min="12319" max="12319" width="10" style="1405" customWidth="1"/>
    <col min="12320" max="12320" width="10.7109375" style="1405" customWidth="1"/>
    <col min="12321" max="12321" width="9.28515625" style="1405" customWidth="1"/>
    <col min="12322" max="12322" width="10.42578125" style="1405" customWidth="1"/>
    <col min="12323" max="12323" width="6.28515625" style="1405" customWidth="1"/>
    <col min="12324" max="12324" width="4.5703125" style="1405" customWidth="1"/>
    <col min="12325" max="12325" width="61.85546875" style="1405" customWidth="1"/>
    <col min="12326" max="12327" width="11.42578125" style="1405"/>
    <col min="12328" max="12328" width="38.5703125" style="1405" customWidth="1"/>
    <col min="12329" max="12329" width="24.28515625" style="1405" customWidth="1"/>
    <col min="12330" max="12544" width="11.42578125" style="1405"/>
    <col min="12545" max="12545" width="4.7109375" style="1405" customWidth="1"/>
    <col min="12546" max="12546" width="7" style="1405" customWidth="1"/>
    <col min="12547" max="12547" width="34.28515625" style="1405" customWidth="1"/>
    <col min="12548" max="12557" width="0" style="1405" hidden="1" customWidth="1"/>
    <col min="12558" max="12558" width="11.7109375" style="1405" bestFit="1" customWidth="1"/>
    <col min="12559" max="12559" width="10.85546875" style="1405" bestFit="1" customWidth="1"/>
    <col min="12560" max="12565" width="0" style="1405" hidden="1" customWidth="1"/>
    <col min="12566" max="12566" width="12.5703125" style="1405" customWidth="1"/>
    <col min="12567" max="12567" width="12.85546875" style="1405" bestFit="1" customWidth="1"/>
    <col min="12568" max="12568" width="12" style="1405" bestFit="1" customWidth="1"/>
    <col min="12569" max="12569" width="12.85546875" style="1405" customWidth="1"/>
    <col min="12570" max="12570" width="3" style="1405" customWidth="1"/>
    <col min="12571" max="12573" width="0" style="1405" hidden="1" customWidth="1"/>
    <col min="12574" max="12574" width="6.5703125" style="1405" customWidth="1"/>
    <col min="12575" max="12575" width="10" style="1405" customWidth="1"/>
    <col min="12576" max="12576" width="10.7109375" style="1405" customWidth="1"/>
    <col min="12577" max="12577" width="9.28515625" style="1405" customWidth="1"/>
    <col min="12578" max="12578" width="10.42578125" style="1405" customWidth="1"/>
    <col min="12579" max="12579" width="6.28515625" style="1405" customWidth="1"/>
    <col min="12580" max="12580" width="4.5703125" style="1405" customWidth="1"/>
    <col min="12581" max="12581" width="61.85546875" style="1405" customWidth="1"/>
    <col min="12582" max="12583" width="11.42578125" style="1405"/>
    <col min="12584" max="12584" width="38.5703125" style="1405" customWidth="1"/>
    <col min="12585" max="12585" width="24.28515625" style="1405" customWidth="1"/>
    <col min="12586" max="12800" width="11.42578125" style="1405"/>
    <col min="12801" max="12801" width="4.7109375" style="1405" customWidth="1"/>
    <col min="12802" max="12802" width="7" style="1405" customWidth="1"/>
    <col min="12803" max="12803" width="34.28515625" style="1405" customWidth="1"/>
    <col min="12804" max="12813" width="0" style="1405" hidden="1" customWidth="1"/>
    <col min="12814" max="12814" width="11.7109375" style="1405" bestFit="1" customWidth="1"/>
    <col min="12815" max="12815" width="10.85546875" style="1405" bestFit="1" customWidth="1"/>
    <col min="12816" max="12821" width="0" style="1405" hidden="1" customWidth="1"/>
    <col min="12822" max="12822" width="12.5703125" style="1405" customWidth="1"/>
    <col min="12823" max="12823" width="12.85546875" style="1405" bestFit="1" customWidth="1"/>
    <col min="12824" max="12824" width="12" style="1405" bestFit="1" customWidth="1"/>
    <col min="12825" max="12825" width="12.85546875" style="1405" customWidth="1"/>
    <col min="12826" max="12826" width="3" style="1405" customWidth="1"/>
    <col min="12827" max="12829" width="0" style="1405" hidden="1" customWidth="1"/>
    <col min="12830" max="12830" width="6.5703125" style="1405" customWidth="1"/>
    <col min="12831" max="12831" width="10" style="1405" customWidth="1"/>
    <col min="12832" max="12832" width="10.7109375" style="1405" customWidth="1"/>
    <col min="12833" max="12833" width="9.28515625" style="1405" customWidth="1"/>
    <col min="12834" max="12834" width="10.42578125" style="1405" customWidth="1"/>
    <col min="12835" max="12835" width="6.28515625" style="1405" customWidth="1"/>
    <col min="12836" max="12836" width="4.5703125" style="1405" customWidth="1"/>
    <col min="12837" max="12837" width="61.85546875" style="1405" customWidth="1"/>
    <col min="12838" max="12839" width="11.42578125" style="1405"/>
    <col min="12840" max="12840" width="38.5703125" style="1405" customWidth="1"/>
    <col min="12841" max="12841" width="24.28515625" style="1405" customWidth="1"/>
    <col min="12842" max="13056" width="11.42578125" style="1405"/>
    <col min="13057" max="13057" width="4.7109375" style="1405" customWidth="1"/>
    <col min="13058" max="13058" width="7" style="1405" customWidth="1"/>
    <col min="13059" max="13059" width="34.28515625" style="1405" customWidth="1"/>
    <col min="13060" max="13069" width="0" style="1405" hidden="1" customWidth="1"/>
    <col min="13070" max="13070" width="11.7109375" style="1405" bestFit="1" customWidth="1"/>
    <col min="13071" max="13071" width="10.85546875" style="1405" bestFit="1" customWidth="1"/>
    <col min="13072" max="13077" width="0" style="1405" hidden="1" customWidth="1"/>
    <col min="13078" max="13078" width="12.5703125" style="1405" customWidth="1"/>
    <col min="13079" max="13079" width="12.85546875" style="1405" bestFit="1" customWidth="1"/>
    <col min="13080" max="13080" width="12" style="1405" bestFit="1" customWidth="1"/>
    <col min="13081" max="13081" width="12.85546875" style="1405" customWidth="1"/>
    <col min="13082" max="13082" width="3" style="1405" customWidth="1"/>
    <col min="13083" max="13085" width="0" style="1405" hidden="1" customWidth="1"/>
    <col min="13086" max="13086" width="6.5703125" style="1405" customWidth="1"/>
    <col min="13087" max="13087" width="10" style="1405" customWidth="1"/>
    <col min="13088" max="13088" width="10.7109375" style="1405" customWidth="1"/>
    <col min="13089" max="13089" width="9.28515625" style="1405" customWidth="1"/>
    <col min="13090" max="13090" width="10.42578125" style="1405" customWidth="1"/>
    <col min="13091" max="13091" width="6.28515625" style="1405" customWidth="1"/>
    <col min="13092" max="13092" width="4.5703125" style="1405" customWidth="1"/>
    <col min="13093" max="13093" width="61.85546875" style="1405" customWidth="1"/>
    <col min="13094" max="13095" width="11.42578125" style="1405"/>
    <col min="13096" max="13096" width="38.5703125" style="1405" customWidth="1"/>
    <col min="13097" max="13097" width="24.28515625" style="1405" customWidth="1"/>
    <col min="13098" max="13312" width="11.42578125" style="1405"/>
    <col min="13313" max="13313" width="4.7109375" style="1405" customWidth="1"/>
    <col min="13314" max="13314" width="7" style="1405" customWidth="1"/>
    <col min="13315" max="13315" width="34.28515625" style="1405" customWidth="1"/>
    <col min="13316" max="13325" width="0" style="1405" hidden="1" customWidth="1"/>
    <col min="13326" max="13326" width="11.7109375" style="1405" bestFit="1" customWidth="1"/>
    <col min="13327" max="13327" width="10.85546875" style="1405" bestFit="1" customWidth="1"/>
    <col min="13328" max="13333" width="0" style="1405" hidden="1" customWidth="1"/>
    <col min="13334" max="13334" width="12.5703125" style="1405" customWidth="1"/>
    <col min="13335" max="13335" width="12.85546875" style="1405" bestFit="1" customWidth="1"/>
    <col min="13336" max="13336" width="12" style="1405" bestFit="1" customWidth="1"/>
    <col min="13337" max="13337" width="12.85546875" style="1405" customWidth="1"/>
    <col min="13338" max="13338" width="3" style="1405" customWidth="1"/>
    <col min="13339" max="13341" width="0" style="1405" hidden="1" customWidth="1"/>
    <col min="13342" max="13342" width="6.5703125" style="1405" customWidth="1"/>
    <col min="13343" max="13343" width="10" style="1405" customWidth="1"/>
    <col min="13344" max="13344" width="10.7109375" style="1405" customWidth="1"/>
    <col min="13345" max="13345" width="9.28515625" style="1405" customWidth="1"/>
    <col min="13346" max="13346" width="10.42578125" style="1405" customWidth="1"/>
    <col min="13347" max="13347" width="6.28515625" style="1405" customWidth="1"/>
    <col min="13348" max="13348" width="4.5703125" style="1405" customWidth="1"/>
    <col min="13349" max="13349" width="61.85546875" style="1405" customWidth="1"/>
    <col min="13350" max="13351" width="11.42578125" style="1405"/>
    <col min="13352" max="13352" width="38.5703125" style="1405" customWidth="1"/>
    <col min="13353" max="13353" width="24.28515625" style="1405" customWidth="1"/>
    <col min="13354" max="13568" width="11.42578125" style="1405"/>
    <col min="13569" max="13569" width="4.7109375" style="1405" customWidth="1"/>
    <col min="13570" max="13570" width="7" style="1405" customWidth="1"/>
    <col min="13571" max="13571" width="34.28515625" style="1405" customWidth="1"/>
    <col min="13572" max="13581" width="0" style="1405" hidden="1" customWidth="1"/>
    <col min="13582" max="13582" width="11.7109375" style="1405" bestFit="1" customWidth="1"/>
    <col min="13583" max="13583" width="10.85546875" style="1405" bestFit="1" customWidth="1"/>
    <col min="13584" max="13589" width="0" style="1405" hidden="1" customWidth="1"/>
    <col min="13590" max="13590" width="12.5703125" style="1405" customWidth="1"/>
    <col min="13591" max="13591" width="12.85546875" style="1405" bestFit="1" customWidth="1"/>
    <col min="13592" max="13592" width="12" style="1405" bestFit="1" customWidth="1"/>
    <col min="13593" max="13593" width="12.85546875" style="1405" customWidth="1"/>
    <col min="13594" max="13594" width="3" style="1405" customWidth="1"/>
    <col min="13595" max="13597" width="0" style="1405" hidden="1" customWidth="1"/>
    <col min="13598" max="13598" width="6.5703125" style="1405" customWidth="1"/>
    <col min="13599" max="13599" width="10" style="1405" customWidth="1"/>
    <col min="13600" max="13600" width="10.7109375" style="1405" customWidth="1"/>
    <col min="13601" max="13601" width="9.28515625" style="1405" customWidth="1"/>
    <col min="13602" max="13602" width="10.42578125" style="1405" customWidth="1"/>
    <col min="13603" max="13603" width="6.28515625" style="1405" customWidth="1"/>
    <col min="13604" max="13604" width="4.5703125" style="1405" customWidth="1"/>
    <col min="13605" max="13605" width="61.85546875" style="1405" customWidth="1"/>
    <col min="13606" max="13607" width="11.42578125" style="1405"/>
    <col min="13608" max="13608" width="38.5703125" style="1405" customWidth="1"/>
    <col min="13609" max="13609" width="24.28515625" style="1405" customWidth="1"/>
    <col min="13610" max="13824" width="11.42578125" style="1405"/>
    <col min="13825" max="13825" width="4.7109375" style="1405" customWidth="1"/>
    <col min="13826" max="13826" width="7" style="1405" customWidth="1"/>
    <col min="13827" max="13827" width="34.28515625" style="1405" customWidth="1"/>
    <col min="13828" max="13837" width="0" style="1405" hidden="1" customWidth="1"/>
    <col min="13838" max="13838" width="11.7109375" style="1405" bestFit="1" customWidth="1"/>
    <col min="13839" max="13839" width="10.85546875" style="1405" bestFit="1" customWidth="1"/>
    <col min="13840" max="13845" width="0" style="1405" hidden="1" customWidth="1"/>
    <col min="13846" max="13846" width="12.5703125" style="1405" customWidth="1"/>
    <col min="13847" max="13847" width="12.85546875" style="1405" bestFit="1" customWidth="1"/>
    <col min="13848" max="13848" width="12" style="1405" bestFit="1" customWidth="1"/>
    <col min="13849" max="13849" width="12.85546875" style="1405" customWidth="1"/>
    <col min="13850" max="13850" width="3" style="1405" customWidth="1"/>
    <col min="13851" max="13853" width="0" style="1405" hidden="1" customWidth="1"/>
    <col min="13854" max="13854" width="6.5703125" style="1405" customWidth="1"/>
    <col min="13855" max="13855" width="10" style="1405" customWidth="1"/>
    <col min="13856" max="13856" width="10.7109375" style="1405" customWidth="1"/>
    <col min="13857" max="13857" width="9.28515625" style="1405" customWidth="1"/>
    <col min="13858" max="13858" width="10.42578125" style="1405" customWidth="1"/>
    <col min="13859" max="13859" width="6.28515625" style="1405" customWidth="1"/>
    <col min="13860" max="13860" width="4.5703125" style="1405" customWidth="1"/>
    <col min="13861" max="13861" width="61.85546875" style="1405" customWidth="1"/>
    <col min="13862" max="13863" width="11.42578125" style="1405"/>
    <col min="13864" max="13864" width="38.5703125" style="1405" customWidth="1"/>
    <col min="13865" max="13865" width="24.28515625" style="1405" customWidth="1"/>
    <col min="13866" max="14080" width="11.42578125" style="1405"/>
    <col min="14081" max="14081" width="4.7109375" style="1405" customWidth="1"/>
    <col min="14082" max="14082" width="7" style="1405" customWidth="1"/>
    <col min="14083" max="14083" width="34.28515625" style="1405" customWidth="1"/>
    <col min="14084" max="14093" width="0" style="1405" hidden="1" customWidth="1"/>
    <col min="14094" max="14094" width="11.7109375" style="1405" bestFit="1" customWidth="1"/>
    <col min="14095" max="14095" width="10.85546875" style="1405" bestFit="1" customWidth="1"/>
    <col min="14096" max="14101" width="0" style="1405" hidden="1" customWidth="1"/>
    <col min="14102" max="14102" width="12.5703125" style="1405" customWidth="1"/>
    <col min="14103" max="14103" width="12.85546875" style="1405" bestFit="1" customWidth="1"/>
    <col min="14104" max="14104" width="12" style="1405" bestFit="1" customWidth="1"/>
    <col min="14105" max="14105" width="12.85546875" style="1405" customWidth="1"/>
    <col min="14106" max="14106" width="3" style="1405" customWidth="1"/>
    <col min="14107" max="14109" width="0" style="1405" hidden="1" customWidth="1"/>
    <col min="14110" max="14110" width="6.5703125" style="1405" customWidth="1"/>
    <col min="14111" max="14111" width="10" style="1405" customWidth="1"/>
    <col min="14112" max="14112" width="10.7109375" style="1405" customWidth="1"/>
    <col min="14113" max="14113" width="9.28515625" style="1405" customWidth="1"/>
    <col min="14114" max="14114" width="10.42578125" style="1405" customWidth="1"/>
    <col min="14115" max="14115" width="6.28515625" style="1405" customWidth="1"/>
    <col min="14116" max="14116" width="4.5703125" style="1405" customWidth="1"/>
    <col min="14117" max="14117" width="61.85546875" style="1405" customWidth="1"/>
    <col min="14118" max="14119" width="11.42578125" style="1405"/>
    <col min="14120" max="14120" width="38.5703125" style="1405" customWidth="1"/>
    <col min="14121" max="14121" width="24.28515625" style="1405" customWidth="1"/>
    <col min="14122" max="14336" width="11.42578125" style="1405"/>
    <col min="14337" max="14337" width="4.7109375" style="1405" customWidth="1"/>
    <col min="14338" max="14338" width="7" style="1405" customWidth="1"/>
    <col min="14339" max="14339" width="34.28515625" style="1405" customWidth="1"/>
    <col min="14340" max="14349" width="0" style="1405" hidden="1" customWidth="1"/>
    <col min="14350" max="14350" width="11.7109375" style="1405" bestFit="1" customWidth="1"/>
    <col min="14351" max="14351" width="10.85546875" style="1405" bestFit="1" customWidth="1"/>
    <col min="14352" max="14357" width="0" style="1405" hidden="1" customWidth="1"/>
    <col min="14358" max="14358" width="12.5703125" style="1405" customWidth="1"/>
    <col min="14359" max="14359" width="12.85546875" style="1405" bestFit="1" customWidth="1"/>
    <col min="14360" max="14360" width="12" style="1405" bestFit="1" customWidth="1"/>
    <col min="14361" max="14361" width="12.85546875" style="1405" customWidth="1"/>
    <col min="14362" max="14362" width="3" style="1405" customWidth="1"/>
    <col min="14363" max="14365" width="0" style="1405" hidden="1" customWidth="1"/>
    <col min="14366" max="14366" width="6.5703125" style="1405" customWidth="1"/>
    <col min="14367" max="14367" width="10" style="1405" customWidth="1"/>
    <col min="14368" max="14368" width="10.7109375" style="1405" customWidth="1"/>
    <col min="14369" max="14369" width="9.28515625" style="1405" customWidth="1"/>
    <col min="14370" max="14370" width="10.42578125" style="1405" customWidth="1"/>
    <col min="14371" max="14371" width="6.28515625" style="1405" customWidth="1"/>
    <col min="14372" max="14372" width="4.5703125" style="1405" customWidth="1"/>
    <col min="14373" max="14373" width="61.85546875" style="1405" customWidth="1"/>
    <col min="14374" max="14375" width="11.42578125" style="1405"/>
    <col min="14376" max="14376" width="38.5703125" style="1405" customWidth="1"/>
    <col min="14377" max="14377" width="24.28515625" style="1405" customWidth="1"/>
    <col min="14378" max="14592" width="11.42578125" style="1405"/>
    <col min="14593" max="14593" width="4.7109375" style="1405" customWidth="1"/>
    <col min="14594" max="14594" width="7" style="1405" customWidth="1"/>
    <col min="14595" max="14595" width="34.28515625" style="1405" customWidth="1"/>
    <col min="14596" max="14605" width="0" style="1405" hidden="1" customWidth="1"/>
    <col min="14606" max="14606" width="11.7109375" style="1405" bestFit="1" customWidth="1"/>
    <col min="14607" max="14607" width="10.85546875" style="1405" bestFit="1" customWidth="1"/>
    <col min="14608" max="14613" width="0" style="1405" hidden="1" customWidth="1"/>
    <col min="14614" max="14614" width="12.5703125" style="1405" customWidth="1"/>
    <col min="14615" max="14615" width="12.85546875" style="1405" bestFit="1" customWidth="1"/>
    <col min="14616" max="14616" width="12" style="1405" bestFit="1" customWidth="1"/>
    <col min="14617" max="14617" width="12.85546875" style="1405" customWidth="1"/>
    <col min="14618" max="14618" width="3" style="1405" customWidth="1"/>
    <col min="14619" max="14621" width="0" style="1405" hidden="1" customWidth="1"/>
    <col min="14622" max="14622" width="6.5703125" style="1405" customWidth="1"/>
    <col min="14623" max="14623" width="10" style="1405" customWidth="1"/>
    <col min="14624" max="14624" width="10.7109375" style="1405" customWidth="1"/>
    <col min="14625" max="14625" width="9.28515625" style="1405" customWidth="1"/>
    <col min="14626" max="14626" width="10.42578125" style="1405" customWidth="1"/>
    <col min="14627" max="14627" width="6.28515625" style="1405" customWidth="1"/>
    <col min="14628" max="14628" width="4.5703125" style="1405" customWidth="1"/>
    <col min="14629" max="14629" width="61.85546875" style="1405" customWidth="1"/>
    <col min="14630" max="14631" width="11.42578125" style="1405"/>
    <col min="14632" max="14632" width="38.5703125" style="1405" customWidth="1"/>
    <col min="14633" max="14633" width="24.28515625" style="1405" customWidth="1"/>
    <col min="14634" max="14848" width="11.42578125" style="1405"/>
    <col min="14849" max="14849" width="4.7109375" style="1405" customWidth="1"/>
    <col min="14850" max="14850" width="7" style="1405" customWidth="1"/>
    <col min="14851" max="14851" width="34.28515625" style="1405" customWidth="1"/>
    <col min="14852" max="14861" width="0" style="1405" hidden="1" customWidth="1"/>
    <col min="14862" max="14862" width="11.7109375" style="1405" bestFit="1" customWidth="1"/>
    <col min="14863" max="14863" width="10.85546875" style="1405" bestFit="1" customWidth="1"/>
    <col min="14864" max="14869" width="0" style="1405" hidden="1" customWidth="1"/>
    <col min="14870" max="14870" width="12.5703125" style="1405" customWidth="1"/>
    <col min="14871" max="14871" width="12.85546875" style="1405" bestFit="1" customWidth="1"/>
    <col min="14872" max="14872" width="12" style="1405" bestFit="1" customWidth="1"/>
    <col min="14873" max="14873" width="12.85546875" style="1405" customWidth="1"/>
    <col min="14874" max="14874" width="3" style="1405" customWidth="1"/>
    <col min="14875" max="14877" width="0" style="1405" hidden="1" customWidth="1"/>
    <col min="14878" max="14878" width="6.5703125" style="1405" customWidth="1"/>
    <col min="14879" max="14879" width="10" style="1405" customWidth="1"/>
    <col min="14880" max="14880" width="10.7109375" style="1405" customWidth="1"/>
    <col min="14881" max="14881" width="9.28515625" style="1405" customWidth="1"/>
    <col min="14882" max="14882" width="10.42578125" style="1405" customWidth="1"/>
    <col min="14883" max="14883" width="6.28515625" style="1405" customWidth="1"/>
    <col min="14884" max="14884" width="4.5703125" style="1405" customWidth="1"/>
    <col min="14885" max="14885" width="61.85546875" style="1405" customWidth="1"/>
    <col min="14886" max="14887" width="11.42578125" style="1405"/>
    <col min="14888" max="14888" width="38.5703125" style="1405" customWidth="1"/>
    <col min="14889" max="14889" width="24.28515625" style="1405" customWidth="1"/>
    <col min="14890" max="15104" width="11.42578125" style="1405"/>
    <col min="15105" max="15105" width="4.7109375" style="1405" customWidth="1"/>
    <col min="15106" max="15106" width="7" style="1405" customWidth="1"/>
    <col min="15107" max="15107" width="34.28515625" style="1405" customWidth="1"/>
    <col min="15108" max="15117" width="0" style="1405" hidden="1" customWidth="1"/>
    <col min="15118" max="15118" width="11.7109375" style="1405" bestFit="1" customWidth="1"/>
    <col min="15119" max="15119" width="10.85546875" style="1405" bestFit="1" customWidth="1"/>
    <col min="15120" max="15125" width="0" style="1405" hidden="1" customWidth="1"/>
    <col min="15126" max="15126" width="12.5703125" style="1405" customWidth="1"/>
    <col min="15127" max="15127" width="12.85546875" style="1405" bestFit="1" customWidth="1"/>
    <col min="15128" max="15128" width="12" style="1405" bestFit="1" customWidth="1"/>
    <col min="15129" max="15129" width="12.85546875" style="1405" customWidth="1"/>
    <col min="15130" max="15130" width="3" style="1405" customWidth="1"/>
    <col min="15131" max="15133" width="0" style="1405" hidden="1" customWidth="1"/>
    <col min="15134" max="15134" width="6.5703125" style="1405" customWidth="1"/>
    <col min="15135" max="15135" width="10" style="1405" customWidth="1"/>
    <col min="15136" max="15136" width="10.7109375" style="1405" customWidth="1"/>
    <col min="15137" max="15137" width="9.28515625" style="1405" customWidth="1"/>
    <col min="15138" max="15138" width="10.42578125" style="1405" customWidth="1"/>
    <col min="15139" max="15139" width="6.28515625" style="1405" customWidth="1"/>
    <col min="15140" max="15140" width="4.5703125" style="1405" customWidth="1"/>
    <col min="15141" max="15141" width="61.85546875" style="1405" customWidth="1"/>
    <col min="15142" max="15143" width="11.42578125" style="1405"/>
    <col min="15144" max="15144" width="38.5703125" style="1405" customWidth="1"/>
    <col min="15145" max="15145" width="24.28515625" style="1405" customWidth="1"/>
    <col min="15146" max="15360" width="11.42578125" style="1405"/>
    <col min="15361" max="15361" width="4.7109375" style="1405" customWidth="1"/>
    <col min="15362" max="15362" width="7" style="1405" customWidth="1"/>
    <col min="15363" max="15363" width="34.28515625" style="1405" customWidth="1"/>
    <col min="15364" max="15373" width="0" style="1405" hidden="1" customWidth="1"/>
    <col min="15374" max="15374" width="11.7109375" style="1405" bestFit="1" customWidth="1"/>
    <col min="15375" max="15375" width="10.85546875" style="1405" bestFit="1" customWidth="1"/>
    <col min="15376" max="15381" width="0" style="1405" hidden="1" customWidth="1"/>
    <col min="15382" max="15382" width="12.5703125" style="1405" customWidth="1"/>
    <col min="15383" max="15383" width="12.85546875" style="1405" bestFit="1" customWidth="1"/>
    <col min="15384" max="15384" width="12" style="1405" bestFit="1" customWidth="1"/>
    <col min="15385" max="15385" width="12.85546875" style="1405" customWidth="1"/>
    <col min="15386" max="15386" width="3" style="1405" customWidth="1"/>
    <col min="15387" max="15389" width="0" style="1405" hidden="1" customWidth="1"/>
    <col min="15390" max="15390" width="6.5703125" style="1405" customWidth="1"/>
    <col min="15391" max="15391" width="10" style="1405" customWidth="1"/>
    <col min="15392" max="15392" width="10.7109375" style="1405" customWidth="1"/>
    <col min="15393" max="15393" width="9.28515625" style="1405" customWidth="1"/>
    <col min="15394" max="15394" width="10.42578125" style="1405" customWidth="1"/>
    <col min="15395" max="15395" width="6.28515625" style="1405" customWidth="1"/>
    <col min="15396" max="15396" width="4.5703125" style="1405" customWidth="1"/>
    <col min="15397" max="15397" width="61.85546875" style="1405" customWidth="1"/>
    <col min="15398" max="15399" width="11.42578125" style="1405"/>
    <col min="15400" max="15400" width="38.5703125" style="1405" customWidth="1"/>
    <col min="15401" max="15401" width="24.28515625" style="1405" customWidth="1"/>
    <col min="15402" max="15616" width="11.42578125" style="1405"/>
    <col min="15617" max="15617" width="4.7109375" style="1405" customWidth="1"/>
    <col min="15618" max="15618" width="7" style="1405" customWidth="1"/>
    <col min="15619" max="15619" width="34.28515625" style="1405" customWidth="1"/>
    <col min="15620" max="15629" width="0" style="1405" hidden="1" customWidth="1"/>
    <col min="15630" max="15630" width="11.7109375" style="1405" bestFit="1" customWidth="1"/>
    <col min="15631" max="15631" width="10.85546875" style="1405" bestFit="1" customWidth="1"/>
    <col min="15632" max="15637" width="0" style="1405" hidden="1" customWidth="1"/>
    <col min="15638" max="15638" width="12.5703125" style="1405" customWidth="1"/>
    <col min="15639" max="15639" width="12.85546875" style="1405" bestFit="1" customWidth="1"/>
    <col min="15640" max="15640" width="12" style="1405" bestFit="1" customWidth="1"/>
    <col min="15641" max="15641" width="12.85546875" style="1405" customWidth="1"/>
    <col min="15642" max="15642" width="3" style="1405" customWidth="1"/>
    <col min="15643" max="15645" width="0" style="1405" hidden="1" customWidth="1"/>
    <col min="15646" max="15646" width="6.5703125" style="1405" customWidth="1"/>
    <col min="15647" max="15647" width="10" style="1405" customWidth="1"/>
    <col min="15648" max="15648" width="10.7109375" style="1405" customWidth="1"/>
    <col min="15649" max="15649" width="9.28515625" style="1405" customWidth="1"/>
    <col min="15650" max="15650" width="10.42578125" style="1405" customWidth="1"/>
    <col min="15651" max="15651" width="6.28515625" style="1405" customWidth="1"/>
    <col min="15652" max="15652" width="4.5703125" style="1405" customWidth="1"/>
    <col min="15653" max="15653" width="61.85546875" style="1405" customWidth="1"/>
    <col min="15654" max="15655" width="11.42578125" style="1405"/>
    <col min="15656" max="15656" width="38.5703125" style="1405" customWidth="1"/>
    <col min="15657" max="15657" width="24.28515625" style="1405" customWidth="1"/>
    <col min="15658" max="15872" width="11.42578125" style="1405"/>
    <col min="15873" max="15873" width="4.7109375" style="1405" customWidth="1"/>
    <col min="15874" max="15874" width="7" style="1405" customWidth="1"/>
    <col min="15875" max="15875" width="34.28515625" style="1405" customWidth="1"/>
    <col min="15876" max="15885" width="0" style="1405" hidden="1" customWidth="1"/>
    <col min="15886" max="15886" width="11.7109375" style="1405" bestFit="1" customWidth="1"/>
    <col min="15887" max="15887" width="10.85546875" style="1405" bestFit="1" customWidth="1"/>
    <col min="15888" max="15893" width="0" style="1405" hidden="1" customWidth="1"/>
    <col min="15894" max="15894" width="12.5703125" style="1405" customWidth="1"/>
    <col min="15895" max="15895" width="12.85546875" style="1405" bestFit="1" customWidth="1"/>
    <col min="15896" max="15896" width="12" style="1405" bestFit="1" customWidth="1"/>
    <col min="15897" max="15897" width="12.85546875" style="1405" customWidth="1"/>
    <col min="15898" max="15898" width="3" style="1405" customWidth="1"/>
    <col min="15899" max="15901" width="0" style="1405" hidden="1" customWidth="1"/>
    <col min="15902" max="15902" width="6.5703125" style="1405" customWidth="1"/>
    <col min="15903" max="15903" width="10" style="1405" customWidth="1"/>
    <col min="15904" max="15904" width="10.7109375" style="1405" customWidth="1"/>
    <col min="15905" max="15905" width="9.28515625" style="1405" customWidth="1"/>
    <col min="15906" max="15906" width="10.42578125" style="1405" customWidth="1"/>
    <col min="15907" max="15907" width="6.28515625" style="1405" customWidth="1"/>
    <col min="15908" max="15908" width="4.5703125" style="1405" customWidth="1"/>
    <col min="15909" max="15909" width="61.85546875" style="1405" customWidth="1"/>
    <col min="15910" max="15911" width="11.42578125" style="1405"/>
    <col min="15912" max="15912" width="38.5703125" style="1405" customWidth="1"/>
    <col min="15913" max="15913" width="24.28515625" style="1405" customWidth="1"/>
    <col min="15914" max="16128" width="11.42578125" style="1405"/>
    <col min="16129" max="16129" width="4.7109375" style="1405" customWidth="1"/>
    <col min="16130" max="16130" width="7" style="1405" customWidth="1"/>
    <col min="16131" max="16131" width="34.28515625" style="1405" customWidth="1"/>
    <col min="16132" max="16141" width="0" style="1405" hidden="1" customWidth="1"/>
    <col min="16142" max="16142" width="11.7109375" style="1405" bestFit="1" customWidth="1"/>
    <col min="16143" max="16143" width="10.85546875" style="1405" bestFit="1" customWidth="1"/>
    <col min="16144" max="16149" width="0" style="1405" hidden="1" customWidth="1"/>
    <col min="16150" max="16150" width="12.5703125" style="1405" customWidth="1"/>
    <col min="16151" max="16151" width="12.85546875" style="1405" bestFit="1" customWidth="1"/>
    <col min="16152" max="16152" width="12" style="1405" bestFit="1" customWidth="1"/>
    <col min="16153" max="16153" width="12.85546875" style="1405" customWidth="1"/>
    <col min="16154" max="16154" width="3" style="1405" customWidth="1"/>
    <col min="16155" max="16157" width="0" style="1405" hidden="1" customWidth="1"/>
    <col min="16158" max="16158" width="6.5703125" style="1405" customWidth="1"/>
    <col min="16159" max="16159" width="10" style="1405" customWidth="1"/>
    <col min="16160" max="16160" width="10.7109375" style="1405" customWidth="1"/>
    <col min="16161" max="16161" width="9.28515625" style="1405" customWidth="1"/>
    <col min="16162" max="16162" width="10.42578125" style="1405" customWidth="1"/>
    <col min="16163" max="16163" width="6.28515625" style="1405" customWidth="1"/>
    <col min="16164" max="16164" width="4.5703125" style="1405" customWidth="1"/>
    <col min="16165" max="16165" width="61.85546875" style="1405" customWidth="1"/>
    <col min="16166" max="16167" width="11.42578125" style="1405"/>
    <col min="16168" max="16168" width="38.5703125" style="1405" customWidth="1"/>
    <col min="16169" max="16169" width="24.28515625" style="1405" customWidth="1"/>
    <col min="16170" max="16384" width="11.42578125" style="1405"/>
  </cols>
  <sheetData>
    <row r="1" spans="1:46" ht="12.75">
      <c r="A1" s="1969" t="s">
        <v>2992</v>
      </c>
      <c r="B1" s="1969"/>
      <c r="C1" s="1969"/>
      <c r="D1" s="1969"/>
      <c r="E1" s="1969"/>
      <c r="F1" s="1969"/>
      <c r="G1" s="1969"/>
      <c r="H1" s="1969"/>
      <c r="I1" s="1969"/>
      <c r="J1" s="1969"/>
      <c r="K1" s="1969"/>
      <c r="L1" s="1969"/>
      <c r="M1" s="1969"/>
      <c r="N1" s="1969"/>
      <c r="O1" s="1969"/>
      <c r="P1" s="1969"/>
      <c r="Q1" s="1969"/>
      <c r="R1" s="1969"/>
      <c r="S1" s="1969"/>
      <c r="T1" s="1969"/>
      <c r="U1" s="1969"/>
      <c r="V1" s="1969"/>
      <c r="W1" s="1969"/>
      <c r="X1" s="1969"/>
      <c r="Y1" s="1969"/>
    </row>
    <row r="2" spans="1:46" ht="12">
      <c r="A2" s="1970" t="s">
        <v>6952</v>
      </c>
      <c r="B2" s="1970"/>
      <c r="C2" s="1970"/>
      <c r="D2" s="1970"/>
      <c r="E2" s="1970"/>
      <c r="F2" s="1970"/>
      <c r="G2" s="1970"/>
      <c r="H2" s="1970"/>
      <c r="I2" s="1970"/>
      <c r="J2" s="1970"/>
      <c r="K2" s="1970"/>
      <c r="L2" s="1970"/>
      <c r="M2" s="1970"/>
      <c r="N2" s="1970"/>
      <c r="O2" s="1970"/>
      <c r="P2" s="1970"/>
      <c r="Q2" s="1970"/>
      <c r="R2" s="1970"/>
      <c r="S2" s="1970"/>
      <c r="T2" s="1970"/>
      <c r="U2" s="1970"/>
      <c r="V2" s="1970"/>
      <c r="W2" s="1970"/>
      <c r="X2" s="1970"/>
      <c r="Y2" s="1970"/>
    </row>
    <row r="3" spans="1:46">
      <c r="A3" s="1406"/>
      <c r="B3" s="1406"/>
      <c r="C3" s="1406"/>
      <c r="D3" s="1406"/>
      <c r="E3" s="1406"/>
      <c r="F3" s="1406"/>
      <c r="G3" s="1406"/>
      <c r="H3" s="1406"/>
      <c r="I3" s="1406"/>
      <c r="J3" s="1406"/>
      <c r="K3" s="1407"/>
      <c r="L3" s="1406"/>
      <c r="M3" s="1406"/>
      <c r="N3" s="1406"/>
      <c r="O3" s="1406"/>
      <c r="P3" s="1406"/>
      <c r="Q3" s="1406"/>
      <c r="R3" s="1406"/>
    </row>
    <row r="4" spans="1:46">
      <c r="A4" s="1960" t="s">
        <v>79</v>
      </c>
      <c r="B4" s="1961"/>
      <c r="C4" s="1961"/>
      <c r="D4" s="1961"/>
      <c r="E4" s="1961"/>
      <c r="F4" s="1961"/>
      <c r="G4" s="1961"/>
      <c r="H4" s="1961"/>
      <c r="I4" s="1961"/>
      <c r="J4" s="1961"/>
      <c r="K4" s="1961"/>
      <c r="L4" s="1961"/>
      <c r="M4" s="1961"/>
      <c r="N4" s="1961"/>
      <c r="O4" s="1962"/>
      <c r="P4" s="1408"/>
      <c r="Q4" s="1409"/>
      <c r="R4" s="1410"/>
      <c r="S4" s="1411"/>
      <c r="T4" s="1412"/>
      <c r="U4" s="1410"/>
      <c r="V4" s="789"/>
      <c r="W4" s="790"/>
      <c r="X4" s="790"/>
      <c r="Y4" s="791"/>
      <c r="AB4" s="1413"/>
      <c r="AC4" s="1413"/>
      <c r="AG4" s="1414">
        <v>3067647.87</v>
      </c>
    </row>
    <row r="5" spans="1:46" ht="15" customHeight="1">
      <c r="A5" s="1415"/>
      <c r="B5" s="1416"/>
      <c r="C5" s="1417" t="s">
        <v>256</v>
      </c>
      <c r="D5" s="1417" t="s">
        <v>257</v>
      </c>
      <c r="E5" s="1418" t="s">
        <v>258</v>
      </c>
      <c r="F5" s="1418" t="s">
        <v>259</v>
      </c>
      <c r="G5" s="1418" t="s">
        <v>260</v>
      </c>
      <c r="H5" s="1418" t="s">
        <v>261</v>
      </c>
      <c r="I5" s="1418" t="s">
        <v>262</v>
      </c>
      <c r="J5" s="1418" t="s">
        <v>263</v>
      </c>
      <c r="K5" s="1963" t="s">
        <v>264</v>
      </c>
      <c r="L5" s="1964"/>
      <c r="M5" s="1964"/>
      <c r="N5" s="1964" t="s">
        <v>265</v>
      </c>
      <c r="O5" s="1965"/>
      <c r="P5" s="1419"/>
      <c r="Q5" s="1420"/>
      <c r="R5" s="1421" t="s">
        <v>266</v>
      </c>
      <c r="S5" s="1421" t="s">
        <v>267</v>
      </c>
      <c r="T5" s="1421"/>
      <c r="U5" s="1421"/>
      <c r="V5" s="1966" t="s">
        <v>268</v>
      </c>
      <c r="W5" s="1967"/>
      <c r="X5" s="1967"/>
      <c r="Y5" s="1968"/>
      <c r="AB5" s="1413"/>
      <c r="AC5" s="1413"/>
      <c r="AF5" s="1422">
        <f>SUM(AE7:AE20)</f>
        <v>62205.16</v>
      </c>
      <c r="AG5" s="1423"/>
      <c r="AK5" s="1424" t="s">
        <v>5581</v>
      </c>
      <c r="AL5" s="1425" t="s">
        <v>5582</v>
      </c>
      <c r="AM5" s="1426" t="s">
        <v>5583</v>
      </c>
      <c r="AN5" s="1425" t="s">
        <v>5584</v>
      </c>
      <c r="AO5" s="1425" t="s">
        <v>5585</v>
      </c>
      <c r="AP5" s="1425" t="s">
        <v>5586</v>
      </c>
      <c r="AQ5" s="1425" t="s">
        <v>5587</v>
      </c>
      <c r="AR5" s="1425" t="s">
        <v>5588</v>
      </c>
      <c r="AS5" s="1425" t="s">
        <v>5589</v>
      </c>
      <c r="AT5" s="1425" t="s">
        <v>5590</v>
      </c>
    </row>
    <row r="6" spans="1:46" ht="13.5" customHeight="1">
      <c r="A6" s="1427" t="s">
        <v>269</v>
      </c>
      <c r="B6" s="1421" t="s">
        <v>270</v>
      </c>
      <c r="C6" s="1427" t="s">
        <v>271</v>
      </c>
      <c r="D6" s="1427"/>
      <c r="E6" s="1427"/>
      <c r="F6" s="1427"/>
      <c r="G6" s="1427"/>
      <c r="H6" s="1427"/>
      <c r="I6" s="1427"/>
      <c r="J6" s="1427"/>
      <c r="K6" s="1421" t="s">
        <v>272</v>
      </c>
      <c r="L6" s="1420" t="s">
        <v>273</v>
      </c>
      <c r="M6" s="1421" t="s">
        <v>274</v>
      </c>
      <c r="N6" s="1421" t="s">
        <v>275</v>
      </c>
      <c r="O6" s="1421" t="s">
        <v>276</v>
      </c>
      <c r="P6" s="1428" t="s">
        <v>277</v>
      </c>
      <c r="Q6" s="1428" t="s">
        <v>278</v>
      </c>
      <c r="R6" s="1429" t="s">
        <v>279</v>
      </c>
      <c r="S6" s="1429" t="s">
        <v>280</v>
      </c>
      <c r="T6" s="1429" t="s">
        <v>281</v>
      </c>
      <c r="U6" s="1429" t="s">
        <v>282</v>
      </c>
      <c r="V6" s="792" t="s">
        <v>283</v>
      </c>
      <c r="W6" s="792" t="s">
        <v>284</v>
      </c>
      <c r="X6" s="792" t="s">
        <v>285</v>
      </c>
      <c r="Y6" s="792" t="s">
        <v>286</v>
      </c>
      <c r="AB6" s="1413"/>
      <c r="AC6" s="1413"/>
      <c r="AF6" s="1423">
        <v>1</v>
      </c>
      <c r="AG6" s="1405" t="s">
        <v>287</v>
      </c>
      <c r="AK6" s="1424"/>
      <c r="AL6" s="1425"/>
      <c r="AM6" s="1426"/>
      <c r="AN6" s="1425"/>
      <c r="AO6" s="1425"/>
      <c r="AP6" s="1425"/>
      <c r="AQ6" s="1425"/>
      <c r="AR6" s="1425"/>
      <c r="AS6" s="1425"/>
      <c r="AT6" s="1425"/>
    </row>
    <row r="7" spans="1:46" ht="13.5" customHeight="1">
      <c r="A7" s="1430">
        <v>2</v>
      </c>
      <c r="B7" s="1431" t="s">
        <v>288</v>
      </c>
      <c r="C7" s="1430" t="s">
        <v>289</v>
      </c>
      <c r="D7" s="1430"/>
      <c r="E7" s="1430"/>
      <c r="F7" s="1430"/>
      <c r="G7" s="1430"/>
      <c r="H7" s="1430"/>
      <c r="I7" s="1430"/>
      <c r="J7" s="1430"/>
      <c r="K7" s="1432" t="s">
        <v>290</v>
      </c>
      <c r="L7" s="1433"/>
      <c r="M7" s="1433">
        <v>1236</v>
      </c>
      <c r="N7" s="1433">
        <f>+M7</f>
        <v>1236</v>
      </c>
      <c r="O7" s="1434"/>
      <c r="P7" s="1433">
        <v>676339.19999999995</v>
      </c>
      <c r="Q7" s="1433">
        <v>1236</v>
      </c>
      <c r="R7" s="793">
        <v>676339.19999999995</v>
      </c>
      <c r="S7" s="1435">
        <f>+P7/Q7</f>
        <v>547.19999999999993</v>
      </c>
      <c r="T7" s="1436" t="s">
        <v>291</v>
      </c>
      <c r="U7" s="1437">
        <v>38581</v>
      </c>
      <c r="V7" s="793">
        <f>+R7+2350.41+5484.27+6528.66-6528.66+2990.14+62304.34+2075.24+6142.59+5023.66+8195.1+1794.69+10309.01+53190.55+52646.07+5296.13+14682.25+58031.98+21726.5+1707.22+4172.55+18779.21+25066.39+47222.18+395416.27+34545.28+16669.22+731067+44123.4+7355.34+9004.01+4808.11+13993.87+8196.97+10343.04+6907.72+2885.33+4870.42+427.2+25012.39+28948.45+5350.33+24640.44+4773.29+28341.43+8983.92+60953.35</f>
        <v>2563146.4600000009</v>
      </c>
      <c r="W7" s="793"/>
      <c r="X7" s="793"/>
      <c r="Y7" s="793"/>
      <c r="Z7" s="1405" t="s">
        <v>292</v>
      </c>
      <c r="AA7" s="1405" t="s">
        <v>293</v>
      </c>
      <c r="AB7" s="1413"/>
      <c r="AC7" s="1413"/>
      <c r="AE7" s="1422">
        <f>N7</f>
        <v>1236</v>
      </c>
      <c r="AF7" s="1438">
        <f>(AE7*$AF$6)/AF$5</f>
        <v>1.9869734279278437E-2</v>
      </c>
      <c r="AG7" s="1422">
        <f>AG$4*AF7</f>
        <v>60953.348039294484</v>
      </c>
      <c r="AJ7" s="1414"/>
      <c r="AK7" s="1439" t="s">
        <v>6807</v>
      </c>
      <c r="AL7" s="1440" t="s">
        <v>5591</v>
      </c>
      <c r="AM7" s="1440" t="s">
        <v>5592</v>
      </c>
      <c r="AN7" s="1441" t="s">
        <v>290</v>
      </c>
      <c r="AO7" s="1441" t="s">
        <v>290</v>
      </c>
      <c r="AP7" s="1442" t="s">
        <v>5593</v>
      </c>
      <c r="AQ7" s="1443">
        <v>1236</v>
      </c>
      <c r="AR7" s="1444" t="s">
        <v>5594</v>
      </c>
      <c r="AS7" s="1444" t="s">
        <v>5595</v>
      </c>
      <c r="AT7" s="1444" t="s">
        <v>5596</v>
      </c>
    </row>
    <row r="8" spans="1:46" ht="13.5" customHeight="1">
      <c r="A8" s="1430">
        <v>7</v>
      </c>
      <c r="B8" s="1431" t="s">
        <v>294</v>
      </c>
      <c r="C8" s="1430" t="s">
        <v>295</v>
      </c>
      <c r="D8" s="1430"/>
      <c r="E8" s="1430"/>
      <c r="F8" s="1430"/>
      <c r="G8" s="1430"/>
      <c r="H8" s="1430"/>
      <c r="I8" s="1430"/>
      <c r="J8" s="1430"/>
      <c r="K8" s="1432" t="s">
        <v>290</v>
      </c>
      <c r="L8" s="1430"/>
      <c r="M8" s="1433">
        <v>1034.54</v>
      </c>
      <c r="N8" s="1433">
        <f>+M8</f>
        <v>1034.54</v>
      </c>
      <c r="O8" s="1433"/>
      <c r="P8" s="1433">
        <v>599153.84</v>
      </c>
      <c r="Q8" s="1433">
        <v>1034.54</v>
      </c>
      <c r="R8" s="1433">
        <f>+P8</f>
        <v>599153.84</v>
      </c>
      <c r="S8" s="1435">
        <f>+P8/Q8</f>
        <v>579.14999903338685</v>
      </c>
      <c r="T8" s="1436" t="s">
        <v>291</v>
      </c>
      <c r="U8" s="1437">
        <v>38581</v>
      </c>
      <c r="V8" s="793">
        <f>+R8+1967.31+4590.36+5464.53-5464.53+2502.76+52149.14+1736.99+5141.38+4204.84+6859.35+1502.17+8628.71+44520.84+44065.1+4432.89+12289.14+48573.14+18185.23+1428.95+3492.45+15718.32+20980.73+39525.27+28914.63+13952.25+36931.57+6156.47+7536.42+4024.42+11712.96+6860.92+8657.19+5781.8+2415.04+4076.57+357.57+20935.53+24230.04+4478.26+20624.21+3995.27+23721.96+7519.6+51018.35</f>
        <v>1235549.9400000002</v>
      </c>
      <c r="W8" s="793"/>
      <c r="X8" s="793"/>
      <c r="Y8" s="793"/>
      <c r="Z8" s="1405" t="s">
        <v>292</v>
      </c>
      <c r="AA8" s="1405" t="s">
        <v>296</v>
      </c>
      <c r="AB8" s="1413"/>
      <c r="AC8" s="1413"/>
      <c r="AE8" s="1422">
        <f t="shared" ref="AE8:AE19" si="0">N8</f>
        <v>1034.54</v>
      </c>
      <c r="AF8" s="1438">
        <f t="shared" ref="AF8:AF18" si="1">(AE8*$AF$6)/AF$5</f>
        <v>1.6631096198450417E-2</v>
      </c>
      <c r="AG8" s="1422">
        <f t="shared" ref="AG8:AG18" si="2">AG$4*AF8</f>
        <v>51018.346828941525</v>
      </c>
      <c r="AJ8" s="1414"/>
      <c r="AK8" s="1439" t="s">
        <v>6808</v>
      </c>
      <c r="AL8" s="1445" t="s">
        <v>5597</v>
      </c>
      <c r="AM8" s="1445" t="s">
        <v>5598</v>
      </c>
      <c r="AN8" s="1444" t="s">
        <v>290</v>
      </c>
      <c r="AO8" s="1444" t="s">
        <v>290</v>
      </c>
      <c r="AP8" s="1442" t="s">
        <v>5593</v>
      </c>
      <c r="AQ8" s="1443">
        <v>1034.54</v>
      </c>
      <c r="AR8" s="1444" t="s">
        <v>5599</v>
      </c>
      <c r="AS8" s="1444" t="s">
        <v>5595</v>
      </c>
      <c r="AT8" s="1444" t="s">
        <v>5596</v>
      </c>
    </row>
    <row r="9" spans="1:46" ht="13.5" customHeight="1">
      <c r="A9" s="1430">
        <v>9</v>
      </c>
      <c r="B9" s="1431" t="s">
        <v>297</v>
      </c>
      <c r="C9" s="1430" t="s">
        <v>298</v>
      </c>
      <c r="D9" s="1430"/>
      <c r="E9" s="1430"/>
      <c r="F9" s="1430"/>
      <c r="G9" s="1430"/>
      <c r="H9" s="1430"/>
      <c r="I9" s="1430"/>
      <c r="J9" s="1430"/>
      <c r="K9" s="1432" t="s">
        <v>290</v>
      </c>
      <c r="L9" s="1430"/>
      <c r="M9" s="1433">
        <v>774.55</v>
      </c>
      <c r="N9" s="1433">
        <f>+M9</f>
        <v>774.55</v>
      </c>
      <c r="O9" s="1446"/>
      <c r="P9" s="1433">
        <v>275352.53000000003</v>
      </c>
      <c r="Q9" s="1433">
        <v>774.55</v>
      </c>
      <c r="R9" s="1433">
        <f>+P9</f>
        <v>275352.53000000003</v>
      </c>
      <c r="S9" s="1435">
        <f>+P9/Q9</f>
        <v>355.50000645536124</v>
      </c>
      <c r="T9" s="1436" t="s">
        <v>291</v>
      </c>
      <c r="U9" s="1437">
        <v>38581</v>
      </c>
      <c r="V9" s="793">
        <f>+R9+1472.9+3436.76+4091.24-4091.24+1873.8+39043.55+1300.47+3849.3+3148.12+5135.53+1124.66+6460.23+33332.31+32991.11+3318.87+9200.76+36366.24+13615.1+1069.95+2614.76+11768.15+15708.07+29592.19+21648.1+10445.91+27650.3+4609.29+5642.42+3013.04+8769.38+5136.7+6481.55+4328.78+1808.12+3052.09+267.71+15674.23+18140.8+3352.83+15441.14+2991.22+17760.4+5629.86+38196.94</f>
        <v>751816.17000000016</v>
      </c>
      <c r="W9" s="793"/>
      <c r="X9" s="793"/>
      <c r="Y9" s="793"/>
      <c r="Z9" s="1405" t="s">
        <v>292</v>
      </c>
      <c r="AA9" s="1405" t="s">
        <v>299</v>
      </c>
      <c r="AB9" s="1413"/>
      <c r="AC9" s="1413"/>
      <c r="AE9" s="1422">
        <f t="shared" si="0"/>
        <v>774.55</v>
      </c>
      <c r="AF9" s="1438">
        <f t="shared" si="1"/>
        <v>1.2451539389979865E-2</v>
      </c>
      <c r="AG9" s="1422">
        <f t="shared" si="2"/>
        <v>38196.938287892837</v>
      </c>
      <c r="AH9" s="1414"/>
      <c r="AJ9" s="1414"/>
      <c r="AK9" s="1439" t="s">
        <v>6809</v>
      </c>
      <c r="AL9" s="1445" t="s">
        <v>5600</v>
      </c>
      <c r="AM9" s="1445" t="s">
        <v>5601</v>
      </c>
      <c r="AN9" s="1444" t="s">
        <v>290</v>
      </c>
      <c r="AO9" s="1444" t="s">
        <v>290</v>
      </c>
      <c r="AP9" s="1442" t="s">
        <v>5593</v>
      </c>
      <c r="AQ9" s="1443">
        <v>774.55</v>
      </c>
      <c r="AR9" s="1444" t="s">
        <v>5602</v>
      </c>
      <c r="AS9" s="1444" t="s">
        <v>5595</v>
      </c>
      <c r="AT9" s="1444" t="s">
        <v>5596</v>
      </c>
    </row>
    <row r="10" spans="1:46" ht="13.5" customHeight="1">
      <c r="A10" s="1430"/>
      <c r="B10" s="1431" t="s">
        <v>300</v>
      </c>
      <c r="C10" s="1430" t="s">
        <v>301</v>
      </c>
      <c r="D10" s="1430"/>
      <c r="E10" s="1430"/>
      <c r="F10" s="1430"/>
      <c r="G10" s="1430"/>
      <c r="H10" s="1430"/>
      <c r="I10" s="1430"/>
      <c r="J10" s="1430"/>
      <c r="K10" s="1432" t="s">
        <v>290</v>
      </c>
      <c r="L10" s="793">
        <v>10000</v>
      </c>
      <c r="M10" s="1433"/>
      <c r="N10" s="1433">
        <v>1302.51</v>
      </c>
      <c r="O10" s="1446"/>
      <c r="P10" s="1433"/>
      <c r="Q10" s="1433"/>
      <c r="R10" s="1435">
        <v>2250000</v>
      </c>
      <c r="S10" s="793">
        <v>225</v>
      </c>
      <c r="T10" s="1430" t="s">
        <v>302</v>
      </c>
      <c r="U10" s="1430"/>
      <c r="V10" s="793"/>
      <c r="W10" s="793"/>
      <c r="X10" s="793"/>
      <c r="Y10" s="793">
        <f>487579.41+3151.04+65656.99+2186.91+6473.12+5293.98+8636.08+1891.27+10863.74+56052.77+55478.99+5581.12+15472.32+61154.72+22895.62+1799.08+4397.07+19789.73+26415.23+49763.24+36404.19+17566.2+46497.71+7751.14+9488.52+5066.84+14746.89+8638.06+10899.6+7279.43+3040.59+5132.5+450.19+26358.32+30506.19+5638.24+25966.36+5030.14+29866.5+9467.35+64233.29</f>
        <v>1280560.6799999997</v>
      </c>
      <c r="Z10" s="1405" t="s">
        <v>303</v>
      </c>
      <c r="AB10" s="1413"/>
      <c r="AC10" s="1413"/>
      <c r="AE10" s="1422">
        <f t="shared" si="0"/>
        <v>1302.51</v>
      </c>
      <c r="AF10" s="1438">
        <f t="shared" si="1"/>
        <v>2.0938938184549317E-2</v>
      </c>
      <c r="AG10" s="1422">
        <f t="shared" si="2"/>
        <v>64233.289121894384</v>
      </c>
      <c r="AH10" s="1414"/>
      <c r="AJ10" s="1414"/>
      <c r="AK10" s="1439" t="s">
        <v>290</v>
      </c>
      <c r="AL10" s="1445"/>
      <c r="AM10" s="1445"/>
      <c r="AN10" s="1444"/>
      <c r="AO10" s="1444"/>
      <c r="AP10" s="1442"/>
      <c r="AQ10" s="1443"/>
      <c r="AR10" s="1444"/>
      <c r="AS10" s="1444"/>
      <c r="AT10" s="1444"/>
    </row>
    <row r="11" spans="1:46" ht="13.5" customHeight="1">
      <c r="A11" s="1430">
        <v>10</v>
      </c>
      <c r="B11" s="1431" t="s">
        <v>304</v>
      </c>
      <c r="C11" s="1430" t="s">
        <v>305</v>
      </c>
      <c r="D11" s="1430"/>
      <c r="E11" s="1430"/>
      <c r="F11" s="1430"/>
      <c r="G11" s="1430"/>
      <c r="H11" s="1430"/>
      <c r="I11" s="1430"/>
      <c r="J11" s="1430"/>
      <c r="K11" s="1432" t="s">
        <v>290</v>
      </c>
      <c r="L11" s="1430"/>
      <c r="M11" s="1433">
        <v>7215.17</v>
      </c>
      <c r="N11" s="1433">
        <f>+M11</f>
        <v>7215.17</v>
      </c>
      <c r="O11" s="1433"/>
      <c r="P11" s="1433">
        <v>3463281.6</v>
      </c>
      <c r="Q11" s="1433">
        <v>7215.17</v>
      </c>
      <c r="R11" s="1433">
        <f>+P11/Q11*M11</f>
        <v>3463281.6</v>
      </c>
      <c r="S11" s="1435">
        <f>+P11/Q11</f>
        <v>480</v>
      </c>
      <c r="T11" s="1436" t="s">
        <v>291</v>
      </c>
      <c r="U11" s="1437">
        <v>38581</v>
      </c>
      <c r="V11" s="793">
        <f>+R11+13720.56+32014.46+38111.17-38111.17+17454.98+363702.64+12114.26+35857.45+29325.7+47839.01+10476.55+60179+310500.7+307322.27+30916.24+85707.9+338762.61+126828.82+9965.91+24357.3+109623.93+146325.47+275660.27+201658.65+97306.84+257571.04+42936.94+52561.07+28067.42+81689.43+47849.95+60377.65+40323.91+16843.16+28431.14+2493.78+146010.21+168987.06+31232.65+143838.96+27864.14+165443.53+52443.74+355816.16</f>
        <v>7901685.0600000024</v>
      </c>
      <c r="W11" s="793"/>
      <c r="X11" s="793"/>
      <c r="Y11" s="793"/>
      <c r="Z11" s="1405" t="s">
        <v>292</v>
      </c>
      <c r="AA11" s="1405" t="s">
        <v>306</v>
      </c>
      <c r="AB11" s="1413"/>
      <c r="AC11" s="1413"/>
      <c r="AE11" s="1422">
        <f t="shared" si="0"/>
        <v>7215.17</v>
      </c>
      <c r="AF11" s="1438">
        <f t="shared" si="1"/>
        <v>0.1159898953720238</v>
      </c>
      <c r="AG11" s="1422">
        <f t="shared" si="2"/>
        <v>355816.15547951165</v>
      </c>
      <c r="AH11" s="1414"/>
      <c r="AJ11" s="1414"/>
      <c r="AK11" s="1439" t="s">
        <v>6810</v>
      </c>
      <c r="AL11" s="1445" t="s">
        <v>5603</v>
      </c>
      <c r="AM11" s="1445" t="s">
        <v>5604</v>
      </c>
      <c r="AN11" s="1444" t="s">
        <v>290</v>
      </c>
      <c r="AO11" s="1444" t="s">
        <v>290</v>
      </c>
      <c r="AP11" s="1442" t="s">
        <v>5593</v>
      </c>
      <c r="AQ11" s="1443">
        <v>7215.17</v>
      </c>
      <c r="AR11" s="1444" t="s">
        <v>5605</v>
      </c>
      <c r="AS11" s="1444" t="s">
        <v>5595</v>
      </c>
      <c r="AT11" s="1444" t="s">
        <v>5596</v>
      </c>
    </row>
    <row r="12" spans="1:46" ht="13.5" customHeight="1">
      <c r="A12" s="1430">
        <v>14</v>
      </c>
      <c r="B12" s="1431">
        <v>15</v>
      </c>
      <c r="C12" s="1430" t="s">
        <v>307</v>
      </c>
      <c r="D12" s="1430"/>
      <c r="E12" s="1430"/>
      <c r="F12" s="1430"/>
      <c r="G12" s="1430"/>
      <c r="H12" s="1430"/>
      <c r="I12" s="1430"/>
      <c r="J12" s="1430"/>
      <c r="K12" s="1432" t="s">
        <v>290</v>
      </c>
      <c r="L12" s="1430"/>
      <c r="M12" s="1433">
        <v>14449.2</v>
      </c>
      <c r="N12" s="1433">
        <f>+M12</f>
        <v>14449.2</v>
      </c>
      <c r="O12" s="1433"/>
      <c r="P12" s="1433">
        <v>7022311.2000000002</v>
      </c>
      <c r="Q12" s="1433">
        <v>14449.2</v>
      </c>
      <c r="R12" s="1433">
        <f>+P12</f>
        <v>7022311.2000000002</v>
      </c>
      <c r="S12" s="1435">
        <f>+P12/Q12</f>
        <v>486</v>
      </c>
      <c r="T12" s="1436" t="s">
        <v>291</v>
      </c>
      <c r="U12" s="1437">
        <v>38581</v>
      </c>
      <c r="V12" s="793">
        <f>+R12+27476.97+64112.61+76321.95-76321.95+34955.58+728355.97+24260.18+71808.63+58728.05+95803.08+20980.48+120515.31+621813.03+615447.87+61913.3+171639.83+678410.69+253989.18+19957.88+48778.28+219534.42+293033.42+552041.09+403844.42+194868.04+515815.36+85986.12+105259.53+56208.21+163592.38+95824.98+120913.12+80753.4+33730.34+56936.59+4994.07+292402.09+338415.85+62546.95+288053.92+55801.12+331319.53+105024.56+712562.39</f>
        <v>15910720.019999996</v>
      </c>
      <c r="W12" s="793"/>
      <c r="X12" s="793"/>
      <c r="Y12" s="793"/>
      <c r="Z12" s="1405" t="s">
        <v>292</v>
      </c>
      <c r="AA12" s="1405" t="s">
        <v>308</v>
      </c>
      <c r="AB12" s="1413"/>
      <c r="AC12" s="1413"/>
      <c r="AE12" s="1422">
        <f t="shared" si="0"/>
        <v>14449.2</v>
      </c>
      <c r="AF12" s="1438">
        <f t="shared" si="1"/>
        <v>0.23228298102601136</v>
      </c>
      <c r="AG12" s="1422">
        <f t="shared" si="2"/>
        <v>712562.39198169415</v>
      </c>
      <c r="AH12" s="1414"/>
      <c r="AJ12" s="1414"/>
      <c r="AK12" s="1439" t="s">
        <v>6811</v>
      </c>
      <c r="AL12" s="1445" t="s">
        <v>5606</v>
      </c>
      <c r="AM12" s="1445" t="s">
        <v>5607</v>
      </c>
      <c r="AN12" s="1443" t="s">
        <v>290</v>
      </c>
      <c r="AO12" s="1443" t="s">
        <v>290</v>
      </c>
      <c r="AP12" s="1442" t="s">
        <v>5593</v>
      </c>
      <c r="AQ12" s="1443">
        <v>14449.2</v>
      </c>
      <c r="AR12" s="1444" t="s">
        <v>5608</v>
      </c>
      <c r="AS12" s="1443" t="s">
        <v>5595</v>
      </c>
      <c r="AT12" s="1444" t="s">
        <v>5609</v>
      </c>
    </row>
    <row r="13" spans="1:46" ht="13.5" customHeight="1">
      <c r="A13" s="1430">
        <v>14</v>
      </c>
      <c r="B13" s="1431" t="s">
        <v>309</v>
      </c>
      <c r="C13" s="1430" t="s">
        <v>310</v>
      </c>
      <c r="D13" s="1430"/>
      <c r="E13" s="1430"/>
      <c r="F13" s="1430"/>
      <c r="G13" s="1430"/>
      <c r="H13" s="1430"/>
      <c r="I13" s="1430"/>
      <c r="J13" s="1430"/>
      <c r="K13" s="1432" t="s">
        <v>290</v>
      </c>
      <c r="L13" s="1430"/>
      <c r="M13" s="1433">
        <v>3770.23</v>
      </c>
      <c r="N13" s="1433">
        <f>+M13</f>
        <v>3770.23</v>
      </c>
      <c r="O13" s="1433"/>
      <c r="P13" s="1433">
        <v>1764467.64</v>
      </c>
      <c r="Q13" s="1433">
        <v>3770.23</v>
      </c>
      <c r="R13" s="1433">
        <f>+P13</f>
        <v>1764467.64</v>
      </c>
      <c r="S13" s="1435">
        <f>+P13/Q13</f>
        <v>467.99999999999994</v>
      </c>
      <c r="T13" s="1436" t="s">
        <v>291</v>
      </c>
      <c r="U13" s="1437">
        <v>38581</v>
      </c>
      <c r="V13" s="793">
        <f>+R13+7169.57+16728.9+19914.69-19914.69+9120.96+190049.93+6330.21+18737.03+15323.91+24997.9+5474.44+31446.06+162249.69+160588.82+16155.04+44785.98+177017.72+66273.4+5207.61+12727.72+57283.12+76461.22+144044.09+105375.13+50846.92+134591.71+22436.36+27465.37+14666.41+242145.37+42686.16+25003.61+31549.86+21070.94+8801.26+14856.47+1303.11+76296.48+88302.85+16320.38+75161.91+14560.19+86451.21+27404.07+185928.92</f>
        <v>4325865.6499999994</v>
      </c>
      <c r="W13" s="793"/>
      <c r="X13" s="793"/>
      <c r="Y13" s="793"/>
      <c r="Z13" s="1405" t="s">
        <v>292</v>
      </c>
      <c r="AA13" s="1405" t="s">
        <v>311</v>
      </c>
      <c r="AB13" s="1413"/>
      <c r="AC13" s="1413"/>
      <c r="AE13" s="1422">
        <f t="shared" si="0"/>
        <v>3770.23</v>
      </c>
      <c r="AF13" s="1438">
        <f t="shared" si="1"/>
        <v>6.0609602161621319E-2</v>
      </c>
      <c r="AG13" s="1422">
        <f t="shared" si="2"/>
        <v>185928.91697264503</v>
      </c>
      <c r="AH13" s="1414"/>
      <c r="AJ13" s="1414"/>
      <c r="AK13" s="1439" t="s">
        <v>6812</v>
      </c>
      <c r="AL13" s="1440" t="s">
        <v>5610</v>
      </c>
      <c r="AM13" s="1445" t="s">
        <v>5611</v>
      </c>
      <c r="AN13" s="1443" t="s">
        <v>290</v>
      </c>
      <c r="AO13" s="1443" t="s">
        <v>290</v>
      </c>
      <c r="AP13" s="1442" t="s">
        <v>5593</v>
      </c>
      <c r="AQ13" s="1443">
        <v>3770.23</v>
      </c>
      <c r="AR13" s="1444" t="s">
        <v>5608</v>
      </c>
      <c r="AS13" s="1443" t="s">
        <v>5595</v>
      </c>
      <c r="AT13" s="1444" t="s">
        <v>5596</v>
      </c>
    </row>
    <row r="14" spans="1:46" ht="13.5" customHeight="1">
      <c r="A14" s="1430">
        <v>14</v>
      </c>
      <c r="B14" s="1431">
        <v>19</v>
      </c>
      <c r="C14" s="1430" t="s">
        <v>312</v>
      </c>
      <c r="D14" s="1433">
        <v>480000</v>
      </c>
      <c r="E14" s="1447">
        <v>37865</v>
      </c>
      <c r="F14" s="1447">
        <v>37865</v>
      </c>
      <c r="G14" s="1430">
        <v>3697</v>
      </c>
      <c r="H14" s="1430" t="s">
        <v>313</v>
      </c>
      <c r="I14" s="1430">
        <v>78</v>
      </c>
      <c r="J14" s="1430" t="s">
        <v>314</v>
      </c>
      <c r="K14" s="1432" t="s">
        <v>290</v>
      </c>
      <c r="L14" s="1430"/>
      <c r="M14" s="1433">
        <v>1200</v>
      </c>
      <c r="N14" s="1433">
        <f>+M14</f>
        <v>1200</v>
      </c>
      <c r="O14" s="1433"/>
      <c r="P14" s="1433"/>
      <c r="Q14" s="1433"/>
      <c r="R14" s="1433">
        <f>+S14*M14</f>
        <v>561600</v>
      </c>
      <c r="S14" s="793">
        <v>468</v>
      </c>
      <c r="T14" s="1430" t="s">
        <v>302</v>
      </c>
      <c r="U14" s="1430"/>
      <c r="V14" s="793">
        <f>+R14+2281.95+5324.53+6338.51-6338.51+2903.05+60489.66+2014.8+5963.68+4877.34+7956.41+1742.42+10008.75+51641.31+51112.69+5141.87+14254.62+56341.73+21093.69+1657.49+4051.02+18232.24+24336.3+45846.78+33539.11+16183.71+42838.25+7141.11+8741.76+4668.07+107138.65+13586.28+7958.22+10041.78+6706.52+2801.29+4728.56+414.76+24283.87+28105.29+5194.5+23922.76+4634.26+27515.95+8722.25+59178.01</f>
        <v>1406917.2900000003</v>
      </c>
      <c r="W14" s="793"/>
      <c r="X14" s="793"/>
      <c r="Y14" s="793"/>
      <c r="Z14" s="1405" t="s">
        <v>303</v>
      </c>
      <c r="AB14" s="1413"/>
      <c r="AC14" s="1413"/>
      <c r="AE14" s="1422">
        <f t="shared" si="0"/>
        <v>1200</v>
      </c>
      <c r="AF14" s="1438">
        <f t="shared" si="1"/>
        <v>1.929100415463926E-2</v>
      </c>
      <c r="AG14" s="1422">
        <f t="shared" si="2"/>
        <v>59178.007805140282</v>
      </c>
      <c r="AH14" s="1414"/>
      <c r="AJ14" s="1414"/>
      <c r="AK14" s="1439" t="s">
        <v>6813</v>
      </c>
      <c r="AL14" s="1440" t="s">
        <v>5610</v>
      </c>
      <c r="AM14" s="1445" t="s">
        <v>5612</v>
      </c>
      <c r="AN14" s="1443" t="s">
        <v>290</v>
      </c>
      <c r="AO14" s="1443" t="s">
        <v>290</v>
      </c>
      <c r="AP14" s="1442" t="s">
        <v>5593</v>
      </c>
      <c r="AQ14" s="1443">
        <v>1200</v>
      </c>
      <c r="AR14" s="1444" t="s">
        <v>5608</v>
      </c>
      <c r="AS14" s="1443" t="s">
        <v>5595</v>
      </c>
      <c r="AT14" s="1444" t="s">
        <v>5609</v>
      </c>
    </row>
    <row r="15" spans="1:46" ht="13.5" customHeight="1">
      <c r="A15" s="1430">
        <v>14</v>
      </c>
      <c r="B15" s="1431">
        <v>20</v>
      </c>
      <c r="C15" s="1430" t="s">
        <v>315</v>
      </c>
      <c r="D15" s="1430"/>
      <c r="E15" s="1430"/>
      <c r="F15" s="1430"/>
      <c r="G15" s="1430"/>
      <c r="H15" s="1430"/>
      <c r="I15" s="1430"/>
      <c r="J15" s="1430"/>
      <c r="K15" s="1432" t="s">
        <v>290</v>
      </c>
      <c r="L15" s="1430"/>
      <c r="M15" s="1433">
        <v>2324.58</v>
      </c>
      <c r="N15" s="1433">
        <f>+M15</f>
        <v>2324.58</v>
      </c>
      <c r="O15" s="1433"/>
      <c r="P15" s="1433">
        <v>1046061</v>
      </c>
      <c r="Q15" s="1433">
        <v>2324.58</v>
      </c>
      <c r="R15" s="1433">
        <f>+P15</f>
        <v>1046061</v>
      </c>
      <c r="S15" s="1435">
        <f>+P15/Q15</f>
        <v>450</v>
      </c>
      <c r="T15" s="1436" t="s">
        <v>291</v>
      </c>
      <c r="U15" s="1437">
        <v>38581</v>
      </c>
      <c r="V15" s="793">
        <f>+R15+4420.48+10314.4+12278.64-12278.64+5623.64+117177.54+3902.97+11552.54+9448.14+15412.75+3375.33+19388.44+100036.97+99012.94+9960.58+27613.33+109142.37+40861.65+3210.81+7847.43+35318.59+47143.07+88812.09+64970.29+31350.27+82984.11+13833.4+16934.1+9042.75+26318.66+15416.27+19452.44+12991.54+5426.52+9159.93+803.45+47041.5+54444.17+10062.52+46341.97+8977.26+53302.52+16896.31+114636.68</f>
        <v>2476023.7200000007</v>
      </c>
      <c r="W15" s="793"/>
      <c r="X15" s="793"/>
      <c r="Y15" s="793"/>
      <c r="Z15" s="1405" t="s">
        <v>292</v>
      </c>
      <c r="AA15" s="1405" t="s">
        <v>316</v>
      </c>
      <c r="AB15" s="1413"/>
      <c r="AC15" s="1413"/>
      <c r="AE15" s="1422">
        <f t="shared" si="0"/>
        <v>2324.58</v>
      </c>
      <c r="AF15" s="1438">
        <f t="shared" si="1"/>
        <v>3.7369568698159439E-2</v>
      </c>
      <c r="AG15" s="1422">
        <f t="shared" si="2"/>
        <v>114636.67781972748</v>
      </c>
      <c r="AH15" s="1414"/>
      <c r="AJ15" s="1414"/>
      <c r="AK15" s="1439" t="s">
        <v>6814</v>
      </c>
      <c r="AL15" s="1445" t="s">
        <v>5606</v>
      </c>
      <c r="AM15" s="1445" t="s">
        <v>5613</v>
      </c>
      <c r="AN15" s="1443" t="s">
        <v>290</v>
      </c>
      <c r="AO15" s="1443" t="s">
        <v>290</v>
      </c>
      <c r="AP15" s="1442" t="s">
        <v>5593</v>
      </c>
      <c r="AQ15" s="1443">
        <v>2324.58</v>
      </c>
      <c r="AR15" s="1444" t="s">
        <v>5608</v>
      </c>
      <c r="AS15" s="1443" t="s">
        <v>5595</v>
      </c>
      <c r="AT15" s="1444" t="s">
        <v>5596</v>
      </c>
    </row>
    <row r="16" spans="1:46" ht="13.5" customHeight="1">
      <c r="A16" s="1430">
        <v>15</v>
      </c>
      <c r="B16" s="1431" t="s">
        <v>317</v>
      </c>
      <c r="C16" s="1430" t="s">
        <v>318</v>
      </c>
      <c r="D16" s="1430"/>
      <c r="E16" s="1430"/>
      <c r="F16" s="1430"/>
      <c r="G16" s="1430"/>
      <c r="H16" s="1430"/>
      <c r="I16" s="1430"/>
      <c r="J16" s="1430"/>
      <c r="K16" s="1432" t="s">
        <v>290</v>
      </c>
      <c r="L16" s="1430"/>
      <c r="M16" s="794">
        <v>15477.7</v>
      </c>
      <c r="N16" s="1433">
        <f>+M16-716.33</f>
        <v>14761.37</v>
      </c>
      <c r="O16" s="1433"/>
      <c r="P16" s="1433">
        <v>5571972</v>
      </c>
      <c r="Q16" s="1433">
        <v>15477.77</v>
      </c>
      <c r="R16" s="1433">
        <f>+P16</f>
        <v>5571972</v>
      </c>
      <c r="S16" s="1435">
        <f>+P16/Q16</f>
        <v>359.99837185847832</v>
      </c>
      <c r="T16" s="1436" t="s">
        <v>291</v>
      </c>
      <c r="U16" s="1437">
        <v>38581</v>
      </c>
      <c r="V16" s="793">
        <f>+R16+29432.8+68676.17+81754.58-81754.58-262419.42+35710.78+247544.63+615669.78+95240.66+744091.85+24784.32+73360.03+59996.85+97872.87+21433.76+123119+635247.11+628744.41+63250.92+1164435+175348.05+693067.55+259476.52+20389.06+49832.11+224277.39+299364.31+563967.75+412569.2+199078.09+526959.37+87843.82+107533.62+57422.51+167126.74+97895.26+123525.42+82497.66+34459.07+58166.68+5101.98+298719.33+345727.23+63898.25+294277.22+57006.69+338477.57+107293.61+727957.06</f>
        <v>16517422.640000001</v>
      </c>
      <c r="W16" s="793"/>
      <c r="X16" s="793"/>
      <c r="Y16" s="793"/>
      <c r="Z16" s="1405" t="s">
        <v>292</v>
      </c>
      <c r="AA16" s="1405" t="s">
        <v>319</v>
      </c>
      <c r="AB16" s="1413"/>
      <c r="AC16" s="1413"/>
      <c r="AE16" s="1422">
        <f t="shared" si="0"/>
        <v>14761.37</v>
      </c>
      <c r="AF16" s="1438">
        <f t="shared" si="1"/>
        <v>0.23730137499847279</v>
      </c>
      <c r="AG16" s="1422">
        <f t="shared" si="2"/>
        <v>727957.05756213632</v>
      </c>
      <c r="AH16" s="1414"/>
      <c r="AJ16" s="1414"/>
      <c r="AK16" s="1439" t="s">
        <v>6815</v>
      </c>
      <c r="AL16" s="1445" t="s">
        <v>5614</v>
      </c>
      <c r="AM16" s="1445" t="s">
        <v>5615</v>
      </c>
      <c r="AN16" s="1443" t="s">
        <v>290</v>
      </c>
      <c r="AO16" s="1443" t="s">
        <v>290</v>
      </c>
      <c r="AP16" s="1442" t="s">
        <v>5616</v>
      </c>
      <c r="AQ16" s="1359">
        <v>14761.37</v>
      </c>
      <c r="AR16" s="1444" t="s">
        <v>5617</v>
      </c>
      <c r="AS16" s="1359" t="s">
        <v>5595</v>
      </c>
      <c r="AT16" s="1444" t="s">
        <v>5596</v>
      </c>
    </row>
    <row r="17" spans="1:46" ht="13.5" customHeight="1">
      <c r="A17" s="1430">
        <v>16</v>
      </c>
      <c r="B17" s="1431">
        <v>11</v>
      </c>
      <c r="C17" s="1430" t="s">
        <v>320</v>
      </c>
      <c r="D17" s="1430"/>
      <c r="E17" s="1430"/>
      <c r="F17" s="1430"/>
      <c r="G17" s="1430"/>
      <c r="H17" s="1430"/>
      <c r="I17" s="1430"/>
      <c r="J17" s="1430"/>
      <c r="K17" s="1432" t="s">
        <v>290</v>
      </c>
      <c r="L17" s="793">
        <v>7490</v>
      </c>
      <c r="M17" s="1430"/>
      <c r="N17" s="1433">
        <f>+L17</f>
        <v>7490</v>
      </c>
      <c r="O17" s="1433"/>
      <c r="P17" s="1433">
        <v>2675708</v>
      </c>
      <c r="Q17" s="1433">
        <v>6370.7349999999997</v>
      </c>
      <c r="R17" s="1435">
        <f>+P17/Q17*L17</f>
        <v>3145799.1770180366</v>
      </c>
      <c r="S17" s="1435">
        <f>+P17/Q17</f>
        <v>419.99989012256827</v>
      </c>
      <c r="T17" s="1436" t="s">
        <v>321</v>
      </c>
      <c r="U17" s="1437">
        <v>38427</v>
      </c>
      <c r="V17" s="793"/>
      <c r="W17" s="793"/>
      <c r="X17" s="793"/>
      <c r="Y17" s="793">
        <f>+R17+24066.3+56154.68+6960.9+39562.84-39562.84+18119.85+377556.28+12575.7+37223.28+30442.73+49661.23+10875.61+62471.26+322327.85+319028.36+32093.86+88972.56+351666.27+131659.81+10345.52+25285.09+113799.57+151899.09+286160.33+209339.94+101013.32+267382.07+44572.43+54563.14+29136.52+84801.02+49672.59+62677.47+41859.87+17484.72+29514.09+2588.77+151571.83+175423.88+32422.32+149317.87+28925.5+171745.37+54441.35+369369.4</f>
        <v>7792968.7770180339</v>
      </c>
      <c r="Z17" s="1405" t="s">
        <v>292</v>
      </c>
      <c r="AB17" s="1413" t="s">
        <v>322</v>
      </c>
      <c r="AC17" s="1413"/>
      <c r="AE17" s="1422">
        <f t="shared" si="0"/>
        <v>7490</v>
      </c>
      <c r="AF17" s="1438">
        <f t="shared" si="1"/>
        <v>0.12040801759854006</v>
      </c>
      <c r="AG17" s="1422">
        <f t="shared" si="2"/>
        <v>369369.39871708391</v>
      </c>
      <c r="AH17" s="1414"/>
      <c r="AJ17" s="1414"/>
      <c r="AK17" s="1439" t="s">
        <v>6816</v>
      </c>
      <c r="AL17" s="1440" t="s">
        <v>376</v>
      </c>
      <c r="AM17" s="1440" t="s">
        <v>376</v>
      </c>
      <c r="AN17" s="1443" t="s">
        <v>290</v>
      </c>
      <c r="AO17" s="1443" t="s">
        <v>290</v>
      </c>
      <c r="AP17" s="1442" t="s">
        <v>5618</v>
      </c>
      <c r="AQ17" s="1443">
        <v>7490</v>
      </c>
      <c r="AR17" s="1444" t="s">
        <v>5619</v>
      </c>
      <c r="AS17" s="1444" t="s">
        <v>5595</v>
      </c>
      <c r="AT17" s="1444" t="s">
        <v>5596</v>
      </c>
    </row>
    <row r="18" spans="1:46" ht="13.5" customHeight="1">
      <c r="A18" s="1430"/>
      <c r="B18" s="1431"/>
      <c r="C18" s="1430" t="s">
        <v>323</v>
      </c>
      <c r="D18" s="1430"/>
      <c r="E18" s="1430"/>
      <c r="F18" s="1430"/>
      <c r="G18" s="1430"/>
      <c r="H18" s="1430"/>
      <c r="I18" s="1430"/>
      <c r="J18" s="1430"/>
      <c r="K18" s="1432" t="s">
        <v>290</v>
      </c>
      <c r="L18" s="793">
        <v>5500</v>
      </c>
      <c r="M18" s="1430"/>
      <c r="N18" s="1433">
        <f>+L18</f>
        <v>5500</v>
      </c>
      <c r="O18" s="1433"/>
      <c r="P18" s="1433">
        <v>9460000</v>
      </c>
      <c r="Q18" s="1433">
        <f>+L18</f>
        <v>5500</v>
      </c>
      <c r="R18" s="1435">
        <f>+P18</f>
        <v>9460000</v>
      </c>
      <c r="S18" s="1435">
        <f>R18/Q18</f>
        <v>1720</v>
      </c>
      <c r="T18" s="1436" t="s">
        <v>324</v>
      </c>
      <c r="U18" s="1437">
        <v>38455</v>
      </c>
      <c r="V18" s="793"/>
      <c r="W18" s="793"/>
      <c r="X18" s="793"/>
      <c r="Y18" s="793">
        <f>+R18+20776.98+48479.62+6009.5+29051.49-29051.49+13305.63+277244.26+9234.49+27333.52+22354.48+36466.86+7986.09+45873.42+236689.34+234266.48+23566.92+65333.66+258232.91+96679.43+7596.84+18567.15+83564.44+111541.39+210131.08+153720.92+74175.33+196341.98+32730.09+40066.4+21395.31+62270.44+36475.2+46024.84+30738.22+12839.25+21672.57+1900.97+111301.08+128815.93+23808.11+109645.97+21240.36+126114.76+39976.96+271232.54</f>
        <v>12883721.720000001</v>
      </c>
      <c r="AB18" s="1413"/>
      <c r="AC18" s="1413"/>
      <c r="AE18" s="1422">
        <f t="shared" si="0"/>
        <v>5500</v>
      </c>
      <c r="AF18" s="1438">
        <f t="shared" si="1"/>
        <v>8.8417102375429948E-2</v>
      </c>
      <c r="AG18" s="1422">
        <f t="shared" si="2"/>
        <v>271232.53577355965</v>
      </c>
      <c r="AH18" s="1414"/>
      <c r="AJ18" s="1414"/>
      <c r="AK18" s="1439" t="s">
        <v>6817</v>
      </c>
      <c r="AL18" s="1445" t="s">
        <v>5620</v>
      </c>
      <c r="AM18" s="1445" t="s">
        <v>376</v>
      </c>
      <c r="AN18" s="1443" t="s">
        <v>290</v>
      </c>
      <c r="AO18" s="1443" t="s">
        <v>290</v>
      </c>
      <c r="AP18" s="1442" t="s">
        <v>5621</v>
      </c>
      <c r="AQ18" s="1443">
        <v>5500</v>
      </c>
      <c r="AR18" s="1444" t="s">
        <v>5622</v>
      </c>
      <c r="AS18" s="1360" t="s">
        <v>5623</v>
      </c>
      <c r="AT18" s="1444" t="s">
        <v>5596</v>
      </c>
    </row>
    <row r="19" spans="1:46" ht="13.5" customHeight="1">
      <c r="A19" s="1430"/>
      <c r="B19" s="1431"/>
      <c r="C19" s="1430" t="s">
        <v>325</v>
      </c>
      <c r="D19" s="1430">
        <f>63314.95</f>
        <v>63314.95</v>
      </c>
      <c r="E19" s="1447">
        <v>40298</v>
      </c>
      <c r="F19" s="1447">
        <v>40217</v>
      </c>
      <c r="G19" s="1430"/>
      <c r="H19" s="1430"/>
      <c r="I19" s="1430"/>
      <c r="J19" s="1430"/>
      <c r="K19" s="1432" t="s">
        <v>290</v>
      </c>
      <c r="L19" s="793"/>
      <c r="M19" s="1430"/>
      <c r="N19" s="1433">
        <v>1147.01</v>
      </c>
      <c r="O19" s="1433"/>
      <c r="P19" s="1433"/>
      <c r="Q19" s="1433"/>
      <c r="R19" s="1435"/>
      <c r="S19" s="1435"/>
      <c r="T19" s="1436"/>
      <c r="U19" s="1437"/>
      <c r="V19" s="793">
        <f>63314.95+6615+2774.85+57818.54+1925.83+5700.33+4661.96+7605.06+1665.48+9566.78+49360.92+48855.64+4914.82+13625.16+53853.77+20162.23+1584.3+3872.13+17427.14+23261.65+43822.26+32058.08+15469.06+40946.58+6825.77+8355.74+4461.93+12986.33+7606.8+9598.36+6410.37+2677.59+4519.75+396.44+23211.54+26864.21+4965.12+22866.37+4429.62+26300.89+8337.08+56564.81</f>
        <v>768241.24</v>
      </c>
      <c r="W19" s="793"/>
      <c r="X19" s="793"/>
      <c r="Y19" s="793"/>
      <c r="AB19" s="1413"/>
      <c r="AC19" s="1413"/>
      <c r="AE19" s="1422">
        <f t="shared" si="0"/>
        <v>1147.01</v>
      </c>
      <c r="AF19" s="1438">
        <f>(AE19*$AF$6)/AF$5</f>
        <v>1.843914556284398E-2</v>
      </c>
      <c r="AG19" s="1422">
        <f>AG$4*AF19</f>
        <v>56564.805610478288</v>
      </c>
      <c r="AH19" s="1414"/>
      <c r="AJ19" s="1414"/>
      <c r="AK19" s="1439" t="s">
        <v>6818</v>
      </c>
      <c r="AL19" s="1440" t="s">
        <v>376</v>
      </c>
      <c r="AM19" s="1440" t="s">
        <v>376</v>
      </c>
      <c r="AN19" s="1443" t="s">
        <v>290</v>
      </c>
      <c r="AO19" s="1443" t="s">
        <v>290</v>
      </c>
      <c r="AP19" s="1443" t="s">
        <v>5593</v>
      </c>
      <c r="AQ19" s="1448">
        <v>1147.01</v>
      </c>
      <c r="AR19" s="1444" t="s">
        <v>5624</v>
      </c>
      <c r="AS19" s="1444" t="s">
        <v>5625</v>
      </c>
      <c r="AT19" s="1444" t="s">
        <v>5596</v>
      </c>
    </row>
    <row r="20" spans="1:46" ht="13.5" hidden="1" customHeight="1">
      <c r="A20" s="1449">
        <v>14</v>
      </c>
      <c r="B20" s="1450">
        <v>6</v>
      </c>
      <c r="C20" s="1449" t="s">
        <v>326</v>
      </c>
      <c r="D20" s="1405">
        <v>725600</v>
      </c>
      <c r="E20" s="1451">
        <v>40969</v>
      </c>
      <c r="F20" s="1451">
        <v>40969</v>
      </c>
      <c r="K20" s="1452" t="s">
        <v>290</v>
      </c>
      <c r="L20" s="795"/>
      <c r="M20" s="1449"/>
      <c r="N20" s="1453">
        <f>1099-1099</f>
        <v>0</v>
      </c>
      <c r="O20" s="1453"/>
      <c r="P20" s="1453"/>
      <c r="Q20" s="1453"/>
      <c r="R20" s="1454"/>
      <c r="S20" s="1454"/>
      <c r="T20" s="1455"/>
      <c r="U20" s="1456"/>
      <c r="V20" s="795"/>
      <c r="W20" s="795"/>
      <c r="X20" s="795"/>
      <c r="Y20" s="795">
        <f>725600+94836.52+55398.44+1845.22+5461.73+4466.83+7286.74+1595.77+9166.34+47294.83+46810.7+4709.1+13054.85+51599.63+19318.31+1517.99+3710.06-1093673.06</f>
        <v>0</v>
      </c>
      <c r="AB20" s="1413"/>
      <c r="AC20" s="1413"/>
      <c r="AE20" s="1422">
        <f>N20</f>
        <v>0</v>
      </c>
      <c r="AF20" s="1438">
        <f>(AE20*$AF$6)/AF$5</f>
        <v>0</v>
      </c>
      <c r="AG20" s="1422">
        <f>AG$4*AF20</f>
        <v>0</v>
      </c>
      <c r="AH20" s="1414"/>
      <c r="AJ20" s="1414"/>
      <c r="AK20" s="1439"/>
      <c r="AL20" s="1440"/>
      <c r="AM20" s="1440"/>
      <c r="AN20" s="1443"/>
      <c r="AO20" s="1443"/>
      <c r="AP20" s="1443"/>
      <c r="AQ20" s="1448"/>
      <c r="AR20" s="1444"/>
      <c r="AS20" s="1444"/>
      <c r="AT20" s="1444"/>
    </row>
    <row r="21" spans="1:46" ht="13.5" customHeight="1">
      <c r="A21" s="1449"/>
      <c r="B21" s="1450"/>
      <c r="C21" s="1457" t="s">
        <v>290</v>
      </c>
      <c r="D21" s="1458"/>
      <c r="E21" s="1458"/>
      <c r="F21" s="1458"/>
      <c r="G21" s="1458"/>
      <c r="H21" s="1458"/>
      <c r="I21" s="1458"/>
      <c r="J21" s="1458"/>
      <c r="K21" s="1459" t="s">
        <v>98</v>
      </c>
      <c r="L21" s="1460">
        <f>SUM(L7:L18)</f>
        <v>22990</v>
      </c>
      <c r="M21" s="1460">
        <f>SUM(M7:M18)</f>
        <v>47481.97</v>
      </c>
      <c r="N21" s="1460">
        <f>SUM(N7:N20)</f>
        <v>62205.16</v>
      </c>
      <c r="O21" s="1460">
        <f t="shared" ref="O21:X21" si="3">SUM(O7:O20)</f>
        <v>0</v>
      </c>
      <c r="P21" s="1460">
        <f t="shared" si="3"/>
        <v>32554647.010000002</v>
      </c>
      <c r="Q21" s="1460">
        <f t="shared" si="3"/>
        <v>58152.774999999994</v>
      </c>
      <c r="R21" s="1460">
        <f t="shared" si="3"/>
        <v>35836338.187018037</v>
      </c>
      <c r="S21" s="1460">
        <f t="shared" si="3"/>
        <v>6558.8482674697943</v>
      </c>
      <c r="T21" s="1460">
        <f t="shared" si="3"/>
        <v>0</v>
      </c>
      <c r="U21" s="1460">
        <f t="shared" si="3"/>
        <v>385530</v>
      </c>
      <c r="V21" s="1460">
        <f t="shared" si="3"/>
        <v>53857388.189999998</v>
      </c>
      <c r="W21" s="1460">
        <f t="shared" si="3"/>
        <v>0</v>
      </c>
      <c r="X21" s="1460">
        <f t="shared" si="3"/>
        <v>0</v>
      </c>
      <c r="Y21" s="1460">
        <f>SUM(Y7:Y20)</f>
        <v>21957251.177018031</v>
      </c>
      <c r="AB21" s="1413"/>
      <c r="AC21" s="1413"/>
      <c r="AJ21" s="1414"/>
      <c r="AK21" s="1439"/>
      <c r="AL21" s="1440"/>
      <c r="AM21" s="1440"/>
      <c r="AN21" s="1443"/>
      <c r="AO21" s="1443"/>
      <c r="AP21" s="1443"/>
      <c r="AQ21" s="1448"/>
      <c r="AR21" s="1444"/>
      <c r="AS21" s="1444"/>
      <c r="AT21" s="1444"/>
    </row>
    <row r="22" spans="1:46" ht="11.25" hidden="1">
      <c r="A22" s="1960" t="s">
        <v>327</v>
      </c>
      <c r="B22" s="1961"/>
      <c r="C22" s="1961"/>
      <c r="D22" s="1961"/>
      <c r="E22" s="1961"/>
      <c r="F22" s="1961"/>
      <c r="G22" s="1961"/>
      <c r="H22" s="1961"/>
      <c r="I22" s="1961"/>
      <c r="J22" s="1961"/>
      <c r="K22" s="1961"/>
      <c r="L22" s="1961"/>
      <c r="M22" s="1961"/>
      <c r="N22" s="1961"/>
      <c r="O22" s="1962"/>
      <c r="P22" s="1408"/>
      <c r="Q22" s="1409"/>
      <c r="R22" s="1410"/>
      <c r="S22" s="1411"/>
      <c r="T22" s="1412"/>
      <c r="U22" s="1410"/>
      <c r="V22" s="789"/>
      <c r="W22" s="790"/>
      <c r="X22" s="790"/>
      <c r="Y22" s="791"/>
      <c r="AB22" s="1413"/>
      <c r="AC22" s="1413"/>
      <c r="AJ22" s="1414"/>
      <c r="AK22" s="1439"/>
      <c r="AL22" s="1440"/>
      <c r="AM22" s="1440"/>
      <c r="AN22" s="1443"/>
      <c r="AO22" s="1443"/>
      <c r="AP22" s="1443"/>
      <c r="AQ22" s="1448"/>
      <c r="AR22" s="1444"/>
      <c r="AS22" s="1444"/>
      <c r="AT22" s="1444"/>
    </row>
    <row r="23" spans="1:46" ht="14.25" hidden="1" customHeight="1">
      <c r="A23" s="1415"/>
      <c r="B23" s="1416"/>
      <c r="C23" s="1417" t="s">
        <v>256</v>
      </c>
      <c r="D23" s="1417" t="s">
        <v>257</v>
      </c>
      <c r="E23" s="1418" t="s">
        <v>258</v>
      </c>
      <c r="F23" s="1418" t="s">
        <v>259</v>
      </c>
      <c r="G23" s="1418" t="s">
        <v>260</v>
      </c>
      <c r="H23" s="1418" t="s">
        <v>261</v>
      </c>
      <c r="I23" s="1418" t="s">
        <v>262</v>
      </c>
      <c r="J23" s="1418" t="s">
        <v>263</v>
      </c>
      <c r="K23" s="1963" t="s">
        <v>264</v>
      </c>
      <c r="L23" s="1964"/>
      <c r="M23" s="1964"/>
      <c r="N23" s="1964" t="s">
        <v>265</v>
      </c>
      <c r="O23" s="1965"/>
      <c r="P23" s="1419"/>
      <c r="Q23" s="1420"/>
      <c r="R23" s="1421" t="s">
        <v>266</v>
      </c>
      <c r="S23" s="1421" t="s">
        <v>267</v>
      </c>
      <c r="T23" s="1421"/>
      <c r="U23" s="1421"/>
      <c r="V23" s="1966" t="s">
        <v>268</v>
      </c>
      <c r="W23" s="1967"/>
      <c r="X23" s="1967"/>
      <c r="Y23" s="1968"/>
      <c r="AB23" s="1413"/>
      <c r="AC23" s="1413"/>
      <c r="AJ23" s="1414"/>
      <c r="AK23" s="1439"/>
      <c r="AL23" s="1440"/>
      <c r="AM23" s="1440"/>
      <c r="AN23" s="1443"/>
      <c r="AO23" s="1443"/>
      <c r="AP23" s="1443"/>
      <c r="AQ23" s="1448"/>
      <c r="AR23" s="1444"/>
      <c r="AS23" s="1444"/>
      <c r="AT23" s="1444"/>
    </row>
    <row r="24" spans="1:46" ht="14.25" hidden="1" customHeight="1">
      <c r="A24" s="1427" t="s">
        <v>269</v>
      </c>
      <c r="B24" s="1421" t="s">
        <v>270</v>
      </c>
      <c r="C24" s="1427" t="s">
        <v>271</v>
      </c>
      <c r="D24" s="1427"/>
      <c r="E24" s="1427"/>
      <c r="F24" s="1427"/>
      <c r="G24" s="1427"/>
      <c r="H24" s="1427"/>
      <c r="I24" s="1427"/>
      <c r="J24" s="1427"/>
      <c r="K24" s="1421" t="s">
        <v>272</v>
      </c>
      <c r="L24" s="1420" t="s">
        <v>273</v>
      </c>
      <c r="M24" s="1421" t="s">
        <v>274</v>
      </c>
      <c r="N24" s="1421" t="s">
        <v>275</v>
      </c>
      <c r="O24" s="1421" t="s">
        <v>276</v>
      </c>
      <c r="P24" s="1428" t="s">
        <v>277</v>
      </c>
      <c r="Q24" s="1428" t="s">
        <v>278</v>
      </c>
      <c r="R24" s="1429" t="s">
        <v>279</v>
      </c>
      <c r="S24" s="1429" t="s">
        <v>280</v>
      </c>
      <c r="T24" s="1429" t="s">
        <v>281</v>
      </c>
      <c r="U24" s="1429" t="s">
        <v>282</v>
      </c>
      <c r="V24" s="792" t="s">
        <v>283</v>
      </c>
      <c r="W24" s="792" t="s">
        <v>284</v>
      </c>
      <c r="X24" s="792" t="s">
        <v>285</v>
      </c>
      <c r="Y24" s="792" t="s">
        <v>286</v>
      </c>
      <c r="AB24" s="1413"/>
      <c r="AC24" s="1413"/>
      <c r="AJ24" s="1414"/>
      <c r="AK24" s="1439"/>
      <c r="AL24" s="1440"/>
      <c r="AM24" s="1440"/>
      <c r="AN24" s="1443"/>
      <c r="AO24" s="1443"/>
      <c r="AP24" s="1443"/>
      <c r="AQ24" s="1448"/>
      <c r="AR24" s="1444"/>
      <c r="AS24" s="1444"/>
      <c r="AT24" s="1444"/>
    </row>
    <row r="25" spans="1:46" ht="14.25" hidden="1" customHeight="1">
      <c r="A25" s="1430"/>
      <c r="B25" s="1431"/>
      <c r="C25" s="1430" t="s">
        <v>328</v>
      </c>
      <c r="D25" s="1430"/>
      <c r="E25" s="1430"/>
      <c r="F25" s="1430"/>
      <c r="G25" s="1430"/>
      <c r="H25" s="1430"/>
      <c r="I25" s="1430"/>
      <c r="J25" s="1430"/>
      <c r="K25" s="1432" t="s">
        <v>329</v>
      </c>
      <c r="L25" s="1433">
        <v>100649.23</v>
      </c>
      <c r="M25" s="1433"/>
      <c r="N25" s="1433"/>
      <c r="O25" s="1434">
        <f>102184.17-102184.17</f>
        <v>0</v>
      </c>
      <c r="P25" s="1433">
        <v>8051938.4000000004</v>
      </c>
      <c r="Q25" s="1433">
        <v>100649.23</v>
      </c>
      <c r="R25" s="793">
        <f>+P25</f>
        <v>8051938.4000000004</v>
      </c>
      <c r="S25" s="793">
        <f>+P25/Q25</f>
        <v>80</v>
      </c>
      <c r="T25" s="1430" t="s">
        <v>330</v>
      </c>
      <c r="U25" s="1437">
        <v>38628</v>
      </c>
      <c r="V25" s="793"/>
      <c r="W25" s="793">
        <f>+R25-8051938.4</f>
        <v>0</v>
      </c>
      <c r="X25" s="793"/>
      <c r="Y25" s="793"/>
      <c r="Z25" s="1405" t="s">
        <v>292</v>
      </c>
      <c r="AA25" s="1405" t="s">
        <v>331</v>
      </c>
      <c r="AB25" s="1413"/>
      <c r="AC25" s="1413"/>
      <c r="AJ25" s="1414"/>
      <c r="AK25" s="1439"/>
      <c r="AL25" s="1440"/>
      <c r="AM25" s="1440"/>
      <c r="AN25" s="1443"/>
      <c r="AO25" s="1443"/>
      <c r="AP25" s="1443"/>
      <c r="AQ25" s="1448"/>
      <c r="AR25" s="1444"/>
      <c r="AS25" s="1444"/>
      <c r="AT25" s="1444"/>
    </row>
    <row r="26" spans="1:46" s="1407" customFormat="1" ht="14.25" hidden="1" customHeight="1">
      <c r="A26" s="1461"/>
      <c r="B26" s="1462"/>
      <c r="C26" s="1463" t="s">
        <v>329</v>
      </c>
      <c r="D26" s="1463"/>
      <c r="E26" s="1463"/>
      <c r="F26" s="1463"/>
      <c r="G26" s="1463"/>
      <c r="H26" s="1463"/>
      <c r="I26" s="1463"/>
      <c r="J26" s="1463"/>
      <c r="K26" s="1463" t="s">
        <v>98</v>
      </c>
      <c r="L26" s="1446">
        <f>SUM(L25:L25)</f>
        <v>100649.23</v>
      </c>
      <c r="M26" s="1446">
        <f>SUM(M25:M25)</f>
        <v>0</v>
      </c>
      <c r="N26" s="1446">
        <f>SUM(N25:N25)</f>
        <v>0</v>
      </c>
      <c r="O26" s="1446">
        <f>SUM(O25:O25)</f>
        <v>0</v>
      </c>
      <c r="P26" s="1446"/>
      <c r="Q26" s="1446"/>
      <c r="R26" s="1464">
        <f>SUM(R25:R25)</f>
        <v>8051938.4000000004</v>
      </c>
      <c r="S26" s="1461"/>
      <c r="T26" s="1461"/>
      <c r="U26" s="1461"/>
      <c r="V26" s="796">
        <f>SUM(V25)</f>
        <v>0</v>
      </c>
      <c r="W26" s="796">
        <f>SUM(W25)</f>
        <v>0</v>
      </c>
      <c r="X26" s="796">
        <f>SUM(X25)</f>
        <v>0</v>
      </c>
      <c r="Y26" s="796">
        <f>SUM(Y25:Y25)</f>
        <v>0</v>
      </c>
      <c r="AB26" s="1465"/>
      <c r="AC26" s="1465"/>
      <c r="AJ26" s="1414"/>
      <c r="AK26" s="1439"/>
      <c r="AL26" s="1440"/>
      <c r="AM26" s="1440"/>
      <c r="AN26" s="1443"/>
      <c r="AO26" s="1443"/>
      <c r="AP26" s="1443"/>
      <c r="AQ26" s="1448"/>
      <c r="AR26" s="1444"/>
      <c r="AS26" s="1444"/>
      <c r="AT26" s="1444"/>
    </row>
    <row r="27" spans="1:46" ht="11.25">
      <c r="A27" s="1960" t="s">
        <v>332</v>
      </c>
      <c r="B27" s="1961"/>
      <c r="C27" s="1961"/>
      <c r="D27" s="1961"/>
      <c r="E27" s="1961"/>
      <c r="F27" s="1961"/>
      <c r="G27" s="1961"/>
      <c r="H27" s="1961"/>
      <c r="I27" s="1961"/>
      <c r="J27" s="1961"/>
      <c r="K27" s="1961"/>
      <c r="L27" s="1961"/>
      <c r="M27" s="1961"/>
      <c r="N27" s="1961"/>
      <c r="O27" s="1962"/>
      <c r="P27" s="1408"/>
      <c r="Q27" s="1409"/>
      <c r="R27" s="1410"/>
      <c r="S27" s="1411"/>
      <c r="T27" s="1412"/>
      <c r="U27" s="1410"/>
      <c r="V27" s="789"/>
      <c r="W27" s="790"/>
      <c r="X27" s="790"/>
      <c r="Y27" s="791"/>
      <c r="AB27" s="1413"/>
      <c r="AC27" s="1413"/>
      <c r="AG27" s="1414">
        <v>165469.01999999999</v>
      </c>
      <c r="AJ27" s="1414"/>
      <c r="AK27" s="1439"/>
      <c r="AL27" s="1440"/>
      <c r="AM27" s="1440"/>
      <c r="AN27" s="1443"/>
      <c r="AO27" s="1443"/>
      <c r="AP27" s="1443"/>
      <c r="AQ27" s="1448"/>
      <c r="AR27" s="1444"/>
      <c r="AS27" s="1444"/>
      <c r="AT27" s="1444"/>
    </row>
    <row r="28" spans="1:46" ht="11.25">
      <c r="A28" s="1415"/>
      <c r="B28" s="1416"/>
      <c r="C28" s="1417" t="s">
        <v>256</v>
      </c>
      <c r="D28" s="1417" t="s">
        <v>257</v>
      </c>
      <c r="E28" s="1418" t="s">
        <v>258</v>
      </c>
      <c r="F28" s="1418" t="s">
        <v>259</v>
      </c>
      <c r="G28" s="1418" t="s">
        <v>260</v>
      </c>
      <c r="H28" s="1418" t="s">
        <v>261</v>
      </c>
      <c r="I28" s="1418" t="s">
        <v>262</v>
      </c>
      <c r="J28" s="1418" t="s">
        <v>263</v>
      </c>
      <c r="K28" s="1963" t="s">
        <v>264</v>
      </c>
      <c r="L28" s="1964"/>
      <c r="M28" s="1964"/>
      <c r="N28" s="1964" t="s">
        <v>265</v>
      </c>
      <c r="O28" s="1965"/>
      <c r="P28" s="1466"/>
      <c r="Q28" s="1467"/>
      <c r="R28" s="1421" t="s">
        <v>266</v>
      </c>
      <c r="S28" s="1421" t="s">
        <v>267</v>
      </c>
      <c r="T28" s="1421"/>
      <c r="U28" s="1421"/>
      <c r="V28" s="1966" t="s">
        <v>268</v>
      </c>
      <c r="W28" s="1967"/>
      <c r="X28" s="1967"/>
      <c r="Y28" s="1968"/>
      <c r="AB28" s="1413"/>
      <c r="AC28" s="1413"/>
      <c r="AE28" s="1420">
        <f>SUM(AE30:AE45)</f>
        <v>1484500.9649999999</v>
      </c>
      <c r="AJ28" s="1414"/>
      <c r="AK28" s="1439"/>
      <c r="AL28" s="1440"/>
      <c r="AM28" s="1440"/>
      <c r="AN28" s="1443"/>
      <c r="AO28" s="1443"/>
      <c r="AP28" s="1443"/>
      <c r="AQ28" s="1448"/>
      <c r="AR28" s="1444"/>
      <c r="AS28" s="1444"/>
      <c r="AT28" s="1444"/>
    </row>
    <row r="29" spans="1:46" ht="11.25">
      <c r="A29" s="1427" t="s">
        <v>269</v>
      </c>
      <c r="B29" s="1421" t="s">
        <v>270</v>
      </c>
      <c r="C29" s="1427" t="s">
        <v>271</v>
      </c>
      <c r="D29" s="1427"/>
      <c r="E29" s="1427"/>
      <c r="F29" s="1427"/>
      <c r="G29" s="1427"/>
      <c r="H29" s="1427"/>
      <c r="I29" s="1427"/>
      <c r="J29" s="1427"/>
      <c r="K29" s="1421" t="s">
        <v>272</v>
      </c>
      <c r="L29" s="1420" t="s">
        <v>273</v>
      </c>
      <c r="M29" s="1421" t="s">
        <v>274</v>
      </c>
      <c r="N29" s="1421" t="s">
        <v>275</v>
      </c>
      <c r="O29" s="1421" t="s">
        <v>276</v>
      </c>
      <c r="P29" s="1428" t="s">
        <v>277</v>
      </c>
      <c r="Q29" s="1428" t="s">
        <v>278</v>
      </c>
      <c r="R29" s="1429" t="s">
        <v>279</v>
      </c>
      <c r="S29" s="1429" t="s">
        <v>280</v>
      </c>
      <c r="T29" s="1429" t="s">
        <v>281</v>
      </c>
      <c r="U29" s="1429" t="s">
        <v>282</v>
      </c>
      <c r="V29" s="792" t="s">
        <v>283</v>
      </c>
      <c r="W29" s="792" t="s">
        <v>284</v>
      </c>
      <c r="X29" s="792" t="s">
        <v>285</v>
      </c>
      <c r="Y29" s="792" t="s">
        <v>286</v>
      </c>
      <c r="AB29" s="1413"/>
      <c r="AC29" s="1413"/>
      <c r="AE29" s="1429" t="s">
        <v>280</v>
      </c>
      <c r="AF29" s="1423">
        <v>1</v>
      </c>
      <c r="AG29" s="1405" t="s">
        <v>287</v>
      </c>
      <c r="AJ29" s="1414"/>
      <c r="AK29" s="1439"/>
      <c r="AL29" s="1440"/>
      <c r="AM29" s="1440"/>
      <c r="AN29" s="1443"/>
      <c r="AO29" s="1443"/>
      <c r="AP29" s="1443"/>
      <c r="AQ29" s="1448"/>
      <c r="AR29" s="1444"/>
      <c r="AS29" s="1444"/>
      <c r="AT29" s="1444"/>
    </row>
    <row r="30" spans="1:46" ht="13.5" customHeight="1">
      <c r="A30" s="1430"/>
      <c r="B30" s="1430"/>
      <c r="C30" s="1468" t="s">
        <v>333</v>
      </c>
      <c r="D30" s="1469"/>
      <c r="E30" s="1468"/>
      <c r="F30" s="1468"/>
      <c r="G30" s="1468"/>
      <c r="H30" s="1468"/>
      <c r="I30" s="1468"/>
      <c r="J30" s="1468"/>
      <c r="K30" s="1432" t="s">
        <v>334</v>
      </c>
      <c r="L30" s="1433">
        <v>326450.42499999999</v>
      </c>
      <c r="M30" s="1433"/>
      <c r="N30" s="1434">
        <f>+L30-60000-21513.22+239.13-120000+29760.83-25100-55235.26-25000+25100</f>
        <v>74701.90499999997</v>
      </c>
      <c r="O30" s="1430"/>
      <c r="P30" s="1433">
        <v>12003190.390000001</v>
      </c>
      <c r="Q30" s="1433">
        <f>+L30</f>
        <v>326450.42499999999</v>
      </c>
      <c r="R30" s="1433">
        <f>+P30</f>
        <v>12003190.390000001</v>
      </c>
      <c r="S30" s="1435">
        <f>+P30/Q30</f>
        <v>36.768800009986208</v>
      </c>
      <c r="T30" s="1436" t="s">
        <v>335</v>
      </c>
      <c r="U30" s="1437">
        <v>38406</v>
      </c>
      <c r="V30" s="793"/>
      <c r="W30" s="793"/>
      <c r="X30" s="793"/>
      <c r="Y30" s="793">
        <f>+R30+3187.9+63113.69+22657.4+2020.06+2020.06+3548.59+42994.27+52969.89+31929.19+5115.59+20258.47+5303.75+62953.55+5313.98+17256.89+109163.57+4411+3764.44+12487.99+18729.24+11855.3+462.18+13481.17-1002.43+32324.98+69656.11+19603.49-19603.49+71252.6+19603.49+15537.5+32239.75+27890.29+34220.02+20278.71+53614.74+18329.09+56788.87+61711.87-2370000+19745.06+25042.44+9304.74+18514.73+20414.47+10818.31+10014.1-866601.91+31673.03+14143.2+9923.13+9445.64+16206.38+8648+96378.82+64856.62+29625.09+675.49+39864.72-4972336.68+46249.32+11177.95+36935.1+28217.64+16275.66+5659.98+17415.3+22166.09+522.45+2382.6+4044.17+1175554.37+32226.74+13690.19+17715.41+6084.09+6120.75+11395.22+33249.08-1092547.37+19689.54+40041.01+13940.96+10288.22+14627.19+11528.68+12606.35+24427.01+146254.46+32721.93+68295.87+48099.58+96090.95-2633404.38+160461.61+60110.26+84914.15+27337.19+24879.39+41199.98+20635.22+49386.71+25705.97+24626.25+70514.75+41196.15+12475.86+20911.07+25595+32710.75-1434075.87+3969.35+13212.13+6501.57+8407.97+23341.48+36421.24+19955.22+16707.18+9422.93+5672.36+27069.73+21277.95+20201.76+25798.87+27580.45+26783.61+19377.92+8699.29+61662.08+59786.58+6638.17+18717.61+27393.78+9638.48+38875.82+1342930.32+40969.3+23618.08+46730.17+26686.71+2943.02+14022.47+633018.68+25534.7+16415.23+77397.56+44127.86+10231.35+8326.6</f>
        <v>5701381.6600000039</v>
      </c>
      <c r="Z30" s="1405" t="s">
        <v>292</v>
      </c>
      <c r="AA30" s="1405" t="s">
        <v>336</v>
      </c>
      <c r="AB30" s="1413"/>
      <c r="AC30" s="1413"/>
      <c r="AE30" s="1414">
        <f>N30</f>
        <v>74701.90499999997</v>
      </c>
      <c r="AF30" s="1405">
        <f>(AE30*$AF$29)/$AE$28</f>
        <v>5.0321223603919975E-2</v>
      </c>
      <c r="AG30" s="1408">
        <f>AF30*$AG$27</f>
        <v>8326.6035549415064</v>
      </c>
      <c r="AH30" s="1470"/>
      <c r="AI30" s="1414"/>
      <c r="AJ30" s="1414"/>
      <c r="AK30" s="1439" t="s">
        <v>6819</v>
      </c>
      <c r="AL30" s="1440" t="s">
        <v>376</v>
      </c>
      <c r="AM30" s="1440" t="s">
        <v>376</v>
      </c>
      <c r="AN30" s="1471" t="s">
        <v>5626</v>
      </c>
      <c r="AO30" s="1471" t="s">
        <v>5626</v>
      </c>
      <c r="AP30" s="1442" t="s">
        <v>5627</v>
      </c>
      <c r="AQ30" s="1448">
        <v>49601.91</v>
      </c>
      <c r="AR30" s="1444" t="s">
        <v>5628</v>
      </c>
      <c r="AS30" s="1444" t="s">
        <v>5629</v>
      </c>
      <c r="AT30" s="1442" t="s">
        <v>5609</v>
      </c>
    </row>
    <row r="31" spans="1:46" ht="13.5" customHeight="1">
      <c r="A31" s="1430"/>
      <c r="B31" s="1430"/>
      <c r="C31" s="1468" t="s">
        <v>337</v>
      </c>
      <c r="D31" s="1469"/>
      <c r="E31" s="1468"/>
      <c r="F31" s="1468"/>
      <c r="G31" s="1468"/>
      <c r="H31" s="1468"/>
      <c r="I31" s="1468"/>
      <c r="J31" s="1468"/>
      <c r="K31" s="1432" t="s">
        <v>334</v>
      </c>
      <c r="L31" s="1433">
        <f>269719.667-134858</f>
        <v>134861.66700000002</v>
      </c>
      <c r="M31" s="1430"/>
      <c r="N31" s="1434">
        <f>+L31-47634.34</f>
        <v>87227.327000000019</v>
      </c>
      <c r="O31" s="1430"/>
      <c r="P31" s="1433">
        <v>21642306.079999998</v>
      </c>
      <c r="Q31" s="1433">
        <f>+L31</f>
        <v>134861.66700000002</v>
      </c>
      <c r="R31" s="1433">
        <f>+P31</f>
        <v>21642306.079999998</v>
      </c>
      <c r="S31" s="1435">
        <f>+P31/Q31</f>
        <v>160.47781820760079</v>
      </c>
      <c r="T31" s="1436" t="s">
        <v>335</v>
      </c>
      <c r="U31" s="1437">
        <v>38406</v>
      </c>
      <c r="V31" s="793"/>
      <c r="W31" s="793"/>
      <c r="X31" s="793"/>
      <c r="Y31" s="793">
        <f>+R31-10821005.8+35701.05+20286.67+17353-25573.75-10633.67+1316.97+26073.23+9360.12+834.52+834.52+1465.98+17761.59+21882.67+13190.44+2113.31+8369.08+2191.06+26007.52+2195.28+7129.07+45097.63+1822.23+1555.15+5158.98+7737.35+4897.61+190.93+5569.26-414.12+13353.94+28776+8098.5-8098.5+29435.54+8098.5+6418.78+13318.74+11521.91+14136.81+8377.45+22149.07+7572.03+23460.35+25494.12+8156.99+12675.02+4709.52+9371.07+10332.63+5475.6+5068.55+16031.04+7158.46+5463.66+8220.68+4756.92+53014.12+35675.02+16295.58+371.56+21927.98+49827.8+12042.83+20316.52+30400.94+17534.96+6097.91+18762.78+23881.16+562.87+2566.95+4357.08+34720.26+11916.32+15419.99+5295.76+5327.67+9918.72+28940.94+20451.5+41592.59+14480.45+10686.35+15193.24+11974.82+13094.2+25372.3+151914.28+33988.23+70938.8+49960.95+99809.53+290074.64+108664.39+153503.66+49418.84+44975.74+74479.31+37303.35+89278.87+46470+44518.12+127473.1+74472.38+22553.23+37802.01-4791606.27+29926.63+38246.62+6980.29+23234.17+11433.32+14785.81+41047.12+64048.49+35092.21+29380.38+16570.68+9975.12+47603.42+37418.29+35525.75+45368.54+48501.54+47100.27+34077+15298.12+108435.73+105137.57+11673.52+32915.81+48173.28+16949.72+68364.99+47838.71+27578.17+54565.51+31161.32+3436.5+16373.64+739158.23+29816.16+19167.6+90374.97+51526.87+11946.86+9722.75</f>
        <v>10930253.349999992</v>
      </c>
      <c r="Z31" s="1405" t="s">
        <v>292</v>
      </c>
      <c r="AA31" s="1405" t="s">
        <v>336</v>
      </c>
      <c r="AB31" s="1413"/>
      <c r="AC31" s="1413"/>
      <c r="AE31" s="1414">
        <f>N31</f>
        <v>87227.327000000019</v>
      </c>
      <c r="AF31" s="1405">
        <f t="shared" ref="AF31:AF55" si="4">(AE31*$AF$29)/$AE$28</f>
        <v>5.8758686627057889E-2</v>
      </c>
      <c r="AG31" s="1472">
        <f t="shared" ref="AG31:AG55" si="5">AF31*$AG$27</f>
        <v>9722.742292666373</v>
      </c>
      <c r="AH31" s="1473"/>
      <c r="AI31" s="1414"/>
      <c r="AJ31" s="1414"/>
      <c r="AK31" s="1439" t="s">
        <v>6820</v>
      </c>
      <c r="AL31" s="1440" t="s">
        <v>376</v>
      </c>
      <c r="AM31" s="1440" t="s">
        <v>376</v>
      </c>
      <c r="AN31" s="1474" t="s">
        <v>5626</v>
      </c>
      <c r="AO31" s="1474" t="s">
        <v>5626</v>
      </c>
      <c r="AP31" s="1474" t="s">
        <v>5627</v>
      </c>
      <c r="AQ31" s="1475">
        <v>87227.33</v>
      </c>
      <c r="AR31" s="1444" t="s">
        <v>5628</v>
      </c>
      <c r="AS31" s="1444" t="s">
        <v>5629</v>
      </c>
      <c r="AT31" s="1442" t="s">
        <v>5609</v>
      </c>
    </row>
    <row r="32" spans="1:46" ht="13.5" customHeight="1">
      <c r="A32" s="1430"/>
      <c r="B32" s="1430"/>
      <c r="C32" s="1468" t="s">
        <v>338</v>
      </c>
      <c r="D32" s="1469"/>
      <c r="E32" s="1468"/>
      <c r="F32" s="1468"/>
      <c r="G32" s="1468"/>
      <c r="H32" s="1468"/>
      <c r="I32" s="1468"/>
      <c r="J32" s="1468"/>
      <c r="K32" s="1432" t="s">
        <v>334</v>
      </c>
      <c r="L32" s="1433">
        <v>102059.933</v>
      </c>
      <c r="M32" s="1430"/>
      <c r="N32" s="1434">
        <f>+L32</f>
        <v>102059.933</v>
      </c>
      <c r="O32" s="1430"/>
      <c r="P32" s="1433">
        <v>4335505.95</v>
      </c>
      <c r="Q32" s="1433">
        <f>+L32</f>
        <v>102059.933</v>
      </c>
      <c r="R32" s="1433">
        <f>+P32</f>
        <v>4335505.95</v>
      </c>
      <c r="S32" s="1435">
        <f>+P32/Q32</f>
        <v>42.479999962375047</v>
      </c>
      <c r="T32" s="1436" t="s">
        <v>335</v>
      </c>
      <c r="U32" s="1437">
        <v>38406</v>
      </c>
      <c r="V32" s="793"/>
      <c r="W32" s="793"/>
      <c r="X32" s="793"/>
      <c r="Y32" s="793">
        <f>+R32+996.65+19731.57+7083.5+631.54+631.54+1109.41+13441.53+16560.26+9982.19+1599.31+6333.51+1658.14+19681.5+1661.34+5395.1+34128.76+1379.03+1176.9+3904.19+5855.45+3706.39+144.49+4214.69-313.39+10105.93+21776.96+6128.74-6128.74+22276.07+6128.74+4857.57+10079.29+8719.49+10698.39+6339.84+16761.86+5730.32+17754.21+19293.31+6173+9592.14+3564.04+7091.79+7819.47+4143.79+3835.75+12131.89+5417.35+4134.75+6221.2+3599.92+40119.76+26997.96+12332.08+281.19+16594.55+37708.43+9113.71+15375.03+23006.67+13270.02+4614.75+14199.2+18072.66+425.97+1942.6+3297.34+26275.42+9017.98+11669.46+4007.7+4031.84+7506.24+21901.78+15477.18+31478.23+10958.44+8087.17+11497.86+9062.25+9909.37+19201.12+114964.93+25721.44+53684.71+37809.19+75533.36+219521.23+82234.49+116167.73+37398.94+34036.52+56364.08+28230.24+67564.02+35167.33+33690.2+96468.45+56358.82+17067.72+28607.61+35015.52+44750.29+8167.26+27185.03+13377.51+17300.06+48026.99+74939.67+41059.47+34376.38+19388.45+11671.35+55698.16+43781.1+41566.75+53083.25+56749+55109.45+39871.64+17899.5+126874.73+123015.73+13658.54+38512.99+56364.92+19831.95+79990.15+55973.46+32267.71+63844.12+36460.16+4020.86+19157.91+864848.69+34886.26+22426.96+105742.82+60288.77+13978.37+11376.05</f>
        <v>8907009.5700000059</v>
      </c>
      <c r="Z32" s="1405" t="s">
        <v>292</v>
      </c>
      <c r="AA32" s="1405" t="s">
        <v>336</v>
      </c>
      <c r="AB32" s="1413"/>
      <c r="AC32" s="1413"/>
      <c r="AE32" s="1414">
        <f>N32</f>
        <v>102059.933</v>
      </c>
      <c r="AF32" s="1405">
        <f t="shared" si="4"/>
        <v>6.8750331192947392E-2</v>
      </c>
      <c r="AG32" s="1472">
        <f t="shared" si="5"/>
        <v>11376.049927172435</v>
      </c>
      <c r="AH32" s="1473" t="s">
        <v>339</v>
      </c>
      <c r="AI32" s="1414"/>
      <c r="AJ32" s="1414"/>
      <c r="AK32" s="1439" t="s">
        <v>6821</v>
      </c>
      <c r="AL32" s="1440" t="s">
        <v>376</v>
      </c>
      <c r="AM32" s="1440" t="s">
        <v>376</v>
      </c>
      <c r="AN32" s="1474" t="s">
        <v>5626</v>
      </c>
      <c r="AO32" s="1474" t="s">
        <v>5626</v>
      </c>
      <c r="AP32" s="1474" t="s">
        <v>5627</v>
      </c>
      <c r="AQ32" s="1475">
        <v>102059.93</v>
      </c>
      <c r="AR32" s="1444" t="s">
        <v>5628</v>
      </c>
      <c r="AS32" s="1444" t="s">
        <v>5629</v>
      </c>
      <c r="AT32" s="1442" t="s">
        <v>5609</v>
      </c>
    </row>
    <row r="33" spans="1:46" ht="13.5" customHeight="1">
      <c r="A33" s="1430"/>
      <c r="B33" s="1430"/>
      <c r="C33" s="1468" t="s">
        <v>340</v>
      </c>
      <c r="D33" s="1469"/>
      <c r="E33" s="1468"/>
      <c r="F33" s="1468"/>
      <c r="G33" s="1468"/>
      <c r="H33" s="1468"/>
      <c r="I33" s="1468"/>
      <c r="J33" s="1468"/>
      <c r="K33" s="1432" t="s">
        <v>334</v>
      </c>
      <c r="L33" s="1433">
        <v>50895.93</v>
      </c>
      <c r="M33" s="1430"/>
      <c r="N33" s="1434">
        <f>+L33</f>
        <v>50895.93</v>
      </c>
      <c r="O33" s="1430"/>
      <c r="P33" s="1433">
        <v>4035843.67</v>
      </c>
      <c r="Q33" s="1433">
        <f>+L33</f>
        <v>50895.93</v>
      </c>
      <c r="R33" s="1433">
        <f>+P33</f>
        <v>4035843.67</v>
      </c>
      <c r="S33" s="1435">
        <f>+P33/Q33</f>
        <v>79.296000092738254</v>
      </c>
      <c r="T33" s="1436" t="s">
        <v>335</v>
      </c>
      <c r="U33" s="1437">
        <v>38406</v>
      </c>
      <c r="V33" s="793"/>
      <c r="W33" s="793"/>
      <c r="X33" s="793"/>
      <c r="Y33" s="793">
        <f>+R33+497.02+9839.87+3532.45+314.94+314.94+553.25+6703.11+8258.38+4977.99+797.56+3158.44+826.89+9814.9+828.49+2690.47+17019.56+687.71+586.9+1946.97+2920.03+1848.33+72.06+2101.81-156.29+5039.69+10859.88+3056.32-3056.32+11108.79+3056.32+2422.42+5026.41+4348.29+5335.14+3161.59+8358.92+2857.63+8853.79+9621.32+3078.39+4783.47+1777.34+3536.58+3899.47+2066.45+1912.84+6050.01+2701.56+2061.94+3102.43+1795.23+20007.19+13463.53+6149.85+140.22+8275.48+18804.69+4544.89+7667.32+11473.12+6617.58+2301.31+7080.95+9012.6+212.42+968.75+1644.33+13103.2+4497.15+5819.41+1998.58+2010.63+3743.26+10922.12+7718.26+15696.78+5464.83+4032.96+5733.83+4519.22+4941.67+9575.34+57331.48+12826.94+26771.84+18854.94+37667.48+109472.32+41009.24+57931.3+18650.36+16973.56+28108.01+14078.04+33693.28+17537.47+16800.85+48107.53+28105.39+8511.44+14266.23+17461.77+22316.37+4072.9+13556.81+6671.18+8627.32+23950.42+37371.4+20475.81+17143.04+9668.76+5820.35+27775.94+21833.05+20728.78+26471.91+28299.97+27482.35+19883.45+8926.24+63270.73+61346.31+6811.33+19205.92+28108.44+9889.93+39890.02+27913.22+16091.48+31838.21+18182.2+2005.15+9553.79+431288.53+17397.2+11184.03+52732.54+30065.21+6970.83+5673.08</f>
        <v>6315590.490000003</v>
      </c>
      <c r="Z33" s="1405" t="s">
        <v>292</v>
      </c>
      <c r="AA33" s="1405" t="s">
        <v>336</v>
      </c>
      <c r="AB33" s="1413"/>
      <c r="AC33" s="1413"/>
      <c r="AE33" s="1414">
        <f>N33</f>
        <v>50895.93</v>
      </c>
      <c r="AF33" s="1405">
        <f t="shared" si="4"/>
        <v>3.4284874984907808E-2</v>
      </c>
      <c r="AG33" s="1472">
        <f t="shared" si="5"/>
        <v>5673.084664575209</v>
      </c>
      <c r="AH33" s="1473"/>
      <c r="AI33" s="1414"/>
      <c r="AJ33" s="1414"/>
      <c r="AK33" s="1439" t="s">
        <v>6822</v>
      </c>
      <c r="AL33" s="1440" t="s">
        <v>376</v>
      </c>
      <c r="AM33" s="1440" t="s">
        <v>376</v>
      </c>
      <c r="AN33" s="1474" t="s">
        <v>5626</v>
      </c>
      <c r="AO33" s="1474" t="s">
        <v>5626</v>
      </c>
      <c r="AP33" s="1474" t="s">
        <v>5627</v>
      </c>
      <c r="AQ33" s="1475">
        <v>50895.93</v>
      </c>
      <c r="AR33" s="1444" t="s">
        <v>5628</v>
      </c>
      <c r="AS33" s="1444" t="s">
        <v>5629</v>
      </c>
      <c r="AT33" s="1442" t="s">
        <v>5609</v>
      </c>
    </row>
    <row r="34" spans="1:46" ht="13.5" customHeight="1">
      <c r="A34" s="1430"/>
      <c r="B34" s="1431"/>
      <c r="C34" s="1430" t="s">
        <v>341</v>
      </c>
      <c r="D34" s="1433"/>
      <c r="E34" s="1430"/>
      <c r="F34" s="1430"/>
      <c r="G34" s="1430"/>
      <c r="H34" s="1430"/>
      <c r="I34" s="1430"/>
      <c r="J34" s="1430"/>
      <c r="K34" s="1432" t="s">
        <v>334</v>
      </c>
      <c r="M34" s="1433">
        <v>4119.6980000000003</v>
      </c>
      <c r="N34" s="1476"/>
      <c r="O34" s="1434">
        <f>+M34</f>
        <v>4119.6980000000003</v>
      </c>
      <c r="P34" s="1433"/>
      <c r="Q34" s="1433"/>
      <c r="R34" s="793">
        <f>+S34*M34</f>
        <v>151481.29546000002</v>
      </c>
      <c r="S34" s="1430">
        <v>36.770000000000003</v>
      </c>
      <c r="T34" s="1430" t="s">
        <v>342</v>
      </c>
      <c r="U34" s="1430"/>
      <c r="V34" s="793">
        <f>+R34+40.23+796.47+285.93+25.49+25.49+44.78+542.57+668.46+777.87+64.58+255.66+66.95+794.45+67.08+217.75+1378.8+55.65+47.52+157.59+235.35+149.61+6.83+6532.5-12.69+407.93+879.04+247.39-247.39+899.18+247.39+196.08+406.86+351.97+431.85+255.91+676.6+231.31+716.66+778.78+249.18+387.19+143.86+286.26+315.66+167.27+154.83+489.71+218.67+166.9+251.12+145.31+1608.09+1089.79+497.79+11.35+669.85+28028.8+1522.12+367.88+620.65+928.68+535.65+186.28+573.16+729.51+17.19+78.41+133.1+1060.62+364.02+471.04+161.77+162.75+302.99+884.08+624.74+1270.55+442.34+326.44+464.12+365.8+400+775.06+4640.61+1038.26+2167.01+1526.19+3048.94+8861.08+3319.43+4689.17+1509.63+1373.9+2275.16+1139.53+2727.25+1419.55+1359.92+3894+2274.95+688.95+1154.76+1413.42+1806.37+329.68+1097.34+539.99+698.33+1938.63+3024.97+1657.39+1387.62+782.62+471.12+2248.28+1767.24+1677.86+2142.73+2290.7+2224.52+1609.44+722.52+5121.35+4965.59+551.33+1554.6+2275.2+800.53+3228.84+2259.4+1302.5+2577.1+1471.73+162.3+773.32+34910.03+1408.2+905.28+4268.36+2433.59+564.24+459.2</f>
        <v>370768.10546000005</v>
      </c>
      <c r="W34" s="793"/>
      <c r="X34" s="793"/>
      <c r="Y34" s="793"/>
      <c r="Z34" s="1405" t="s">
        <v>303</v>
      </c>
      <c r="AB34" s="1413"/>
      <c r="AC34" s="1413"/>
      <c r="AE34" s="1414">
        <f t="shared" ref="AE34:AE41" si="6">O34</f>
        <v>4119.6980000000003</v>
      </c>
      <c r="AF34" s="1407">
        <f t="shared" si="4"/>
        <v>2.7751399946041805E-3</v>
      </c>
      <c r="AG34" s="1477">
        <f t="shared" si="5"/>
        <v>459.19969526995902</v>
      </c>
      <c r="AH34" s="1473"/>
      <c r="AI34" s="1414"/>
      <c r="AJ34" s="1414"/>
      <c r="AK34" s="1439" t="s">
        <v>6823</v>
      </c>
      <c r="AL34" s="1440" t="s">
        <v>376</v>
      </c>
      <c r="AM34" s="1440" t="s">
        <v>376</v>
      </c>
      <c r="AN34" s="1474" t="s">
        <v>5626</v>
      </c>
      <c r="AO34" s="1474" t="s">
        <v>5626</v>
      </c>
      <c r="AP34" s="1474" t="s">
        <v>5593</v>
      </c>
      <c r="AQ34" s="1475">
        <v>4119.7</v>
      </c>
      <c r="AR34" s="1444" t="s">
        <v>5628</v>
      </c>
      <c r="AS34" s="1444" t="s">
        <v>5629</v>
      </c>
      <c r="AT34" s="1442" t="s">
        <v>5609</v>
      </c>
    </row>
    <row r="35" spans="1:46" ht="15" customHeight="1">
      <c r="A35" s="1430"/>
      <c r="B35" s="1431"/>
      <c r="C35" s="1430" t="s">
        <v>343</v>
      </c>
      <c r="D35" s="1433"/>
      <c r="E35" s="1430"/>
      <c r="F35" s="1430"/>
      <c r="G35" s="1430"/>
      <c r="H35" s="1430"/>
      <c r="I35" s="1430"/>
      <c r="J35" s="1430"/>
      <c r="K35" s="1432" t="s">
        <v>334</v>
      </c>
      <c r="L35" s="1433">
        <f>668659.52-20000-61000</f>
        <v>587659.52000000002</v>
      </c>
      <c r="M35" s="1421"/>
      <c r="N35" s="1476"/>
      <c r="O35" s="1434">
        <f>+L35-101171.05-35374.74-20000+20000-47563.18</f>
        <v>403550.55000000005</v>
      </c>
      <c r="P35" s="1433"/>
      <c r="Q35" s="1433"/>
      <c r="R35" s="793">
        <v>35438954.579999998</v>
      </c>
      <c r="S35" s="793">
        <f>+R35/L35</f>
        <v>60.305250530102867</v>
      </c>
      <c r="T35" s="1430" t="s">
        <v>344</v>
      </c>
      <c r="U35" s="1447">
        <v>38384</v>
      </c>
      <c r="V35" s="793"/>
      <c r="W35" s="797">
        <f>+R35+77000+1007999.41+24412.18+25766.17+6529.69-1095000-3336700+113614.07+40786.7+3636.41+3636.41+6387.99+77396.11+95353.72+57477.3+9208.83+36468.27+9547.52+113325.79+9565.93+31064.93+196512.86+7940.46+6776.58+22480.25+33715.51+21341.31+831.99+24268.12-1804.52+58189.79+125391.39+35289.21-35289.21+128265.34+35289.21+27969.82+58036.37+50206.69+61601.15+36504.71+96514.53+32995.09+102228.45+111090.58+35544.05+55231.39+20521.71+40834.44+45024.4+23859.9+22086.21+69855.25+31192.99+23807.83+35821.58+20728.27+231008.97+155453.86+71007.95+1619.07+95551.16-5991788.89+179744.54+43442.28+88529.24+109665.74+63254.11+21997.1+67683.25+86146.84+2030.46+9259.8+15717.35+125246.89+42985.95+55624.76+19103.45+19218.56+35779.94+104399.06+73774.98+150037.57-2202795.25+48437.27+35745.97+50821.55+40055.91+43800.26+84870.61+508154.9+113691+237291.1+167119.91+333863.97+970302.84+363483.54+513471.4+165306.57+150444.34+249134.09+124780.09+298638.8+155442.64+148913.57+426398.88+249110.87+75440.79+126448.1+154771.63+197800.14+36099.97+120160.18+59129.73+76467.81+212283.44+331239.72+181486.41+151946.58-1564729.1+81899.19+49301.21+235275.9+184936.74+175583.05+224230.19+239714.72+1564729.1-3852566.7+217905.79+157654.63+70775.6+501669.64+486410.92+54006.63+152282.48+222869.98+78416.59+316285.41+221322.12+127588.29+252443.15+144165.47+15898.68+75751.41+3419658.94+137942.17+88677.43+418112.88+238385.1+55271.24+44981.53</f>
        <v>40130389.409999967</v>
      </c>
      <c r="X35" s="793"/>
      <c r="Y35" s="793"/>
      <c r="Z35" s="1405" t="s">
        <v>345</v>
      </c>
      <c r="AB35" s="1413" t="s">
        <v>346</v>
      </c>
      <c r="AC35" s="1478" t="s">
        <v>347</v>
      </c>
      <c r="AD35" s="1479"/>
      <c r="AE35" s="1414">
        <f t="shared" si="6"/>
        <v>403550.55000000005</v>
      </c>
      <c r="AF35" s="1405">
        <f t="shared" si="4"/>
        <v>0.27184256495245868</v>
      </c>
      <c r="AG35" s="1472">
        <f t="shared" si="5"/>
        <v>44981.522816969678</v>
      </c>
      <c r="AH35" s="1473"/>
      <c r="AI35" s="1414"/>
      <c r="AJ35" s="1414"/>
      <c r="AK35" s="1480" t="s">
        <v>6824</v>
      </c>
      <c r="AL35" s="1445" t="s">
        <v>5630</v>
      </c>
      <c r="AM35" s="1445" t="s">
        <v>5631</v>
      </c>
      <c r="AN35" s="1474" t="s">
        <v>5626</v>
      </c>
      <c r="AO35" s="1474" t="s">
        <v>5626</v>
      </c>
      <c r="AP35" s="1474" t="s">
        <v>5627</v>
      </c>
      <c r="AQ35" s="1475">
        <v>403550.55</v>
      </c>
      <c r="AR35" s="1444" t="s">
        <v>5628</v>
      </c>
      <c r="AS35" s="1444" t="s">
        <v>5629</v>
      </c>
      <c r="AT35" s="1442" t="s">
        <v>5609</v>
      </c>
    </row>
    <row r="36" spans="1:46" ht="13.5" customHeight="1">
      <c r="A36" s="1430"/>
      <c r="B36" s="1431"/>
      <c r="C36" s="1430" t="s">
        <v>348</v>
      </c>
      <c r="D36" s="1433">
        <v>534767.88</v>
      </c>
      <c r="E36" s="1447">
        <v>38448</v>
      </c>
      <c r="F36" s="1430"/>
      <c r="G36" s="1430">
        <v>3929</v>
      </c>
      <c r="H36" s="1430" t="s">
        <v>313</v>
      </c>
      <c r="I36" s="1430">
        <v>86</v>
      </c>
      <c r="J36" s="1430"/>
      <c r="K36" s="1432" t="s">
        <v>334</v>
      </c>
      <c r="L36" s="1433">
        <v>10089.959999999999</v>
      </c>
      <c r="M36" s="1421"/>
      <c r="N36" s="1476"/>
      <c r="O36" s="1434">
        <f>+L36</f>
        <v>10089.959999999999</v>
      </c>
      <c r="P36" s="1433"/>
      <c r="Q36" s="1433"/>
      <c r="R36" s="793">
        <v>534767.88</v>
      </c>
      <c r="S36" s="793">
        <f>+R36/L36</f>
        <v>53.000000000000007</v>
      </c>
      <c r="T36" s="1430" t="s">
        <v>344</v>
      </c>
      <c r="U36" s="1447">
        <v>38384</v>
      </c>
      <c r="V36" s="793"/>
      <c r="W36" s="793">
        <f>+R36+9676+98.53+1950.72+700.3+62.44+62.44+109.68+1328.87+1637.2+986.87+158.11+626.15+163.93+1945.77+164.24+533.38+3374.07+136.34+116.35+385.98+578.89+366.42+14.29+416.68-30.98+999.1+2152.94+605.91-605.91+2202.28+605.91+480.23+996+409.6747+862.04+1057.68+626.78+1657.13+566.52+1755.24+1907.4+610.28+948.31+352.35+701.12+773.06+379.21+1199.4+535.58+408.77+615.05+355.9+3966.36+2669.1+1219.19+27.8+1640.59+3727.97+901.01+1520.02+2274.51+1311.92+456.23+1403.78+1786.72+42.11+192.05+325.98+2597.67+891.55+1153.68+396.21+398.6+742.09+2165.28+1530.12+3111.84+1083.39+799.52+1136.71+895.92+979.67+1898.28+11365.79+2542.9+5307.44+3737.93+7467.46+21702.55+8129.96+11484.7+3697.38+3364.95+5572.33+2790.93+6679.59+3476.75+3330.72+9537.17+5571.81+1687.37+2828.24+3461.74+4424.15+807.44+2687.6+1322.54+1710.34+4748.1+7408.76+4059.27+3398.56+1916.8+1153.87+5506.49+4328.33+4109.42+5247.97+5610.39+5448.29+3941.83+1769.6+12543.22+12161.71+1350.33+3807.51+5572.41+1960.65+7908.07+5533.71+3190.09+6311.83+3604.56+397.51+1894.01+85501.61+3448.96+2217.2+10454.06+5960.33+1381.94+1124.67</f>
        <v>996396.21470000013</v>
      </c>
      <c r="X36" s="793"/>
      <c r="Y36" s="793"/>
      <c r="Z36" s="1405" t="s">
        <v>345</v>
      </c>
      <c r="AB36" s="1413" t="s">
        <v>346</v>
      </c>
      <c r="AC36" s="1413"/>
      <c r="AE36" s="1414">
        <f t="shared" si="6"/>
        <v>10089.959999999999</v>
      </c>
      <c r="AF36" s="1405">
        <f t="shared" si="4"/>
        <v>6.796869950165374E-3</v>
      </c>
      <c r="AG36" s="1472">
        <f t="shared" si="5"/>
        <v>1124.6714097213132</v>
      </c>
      <c r="AH36" s="1473"/>
      <c r="AI36" s="1414"/>
      <c r="AJ36" s="1414"/>
      <c r="AK36" s="1439" t="s">
        <v>6825</v>
      </c>
      <c r="AL36" s="1445" t="s">
        <v>5632</v>
      </c>
      <c r="AM36" s="1445" t="s">
        <v>5633</v>
      </c>
      <c r="AN36" s="1474" t="s">
        <v>5626</v>
      </c>
      <c r="AO36" s="1474" t="s">
        <v>5626</v>
      </c>
      <c r="AP36" s="1474" t="s">
        <v>5627</v>
      </c>
      <c r="AQ36" s="1475">
        <v>10089.959999999999</v>
      </c>
      <c r="AR36" s="1444" t="s">
        <v>5628</v>
      </c>
      <c r="AS36" s="1444" t="s">
        <v>5629</v>
      </c>
      <c r="AT36" s="1442" t="s">
        <v>5609</v>
      </c>
    </row>
    <row r="37" spans="1:46" ht="13.5" customHeight="1">
      <c r="A37" s="1430">
        <v>10</v>
      </c>
      <c r="B37" s="1431"/>
      <c r="C37" s="1430" t="s">
        <v>349</v>
      </c>
      <c r="D37" s="1433">
        <v>578656.19999999995</v>
      </c>
      <c r="E37" s="1447">
        <v>38417</v>
      </c>
      <c r="F37" s="1447">
        <v>38385</v>
      </c>
      <c r="G37" s="1430">
        <v>3933</v>
      </c>
      <c r="H37" s="1430" t="s">
        <v>313</v>
      </c>
      <c r="I37" s="1430">
        <v>61</v>
      </c>
      <c r="J37" s="1430"/>
      <c r="K37" s="1432" t="s">
        <v>334</v>
      </c>
      <c r="L37" s="1433">
        <v>9644.27</v>
      </c>
      <c r="M37" s="1462"/>
      <c r="N37" s="1476"/>
      <c r="O37" s="1434">
        <f>+L37</f>
        <v>9644.27</v>
      </c>
      <c r="P37" s="1433"/>
      <c r="Q37" s="1433"/>
      <c r="R37" s="793">
        <v>578656.19999999995</v>
      </c>
      <c r="S37" s="793">
        <f>+R37/L37</f>
        <v>59.999999999999993</v>
      </c>
      <c r="T37" s="1430" t="s">
        <v>344</v>
      </c>
      <c r="U37" s="1447">
        <v>38384</v>
      </c>
      <c r="V37" s="793"/>
      <c r="W37" s="793">
        <f>+R37+9976+94.18+1864.56+669.36+59.68+59.68+104.84+1270.17+1564.88+943.28+151.13+598.49+156.69+1859.83+156.99+509.82+3225.04+130.89+111.21+368.93+553.32+350.24+13.65+398.27-29.61+954.97+2057.84+579.14-579.14+2105+579.14+459.02+952.45+823.96+1010.96+599.09+1583.93+541.49+1677.7+1823.14+583.32+906.42+336.79+670.15+738.91+391.57+362.46+1146.42+511.92+390.72+587.88+340.18+3791.16+2551.2+1165.33+26.57+1568.12+3563.3+861.21+1452.88+2174.04+1253.97+436.08+1341.77+1707.8+40.25+183.57+311.58+2482.93+852.16+1102.72+378.71+380.99+709.31+2069.63+1462.53+2974.38+1035.53+764.21+1086.5+856.35+936.4+1814.43+10863.74+2430.58+5073+3572.82+7137.61+20743.91+7770.84+10977.4+3534.06+3216.32+5326.19+2667.65+6384.54+3323.18+3183.59+9115.9+5325.69+1612.83+2703.31+3308.83+4228.73+771.77+2568.88+1264.12+1634.79+4538.37+7081.51+3879.96+3248.44+1832.13+1102.9+5263.26+4137.14+3927.9+5016.16+5362.57+5207.63+3767.72+1691.43+11989.16+11624.51+1290.68+3639.33+5326.27+1874.04+7558.76+5289.28+3049.17+6033.02+3445.34+379.96+1810.35+81724.86+3296.62+2119.26+9992.29+5697.06+1320.9+1074.99</f>
        <v>1020622.0100000001</v>
      </c>
      <c r="X37" s="793"/>
      <c r="Y37" s="793"/>
      <c r="Z37" s="1405" t="s">
        <v>345</v>
      </c>
      <c r="AB37" s="1413" t="s">
        <v>346</v>
      </c>
      <c r="AC37" s="1413"/>
      <c r="AE37" s="1414">
        <f t="shared" si="6"/>
        <v>9644.27</v>
      </c>
      <c r="AF37" s="1405">
        <f t="shared" si="4"/>
        <v>6.496641111984728E-3</v>
      </c>
      <c r="AG37" s="1472">
        <f t="shared" si="5"/>
        <v>1074.9928380918232</v>
      </c>
      <c r="AH37" s="1473"/>
      <c r="AI37" s="1414"/>
      <c r="AJ37" s="1414"/>
      <c r="AK37" s="1439" t="s">
        <v>6826</v>
      </c>
      <c r="AL37" s="1481" t="s">
        <v>313</v>
      </c>
      <c r="AM37" s="1481">
        <v>61</v>
      </c>
      <c r="AN37" s="1474" t="s">
        <v>5626</v>
      </c>
      <c r="AO37" s="1474" t="s">
        <v>5626</v>
      </c>
      <c r="AP37" s="1474" t="s">
        <v>5627</v>
      </c>
      <c r="AQ37" s="1475">
        <v>9644.27</v>
      </c>
      <c r="AR37" s="1444" t="s">
        <v>5628</v>
      </c>
      <c r="AS37" s="1444" t="s">
        <v>5629</v>
      </c>
      <c r="AT37" s="1442" t="s">
        <v>5609</v>
      </c>
    </row>
    <row r="38" spans="1:46" ht="13.5" customHeight="1">
      <c r="A38" s="1430" t="s">
        <v>350</v>
      </c>
      <c r="B38" s="1431"/>
      <c r="C38" s="1430" t="s">
        <v>351</v>
      </c>
      <c r="D38" s="1433">
        <v>882614</v>
      </c>
      <c r="E38" s="1447">
        <v>38596</v>
      </c>
      <c r="F38" s="1447">
        <v>38614</v>
      </c>
      <c r="G38" s="1430">
        <v>3998</v>
      </c>
      <c r="H38" s="1430" t="s">
        <v>313</v>
      </c>
      <c r="I38" s="1430">
        <v>98</v>
      </c>
      <c r="J38" s="1430"/>
      <c r="K38" s="1432" t="s">
        <v>334</v>
      </c>
      <c r="L38" s="1433">
        <v>22065.360000000001</v>
      </c>
      <c r="M38" s="1462"/>
      <c r="N38" s="1476"/>
      <c r="O38" s="1434">
        <f>+L38</f>
        <v>22065.360000000001</v>
      </c>
      <c r="P38" s="1433">
        <v>882614</v>
      </c>
      <c r="Q38" s="1433">
        <f>L38</f>
        <v>22065.360000000001</v>
      </c>
      <c r="R38" s="793">
        <f>P38</f>
        <v>882614</v>
      </c>
      <c r="S38" s="793"/>
      <c r="T38" s="1430" t="s">
        <v>352</v>
      </c>
      <c r="U38" s="1447">
        <v>38594</v>
      </c>
      <c r="V38" s="793"/>
      <c r="W38" s="793">
        <f>R38+20930.04+215.48+4265.97+1531.45+136.54+136.54+239.86+2906.06+3580.33+2158.15+345.77+1369.31+358.49+4255.14+359.18+1166.42+7378.64+298.15+254.45+844.09+1265.95+801.32+31.24+911.22-67.76+2184.9+4708.18+1325.03-1325.03+4816.09+1325.03+1050.21+2179.14+1885.15+2312.99+1370.67+3623.91+1238.9+3838.46+4171.21+1334.6+2073.82+770.55+1533.25+1690.57+895.89+829.29+2+1345.0262292+1171.23+893.93+1345.02+778.3+8673.89+5836.96+2666.2+60.79+3587.74+8152.56+1970.38+3324.08+4974.04+2868.98+997.71+3069.87+3907.31+92.09+419.99+712.88+5680.75+1949.69+2522.94+866.46+871.68+1622.85+4735.16+3346.17+6805.16+2369.22+1748.45+2485.84+1959.26+2142.41+4151.28+24855.42+5560.98+11606.64+8174.35+16330.31+47460.5+17779.1+25115.47+8085.65+7358.7+12185.91+6103.38+14607.34+7603.18+7283.82+20856.48+12184.78+3690.04+6184.97+7570.36+9675.01+1765.76+5877.4+2892.22+3740.28+10383.44+16201.95+8877.06+7432.17+4191.78+2523.35+12041.94+9465.47+8986.73+11476.6+12269.14+11914.67+8620.25+3869.87+27430.31+26596+2952.98+8326.51+12186.1+4287.67+17293.87+12101.46+6976.28+13803.1+7882.69+869.31+4141.94+186980.31+7542.41+4848.71+22861.6+13034.43+3022.12+2459.5</f>
        <v>1890626.9062291998</v>
      </c>
      <c r="X38" s="793"/>
      <c r="Y38" s="793"/>
      <c r="Z38" s="1405" t="s">
        <v>353</v>
      </c>
      <c r="AB38" s="1413" t="s">
        <v>354</v>
      </c>
      <c r="AC38" s="1413"/>
      <c r="AE38" s="1414">
        <f>O38</f>
        <v>22065.360000000001</v>
      </c>
      <c r="AF38" s="1405">
        <f t="shared" si="4"/>
        <v>1.4863823278147888E-2</v>
      </c>
      <c r="AG38" s="1472">
        <f t="shared" si="5"/>
        <v>2459.5022712883183</v>
      </c>
      <c r="AH38" s="1473"/>
      <c r="AI38" s="1414"/>
      <c r="AJ38" s="1414"/>
      <c r="AK38" s="1439" t="s">
        <v>6827</v>
      </c>
      <c r="AL38" s="1445" t="s">
        <v>5634</v>
      </c>
      <c r="AM38" s="1445" t="s">
        <v>5635</v>
      </c>
      <c r="AN38" s="1474" t="s">
        <v>5626</v>
      </c>
      <c r="AO38" s="1474" t="s">
        <v>5626</v>
      </c>
      <c r="AP38" s="1474" t="s">
        <v>5627</v>
      </c>
      <c r="AQ38" s="1475">
        <v>22065.360000000001</v>
      </c>
      <c r="AR38" s="1444" t="s">
        <v>5628</v>
      </c>
      <c r="AS38" s="1444" t="s">
        <v>5629</v>
      </c>
      <c r="AT38" s="1442" t="s">
        <v>5609</v>
      </c>
    </row>
    <row r="39" spans="1:46" ht="13.5" customHeight="1">
      <c r="A39" s="1430" t="s">
        <v>355</v>
      </c>
      <c r="B39" s="1431"/>
      <c r="C39" s="1430" t="s">
        <v>356</v>
      </c>
      <c r="D39" s="1433">
        <v>1129889.68</v>
      </c>
      <c r="E39" s="1447">
        <v>38596</v>
      </c>
      <c r="F39" s="1447">
        <v>38614</v>
      </c>
      <c r="G39" s="1430">
        <v>3998</v>
      </c>
      <c r="H39" s="1430" t="s">
        <v>313</v>
      </c>
      <c r="I39" s="1430">
        <v>100</v>
      </c>
      <c r="J39" s="1430"/>
      <c r="K39" s="1432" t="s">
        <v>334</v>
      </c>
      <c r="L39" s="1433">
        <v>28247.241999999998</v>
      </c>
      <c r="M39" s="1462"/>
      <c r="N39" s="1476"/>
      <c r="O39" s="1434">
        <f>+L39</f>
        <v>28247.241999999998</v>
      </c>
      <c r="P39" s="1433">
        <v>1129889.68</v>
      </c>
      <c r="Q39" s="1433">
        <f>O39</f>
        <v>28247.241999999998</v>
      </c>
      <c r="R39" s="793">
        <f>P39</f>
        <v>1129889.68</v>
      </c>
      <c r="S39" s="793"/>
      <c r="T39" s="1430" t="s">
        <v>352</v>
      </c>
      <c r="U39" s="1447">
        <v>38594</v>
      </c>
      <c r="V39" s="793"/>
      <c r="W39" s="793">
        <f>R39+20930.03+275.84+5461.13+1960.51+174.79+174.79+307.05+3720.23+4583.4+2797.03+2762.78+442.64+1752.93+458.49+5447.27+459.81+1493.21+9445.85+381.68+325.73+1080.57+1620.62+1025.82+39.99+1166.5-86.74+6027.24-1696.26+6165.38+1696.26+1344.44+2789.66+2413.3+2961+1754.69+4639.2+1585.99+4913.85+5339.83+1708.51+2654.83+986.42+1962.8+2164.2+1146.88+1061.63+3357.76+1499.36+1144.38+1721.85+996.35+11103.99+7472.26+3413.16+77.82+4592.89+10436.6+2522.41+4255.36+6367.58+3672.76+1277.23+3929.93+5001.99+117.9+537.66+912.61+7272.28+2495.92+3229.77+1109.21+1115.9+2077.51+6061.78+4283.64+8711.71+3032.98+2238.29+3182.28+2508.17+2742.63+5314.32+31818.97+7118.95+14858.38+10464.49+20905.45+60757.14+22760.13+32151.87+10350.95+9420.32+15599.95+7813.31+18699.77+9733.3+9324.47+26699.68+15598.49+4723.85+7917.76+9691.28+12385.59+2260.46+7524.03+3702.51+4788.16+13292.48+20741.13+11364.08+9514.39+5366.16+3230.29+15415.64+12117.34+11504.47+14691.91+15706.48+15252.71+11035.32+4954.06+35115.25+34047.2+3780.29+10659.28+15600.18+5488.91+22138.96+15491.84+8930.77+17670.21+10091.12+1112.86+5302.36+239365.14+9655.51+6207.14+29266.56+16686.19+3868.81+3148.56</f>
        <v>2414382.5799999987</v>
      </c>
      <c r="X39" s="793"/>
      <c r="Y39" s="793"/>
      <c r="Z39" s="1405" t="s">
        <v>353</v>
      </c>
      <c r="AB39" s="1413" t="s">
        <v>354</v>
      </c>
      <c r="AC39" s="1413"/>
      <c r="AE39" s="1414">
        <f t="shared" si="6"/>
        <v>28247.241999999998</v>
      </c>
      <c r="AF39" s="1405">
        <f t="shared" si="4"/>
        <v>1.9028106189206823E-2</v>
      </c>
      <c r="AG39" s="1472">
        <f t="shared" si="5"/>
        <v>3148.5620835839873</v>
      </c>
      <c r="AH39" s="1473"/>
      <c r="AI39" s="1414"/>
      <c r="AJ39" s="1414"/>
      <c r="AK39" s="1439" t="s">
        <v>6828</v>
      </c>
      <c r="AL39" s="1445" t="s">
        <v>5636</v>
      </c>
      <c r="AM39" s="1482">
        <v>92</v>
      </c>
      <c r="AN39" s="1474" t="s">
        <v>5626</v>
      </c>
      <c r="AO39" s="1474" t="s">
        <v>5626</v>
      </c>
      <c r="AP39" s="1474" t="s">
        <v>5627</v>
      </c>
      <c r="AQ39" s="1475">
        <v>28247.24</v>
      </c>
      <c r="AR39" s="1444" t="s">
        <v>5628</v>
      </c>
      <c r="AS39" s="1444" t="s">
        <v>5629</v>
      </c>
      <c r="AT39" s="1442" t="s">
        <v>5609</v>
      </c>
    </row>
    <row r="40" spans="1:46" ht="13.5" customHeight="1">
      <c r="A40" s="1430"/>
      <c r="B40" s="1431"/>
      <c r="C40" s="1430" t="s">
        <v>357</v>
      </c>
      <c r="D40" s="1433"/>
      <c r="E40" s="1430"/>
      <c r="F40" s="1430"/>
      <c r="G40" s="1430"/>
      <c r="H40" s="1430"/>
      <c r="I40" s="1430"/>
      <c r="J40" s="1430"/>
      <c r="K40" s="1432" t="s">
        <v>358</v>
      </c>
      <c r="L40" s="1433">
        <v>655048.32999999996</v>
      </c>
      <c r="M40" s="1462"/>
      <c r="N40" s="1476"/>
      <c r="O40" s="1434">
        <f>+L40-77400-20000-30000</f>
        <v>527648.32999999996</v>
      </c>
      <c r="P40" s="1433"/>
      <c r="Q40" s="1433"/>
      <c r="R40" s="793"/>
      <c r="S40" s="793"/>
      <c r="T40" s="1430"/>
      <c r="U40" s="1447"/>
      <c r="V40" s="793"/>
      <c r="W40" s="793">
        <f>32752416.5+681250.24+460+6396.78+126642.56+45463.85+4053.41+4053.41+7120.52+86271.37+106288.24+64068.41+10264.83+40650.21+10642.39+126321.22+10662.91+34627.24+219047.62+8851.02+7553.67+25058.13+37581.77+23788.59+927.4+27051.03-2011.45+64862.63+139770.43+1696.26+142973.94+31177.21+64691.59+55964.05+68665.15+40690.83+107582.17+36778.75+113951.31+123829.69+39620+61564.95+22875+45517.06+50187.49+26595.99+24618.91+77865.77+34769.99+26537.95+39929.36+23105.25+257499.51+173280.25+79150.66+1804.74+106508.31+242022.92+58494.28+98681.12+147663.03+85170.58+29618.71+91134.33+115995.24+2733.98+12468.16+21163.14+168642.77+57879.84+74897.78+25722.46+25877.45+48177.07+140571.54-4489634.63+87599.19+178152.12+62023.62+45772.49+65076.69+51291.35+56085.95+108676.29+650689.21+145580.6+303849.78+213996.01+427510.74+1242466.76+465438.42+657496.94+211674.03+192643.04+319014.66+159780.13+382405.12+199043.33+190682.9+546001.12+318984.92+96601.46+161916.03+198184.1+253281.85+46225.79+153864.37+75715.26+97916.56+271827.64+424150.41+232392.24+194566.65+109736.54+66058.59+315245.66+247796.33+235263.35+300445.54+321193.12+311913.62+225669.2-1562498.99+97801.6+693244.66-2386304.67+635989.5+70614.47+199111.6+291405.8+102530.86+413547.87+289381.96+166823.58+330073.18+188498.49+20787.76+99046.07+4471254.78+180361.52+115947.06+546688.79+311692.06+72267.98+58814.02</f>
        <v>50535826.509999998</v>
      </c>
      <c r="X40" s="793"/>
      <c r="Y40" s="793"/>
      <c r="AB40" s="1413"/>
      <c r="AC40" s="1413"/>
      <c r="AE40" s="1414">
        <f t="shared" si="6"/>
        <v>527648.32999999996</v>
      </c>
      <c r="AF40" s="1405">
        <f>(AE40*$AF$29)/$AE$28</f>
        <v>0.35543818592263426</v>
      </c>
      <c r="AG40" s="1472">
        <f t="shared" si="5"/>
        <v>58814.008295196087</v>
      </c>
      <c r="AH40" s="1473"/>
      <c r="AI40" s="1414"/>
      <c r="AJ40" s="1414"/>
      <c r="AK40" s="1439" t="s">
        <v>6829</v>
      </c>
      <c r="AL40" s="1444" t="s">
        <v>357</v>
      </c>
      <c r="AM40" s="1445" t="s">
        <v>376</v>
      </c>
      <c r="AN40" s="1474" t="s">
        <v>5637</v>
      </c>
      <c r="AO40" s="1474" t="s">
        <v>5637</v>
      </c>
      <c r="AP40" s="1474" t="s">
        <v>5627</v>
      </c>
      <c r="AQ40" s="1475">
        <v>557648.32999999996</v>
      </c>
      <c r="AR40" s="1444" t="s">
        <v>5628</v>
      </c>
      <c r="AS40" s="1444" t="s">
        <v>5629</v>
      </c>
      <c r="AT40" s="1442" t="s">
        <v>5609</v>
      </c>
    </row>
    <row r="41" spans="1:46" ht="13.5" customHeight="1">
      <c r="A41" s="1430"/>
      <c r="B41" s="1431"/>
      <c r="C41" s="1430" t="s">
        <v>359</v>
      </c>
      <c r="D41" s="1433">
        <v>3119074.92</v>
      </c>
      <c r="E41" s="1447">
        <v>38888</v>
      </c>
      <c r="F41" s="1447">
        <v>39052</v>
      </c>
      <c r="G41" s="1430"/>
      <c r="H41" s="1430"/>
      <c r="I41" s="1430">
        <v>650</v>
      </c>
      <c r="J41" s="1430"/>
      <c r="K41" s="1432" t="s">
        <v>358</v>
      </c>
      <c r="L41" s="1433"/>
      <c r="M41" s="1462"/>
      <c r="N41" s="1476"/>
      <c r="O41" s="1434">
        <v>50307.66</v>
      </c>
      <c r="P41" s="1433"/>
      <c r="Q41" s="1433"/>
      <c r="R41" s="793"/>
      <c r="S41" s="793"/>
      <c r="T41" s="1430"/>
      <c r="U41" s="1447"/>
      <c r="V41" s="793"/>
      <c r="W41" s="793">
        <f>3119074.92+59522.9+1924.46+2886.28+1826.96+71.22+2077.52-154.48+4981.44+10980.39+2394.41+4968.31+4298.03+5273.48+3125.05+8262.3+2824.6+8751.45+9510.11+3042.81+4728.18+1756.8+3495.71+3854.4+2042.57+1890.73+5980.09+2670.33+2038.11+3066.57+1774.48+19775.94+13307.91+6078.76+138.6+8179.83+18587.34+4492.36+7578.7+11340.51+6541.09+2274.71+6999.11+8908.42+209.97+957.55+1625.33+12951.75+4445.17+5752.14+1975.48+1987.39+3700+10795.88+7629.05+15515.35+5401.67+3986.35+5667.56+4466.99+4884.55+9464.67+56668.82+12678.68+26462.42+18637.01+37232.11+108207+40535.25+57261.71+18434.79+16777.37+27783.13+13915.33+33303.84+17334.78+16606.66+47551.49+27780.54+8413.07+14101.34+17259.95+22058.43+4025.83+13400.12+6594.08+8527.6+23673.59+36939.45+20239.15+16944.9+9557.01+5753.07+27454.89+21580.7+20489.19+26165.94+27972.86+27164.7+19653.63+8823.07+62539.44+60637.25+6732.61+18983.93+27783.55+9775.62+39428.96+27590.59+15905.49+31470.22+17972.04+1981.97+9443.37+426303.57+17196.23+11054.76+52123.04+29717.71+6890.26+5607.51</f>
        <v>5347661.8800000008</v>
      </c>
      <c r="X41" s="793"/>
      <c r="Y41" s="793"/>
      <c r="AB41" s="1413"/>
      <c r="AC41" s="1413"/>
      <c r="AE41" s="1414">
        <f t="shared" si="6"/>
        <v>50307.66</v>
      </c>
      <c r="AF41" s="1405">
        <f t="shared" si="4"/>
        <v>3.3888600402492843E-2</v>
      </c>
      <c r="AG41" s="1472">
        <f>AF41*$AG$27</f>
        <v>5607.5134977720954</v>
      </c>
      <c r="AH41" s="1473"/>
      <c r="AI41" s="1414"/>
      <c r="AJ41" s="1414"/>
      <c r="AK41" s="1439" t="s">
        <v>6830</v>
      </c>
      <c r="AL41" s="1445" t="s">
        <v>5638</v>
      </c>
      <c r="AM41" s="1445" t="s">
        <v>5639</v>
      </c>
      <c r="AN41" s="1474" t="s">
        <v>5637</v>
      </c>
      <c r="AO41" s="1474" t="s">
        <v>5637</v>
      </c>
      <c r="AP41" s="1474" t="s">
        <v>5627</v>
      </c>
      <c r="AQ41" s="1475">
        <v>50307.66</v>
      </c>
      <c r="AR41" s="1444" t="s">
        <v>5628</v>
      </c>
      <c r="AS41" s="1444" t="s">
        <v>5629</v>
      </c>
      <c r="AT41" s="1442" t="s">
        <v>5609</v>
      </c>
    </row>
    <row r="42" spans="1:46" ht="13.5" customHeight="1">
      <c r="A42" s="1430"/>
      <c r="B42" s="1431"/>
      <c r="C42" s="1430" t="s">
        <v>360</v>
      </c>
      <c r="D42" s="1433">
        <v>2081091.5</v>
      </c>
      <c r="E42" s="1447"/>
      <c r="F42" s="1447"/>
      <c r="G42" s="1430"/>
      <c r="H42" s="1430"/>
      <c r="I42" s="1430"/>
      <c r="J42" s="1430"/>
      <c r="K42" s="1432" t="s">
        <v>358</v>
      </c>
      <c r="L42" s="1433"/>
      <c r="M42" s="1462"/>
      <c r="N42" s="1476"/>
      <c r="O42" s="1434">
        <v>41621.83</v>
      </c>
      <c r="P42" s="1433"/>
      <c r="Q42" s="1433"/>
      <c r="R42" s="793"/>
      <c r="S42" s="793"/>
      <c r="T42" s="1430"/>
      <c r="U42" s="1447"/>
      <c r="V42" s="793"/>
      <c r="W42" s="793">
        <f>2081091.5+48700.55+1592.2+2387.95+1511.53+58.93+1718.82-127.81+4121.38+9084.58+1981+4110.51+3555.96+4362.99+2585.5+6835.78+2336.92+7240.48+7868.15+2517.46+3911.84+1453.48+2892.16+3188.92+1689.91+1564.29+4947.6+2209.29+1686.22+2537.12+1468.11+16361.54+11010.24+5029.24+114.67+6767.55+15378.16+3716.73+6270.21+9382.52+5411.75+1881.98+5790.68+7370.35+173.72+792.23+1344.71+10715.58+3677.69+4759.01+1634.41+1644.26+3061.18+8931.93+6311.87+12836.56+4469.05+3298.09+4689.03+3695.74+4041.21+7830.55+46884.71+10489.65+21893.57+15419.25+30803.83+89524.61+33536.67+47375.24+15251.95+13880.69+22986.26+11512.79+27553.79+14341.85+13739.45+39341.52+22984.12+6960.51+11666.69+14279.94+18249.95+3330.75+11086.53+5455.58+7055.27+19586.25+30561.7+16744.77+14019.29+7906.95+4759.78+22714.69+17854.7+16951.65+21648.28+23143.23+22474.6+16260.35+7299.73+51741.74+50167.97+5570.19+15706.27+22986.6+8087.82+32621.38+22826.96+13159.34+26036.75+14869.09+1639.78+7812.93+352700.46+14227.23+9146.11+43123.78+24586.82+5700.62+4639.35</f>
        <v>3924358.09</v>
      </c>
      <c r="X42" s="793"/>
      <c r="Y42" s="793"/>
      <c r="AB42" s="1413"/>
      <c r="AC42" s="1413"/>
      <c r="AE42" s="1414">
        <f>O42</f>
        <v>41621.83</v>
      </c>
      <c r="AF42" s="1405">
        <f t="shared" si="4"/>
        <v>2.8037590396581526E-2</v>
      </c>
      <c r="AG42" s="1472">
        <f t="shared" si="5"/>
        <v>4639.3526060837557</v>
      </c>
      <c r="AH42" s="1473"/>
      <c r="AI42" s="1414"/>
      <c r="AJ42" s="1414"/>
      <c r="AK42" s="1439" t="s">
        <v>6831</v>
      </c>
      <c r="AL42" s="1445" t="s">
        <v>5640</v>
      </c>
      <c r="AM42" s="1445" t="s">
        <v>5639</v>
      </c>
      <c r="AN42" s="1474" t="s">
        <v>5637</v>
      </c>
      <c r="AO42" s="1474" t="s">
        <v>5637</v>
      </c>
      <c r="AP42" s="1474" t="s">
        <v>5627</v>
      </c>
      <c r="AQ42" s="1475">
        <v>41621.83</v>
      </c>
      <c r="AR42" s="1444" t="s">
        <v>5628</v>
      </c>
      <c r="AS42" s="1444" t="s">
        <v>5629</v>
      </c>
      <c r="AT42" s="1442" t="s">
        <v>5609</v>
      </c>
    </row>
    <row r="43" spans="1:46" ht="13.5" customHeight="1">
      <c r="A43" s="1430"/>
      <c r="B43" s="1431"/>
      <c r="C43" s="1430" t="s">
        <v>361</v>
      </c>
      <c r="D43" s="1433">
        <v>3775954.2</v>
      </c>
      <c r="E43" s="1447">
        <v>39721</v>
      </c>
      <c r="F43" s="1447">
        <v>39592</v>
      </c>
      <c r="G43" s="1430">
        <v>6552</v>
      </c>
      <c r="H43" s="1430" t="s">
        <v>313</v>
      </c>
      <c r="I43" s="1430">
        <v>68</v>
      </c>
      <c r="J43" s="1430"/>
      <c r="K43" s="1432" t="s">
        <v>358</v>
      </c>
      <c r="L43" s="1433"/>
      <c r="M43" s="1462"/>
      <c r="N43" s="1476"/>
      <c r="O43" s="1434">
        <v>62932.57</v>
      </c>
      <c r="P43" s="1433"/>
      <c r="Q43" s="1433"/>
      <c r="R43" s="793"/>
      <c r="S43" s="793"/>
      <c r="T43" s="1430"/>
      <c r="U43" s="1447"/>
      <c r="V43" s="793"/>
      <c r="W43" s="793">
        <f>3775954.2+78539.85+24738.79+7604.25+173.39+10232.59+23251.91+5619.73+9480.61+14186.46+8182.61+2845.56+8755.56+11144.03+262.66+1197.86+2033.21+16202.05+5560.7+7195.67+2471.24+2486.13+4628.52+13505.15+9543.6+19408.99+6757.24+4986.74+7089.86+5588+6110.35+11839.87+70890.09+15860.45+33103.29+23314.04+46575.66+135361.99+50707.73+71631.77+23061.07+20987.72+34755.42+17407.43+41661.57+21685.01+20774.17+59484.73+34752.18+10524.36+17640.12+21591.4+27594.09+5036.12+16762.93+8248.89+10667.63+29614.58+46209.56+25318.24+21197.29+11955.38+7196.83+34344.8+26996.46+25631.04+32732.39+34992.78+33981.79+24585.79+11037.25+78223.97+75854.42+8422.18+23748.02+34755.94+12228.85+49323.82+34514.56+19897.03+39367.8+22482.2+2479.35+11813.22+533286.17+21511.69+13829+65203.53+37175.48+8619.39+7014.74</f>
        <v>6413202.7800000003</v>
      </c>
      <c r="X43" s="793"/>
      <c r="Y43" s="793"/>
      <c r="AB43" s="1413"/>
      <c r="AC43" s="1413"/>
      <c r="AE43" s="1414">
        <f>O43</f>
        <v>62932.57</v>
      </c>
      <c r="AF43" s="1405">
        <f t="shared" si="4"/>
        <v>4.2393081233194081E-2</v>
      </c>
      <c r="AG43" s="1483">
        <f t="shared" si="5"/>
        <v>7014.7416064370154</v>
      </c>
      <c r="AH43" s="1484"/>
      <c r="AI43" s="1414"/>
      <c r="AJ43" s="1414"/>
      <c r="AK43" s="1439" t="s">
        <v>6832</v>
      </c>
      <c r="AL43" s="1445" t="s">
        <v>5641</v>
      </c>
      <c r="AM43" s="1445" t="s">
        <v>376</v>
      </c>
      <c r="AN43" s="1474" t="s">
        <v>5637</v>
      </c>
      <c r="AO43" s="1474" t="s">
        <v>5637</v>
      </c>
      <c r="AP43" s="1474" t="s">
        <v>5627</v>
      </c>
      <c r="AQ43" s="1475">
        <v>62932.57</v>
      </c>
      <c r="AR43" s="1444" t="s">
        <v>5628</v>
      </c>
      <c r="AS43" s="1444" t="s">
        <v>5629</v>
      </c>
      <c r="AT43" s="1442" t="s">
        <v>5609</v>
      </c>
    </row>
    <row r="44" spans="1:46" ht="13.5" customHeight="1">
      <c r="A44" s="1430" t="s">
        <v>4202</v>
      </c>
      <c r="B44" s="1431" t="s">
        <v>4203</v>
      </c>
      <c r="C44" s="1430" t="s">
        <v>4204</v>
      </c>
      <c r="D44" s="1433"/>
      <c r="E44" s="1447"/>
      <c r="F44" s="1447"/>
      <c r="G44" s="1430"/>
      <c r="H44" s="1430"/>
      <c r="I44" s="1430"/>
      <c r="J44" s="1430"/>
      <c r="K44" s="1432"/>
      <c r="L44" s="1433"/>
      <c r="M44" s="1462"/>
      <c r="N44" s="1476"/>
      <c r="O44" s="1434">
        <v>1933.46</v>
      </c>
      <c r="P44" s="1433"/>
      <c r="Q44" s="1433"/>
      <c r="R44" s="793"/>
      <c r="S44" s="793"/>
      <c r="T44" s="1430"/>
      <c r="U44" s="1447"/>
      <c r="V44" s="793"/>
      <c r="W44" s="793">
        <f>26706+35683.27+660.9+424.86+2003.23+1142.13+264.81+215.51</f>
        <v>67100.709999999992</v>
      </c>
      <c r="X44" s="793"/>
      <c r="Y44" s="793"/>
      <c r="AB44" s="1413"/>
      <c r="AC44" s="1413"/>
      <c r="AE44" s="1414">
        <f>O44</f>
        <v>1933.46</v>
      </c>
      <c r="AF44" s="1405">
        <f>(AE44*$AF$29)/$AE$28</f>
        <v>1.302430948571327E-3</v>
      </c>
      <c r="AG44" s="1472">
        <f>AF44*$AG$27</f>
        <v>215.51197267776786</v>
      </c>
      <c r="AH44" s="1407"/>
      <c r="AI44" s="1414"/>
      <c r="AJ44" s="1414"/>
      <c r="AK44" s="1439" t="s">
        <v>6833</v>
      </c>
      <c r="AL44" s="1445"/>
      <c r="AM44" s="1445"/>
      <c r="AN44" s="1474"/>
      <c r="AO44" s="1474"/>
      <c r="AP44" s="1474"/>
      <c r="AQ44" s="1475"/>
      <c r="AR44" s="1444"/>
      <c r="AS44" s="1444"/>
      <c r="AT44" s="1442"/>
    </row>
    <row r="45" spans="1:46" ht="13.5" customHeight="1">
      <c r="A45" s="1430"/>
      <c r="B45" s="1431" t="s">
        <v>4203</v>
      </c>
      <c r="C45" s="1430" t="s">
        <v>4204</v>
      </c>
      <c r="D45" s="1433"/>
      <c r="E45" s="1447"/>
      <c r="F45" s="1447"/>
      <c r="G45" s="1430"/>
      <c r="H45" s="1430"/>
      <c r="I45" s="1430"/>
      <c r="J45" s="1430"/>
      <c r="K45" s="1432"/>
      <c r="L45" s="1433"/>
      <c r="M45" s="1462"/>
      <c r="N45" s="1476"/>
      <c r="O45" s="1434">
        <v>7454.94</v>
      </c>
      <c r="P45" s="1433"/>
      <c r="Q45" s="1433"/>
      <c r="R45" s="793"/>
      <c r="S45" s="793"/>
      <c r="T45" s="1430"/>
      <c r="U45" s="1447"/>
      <c r="V45" s="793"/>
      <c r="W45" s="793">
        <f>4479726+134237.08+2548.26+1638.17+7723.96+4403.78+1021.05+830.96</f>
        <v>4632129.26</v>
      </c>
      <c r="X45" s="793"/>
      <c r="Y45" s="793"/>
      <c r="AB45" s="1413"/>
      <c r="AC45" s="1413"/>
      <c r="AE45" s="1414">
        <f>O45</f>
        <v>7454.94</v>
      </c>
      <c r="AF45" s="1405">
        <f>(AE45*$AF$29)/$AE$28</f>
        <v>5.0218492111253022E-3</v>
      </c>
      <c r="AG45" s="1472">
        <f>AF45*$AG$27</f>
        <v>830.96046755267685</v>
      </c>
      <c r="AH45" s="1407"/>
      <c r="AI45" s="1414"/>
      <c r="AJ45" s="1414"/>
      <c r="AK45" s="1439" t="s">
        <v>6834</v>
      </c>
      <c r="AL45" s="1445"/>
      <c r="AM45" s="1445"/>
      <c r="AN45" s="1474"/>
      <c r="AO45" s="1474"/>
      <c r="AP45" s="1474"/>
      <c r="AQ45" s="1475"/>
      <c r="AR45" s="1444"/>
      <c r="AS45" s="1444"/>
      <c r="AT45" s="1442"/>
    </row>
    <row r="46" spans="1:46" ht="13.5" customHeight="1">
      <c r="A46" s="1430"/>
      <c r="B46" s="1431"/>
      <c r="C46" s="1430"/>
      <c r="D46" s="1433"/>
      <c r="E46" s="1447"/>
      <c r="F46" s="1447"/>
      <c r="G46" s="1430"/>
      <c r="H46" s="1430"/>
      <c r="I46" s="1430"/>
      <c r="J46" s="1430"/>
      <c r="K46" s="1432"/>
      <c r="L46" s="1433"/>
      <c r="M46" s="1462"/>
      <c r="N46" s="1476"/>
      <c r="O46" s="1434"/>
      <c r="P46" s="1433"/>
      <c r="Q46" s="1433"/>
      <c r="R46" s="793"/>
      <c r="S46" s="793"/>
      <c r="T46" s="1430"/>
      <c r="U46" s="1447"/>
      <c r="V46" s="793"/>
      <c r="W46" s="793"/>
      <c r="X46" s="793"/>
      <c r="Y46" s="793"/>
      <c r="AB46" s="1413"/>
      <c r="AC46" s="1413"/>
      <c r="AE46" s="1414"/>
      <c r="AG46" s="1414"/>
      <c r="AH46" s="1407"/>
      <c r="AK46" s="1439"/>
      <c r="AL46" s="1445"/>
      <c r="AM46" s="1445"/>
      <c r="AN46" s="1474"/>
      <c r="AO46" s="1474"/>
      <c r="AP46" s="1474"/>
      <c r="AQ46" s="1475"/>
      <c r="AR46" s="1444"/>
      <c r="AS46" s="1444"/>
      <c r="AT46" s="1442"/>
    </row>
    <row r="47" spans="1:46" ht="13.5" customHeight="1">
      <c r="A47" s="1430"/>
      <c r="B47" s="1431"/>
      <c r="C47" s="1430"/>
      <c r="D47" s="1433"/>
      <c r="E47" s="1447"/>
      <c r="F47" s="1447"/>
      <c r="G47" s="1430"/>
      <c r="H47" s="1430"/>
      <c r="I47" s="1430"/>
      <c r="J47" s="1430"/>
      <c r="K47" s="1432"/>
      <c r="L47" s="1433"/>
      <c r="M47" s="1462"/>
      <c r="N47" s="1485">
        <f>SUM(N30:N46)</f>
        <v>314885.09499999997</v>
      </c>
      <c r="O47" s="1485">
        <f t="shared" ref="O47:Y47" si="7">SUM(O30:O46)</f>
        <v>1169615.8700000001</v>
      </c>
      <c r="P47" s="1485">
        <f t="shared" si="7"/>
        <v>44029349.770000003</v>
      </c>
      <c r="Q47" s="1485">
        <f t="shared" si="7"/>
        <v>664580.55700000003</v>
      </c>
      <c r="R47" s="1485">
        <f t="shared" si="7"/>
        <v>80733209.725460008</v>
      </c>
      <c r="S47" s="1485">
        <f t="shared" si="7"/>
        <v>529.09786880280308</v>
      </c>
      <c r="T47" s="1485">
        <f t="shared" si="7"/>
        <v>0</v>
      </c>
      <c r="U47" s="1485">
        <f t="shared" si="7"/>
        <v>345964</v>
      </c>
      <c r="V47" s="1485">
        <f t="shared" si="7"/>
        <v>370768.10546000005</v>
      </c>
      <c r="W47" s="1485">
        <f t="shared" si="7"/>
        <v>117372696.35092916</v>
      </c>
      <c r="X47" s="1485">
        <f t="shared" si="7"/>
        <v>0</v>
      </c>
      <c r="Y47" s="1485">
        <f t="shared" si="7"/>
        <v>31854235.070000004</v>
      </c>
      <c r="AB47" s="1413"/>
      <c r="AC47" s="1413"/>
      <c r="AE47" s="1414"/>
      <c r="AG47" s="1414"/>
      <c r="AH47" s="1407"/>
      <c r="AK47" s="1439"/>
      <c r="AL47" s="1445"/>
      <c r="AM47" s="1445"/>
      <c r="AN47" s="1474"/>
      <c r="AO47" s="1474"/>
      <c r="AP47" s="1474"/>
      <c r="AQ47" s="1475"/>
      <c r="AR47" s="1444"/>
      <c r="AS47" s="1444"/>
      <c r="AT47" s="1442"/>
    </row>
    <row r="48" spans="1:46" ht="13.5" customHeight="1">
      <c r="A48" s="1430"/>
      <c r="B48" s="1431"/>
      <c r="C48" s="1430"/>
      <c r="D48" s="1433"/>
      <c r="E48" s="1447"/>
      <c r="F48" s="1447"/>
      <c r="G48" s="1430"/>
      <c r="H48" s="1430"/>
      <c r="I48" s="1430"/>
      <c r="J48" s="1430"/>
      <c r="K48" s="1432"/>
      <c r="L48" s="1433"/>
      <c r="M48" s="1462"/>
      <c r="N48" s="1476"/>
      <c r="O48" s="1434"/>
      <c r="P48" s="1433"/>
      <c r="Q48" s="1433"/>
      <c r="R48" s="793"/>
      <c r="S48" s="793"/>
      <c r="T48" s="1430"/>
      <c r="U48" s="1447"/>
      <c r="V48" s="793"/>
      <c r="W48" s="793"/>
      <c r="X48" s="793"/>
      <c r="Y48" s="793"/>
      <c r="AB48" s="1413"/>
      <c r="AC48" s="1413"/>
      <c r="AE48" s="1414"/>
      <c r="AG48" s="1414"/>
      <c r="AH48" s="1407"/>
      <c r="AK48" s="1439"/>
      <c r="AL48" s="1445"/>
      <c r="AM48" s="1445"/>
      <c r="AN48" s="1474"/>
      <c r="AO48" s="1474"/>
      <c r="AP48" s="1474"/>
      <c r="AQ48" s="1475"/>
      <c r="AR48" s="1444"/>
      <c r="AS48" s="1444"/>
      <c r="AT48" s="1442"/>
    </row>
    <row r="49" spans="1:46" ht="11.25">
      <c r="A49" s="1960" t="s">
        <v>362</v>
      </c>
      <c r="B49" s="1961"/>
      <c r="C49" s="1961"/>
      <c r="D49" s="1961"/>
      <c r="E49" s="1961"/>
      <c r="F49" s="1961"/>
      <c r="G49" s="1961"/>
      <c r="H49" s="1961"/>
      <c r="I49" s="1961"/>
      <c r="J49" s="1961"/>
      <c r="K49" s="1961"/>
      <c r="L49" s="1961"/>
      <c r="M49" s="1961"/>
      <c r="N49" s="1961"/>
      <c r="O49" s="1962"/>
      <c r="P49" s="1408"/>
      <c r="Q49" s="1409"/>
      <c r="R49" s="1410"/>
      <c r="S49" s="1411"/>
      <c r="T49" s="1412"/>
      <c r="U49" s="1410"/>
      <c r="V49" s="789"/>
      <c r="W49" s="790"/>
      <c r="X49" s="790"/>
      <c r="Y49" s="791"/>
      <c r="AB49" s="1413"/>
      <c r="AC49" s="1413"/>
      <c r="AG49" s="1414">
        <v>711983.22</v>
      </c>
      <c r="AK49" s="1439"/>
      <c r="AL49" s="1445"/>
      <c r="AM49" s="1445"/>
      <c r="AN49" s="1474"/>
      <c r="AO49" s="1474"/>
      <c r="AP49" s="1474"/>
      <c r="AQ49" s="1475"/>
      <c r="AR49" s="1444"/>
      <c r="AS49" s="1444"/>
      <c r="AT49" s="1442"/>
    </row>
    <row r="50" spans="1:46">
      <c r="A50" s="1415"/>
      <c r="B50" s="1416"/>
      <c r="C50" s="1417" t="s">
        <v>256</v>
      </c>
      <c r="D50" s="1417" t="s">
        <v>257</v>
      </c>
      <c r="E50" s="1418" t="s">
        <v>258</v>
      </c>
      <c r="F50" s="1418" t="s">
        <v>259</v>
      </c>
      <c r="G50" s="1418" t="s">
        <v>260</v>
      </c>
      <c r="H50" s="1418" t="s">
        <v>261</v>
      </c>
      <c r="I50" s="1418" t="s">
        <v>262</v>
      </c>
      <c r="J50" s="1418" t="s">
        <v>263</v>
      </c>
      <c r="K50" s="1963" t="s">
        <v>264</v>
      </c>
      <c r="L50" s="1964"/>
      <c r="M50" s="1964"/>
      <c r="N50" s="1964" t="s">
        <v>265</v>
      </c>
      <c r="O50" s="1965"/>
      <c r="P50" s="1466"/>
      <c r="Q50" s="1467"/>
      <c r="R50" s="1421" t="s">
        <v>266</v>
      </c>
      <c r="S50" s="1421" t="s">
        <v>267</v>
      </c>
      <c r="T50" s="1421"/>
      <c r="U50" s="1421"/>
      <c r="V50" s="1966" t="s">
        <v>268</v>
      </c>
      <c r="W50" s="1967"/>
      <c r="X50" s="1967"/>
      <c r="Y50" s="1968"/>
      <c r="AB50" s="1413"/>
      <c r="AC50" s="1413"/>
      <c r="AE50" s="1420">
        <f>SUM(AE52:AE82)</f>
        <v>2115010.2677968475</v>
      </c>
    </row>
    <row r="51" spans="1:46">
      <c r="A51" s="1427" t="s">
        <v>269</v>
      </c>
      <c r="B51" s="1421" t="s">
        <v>270</v>
      </c>
      <c r="C51" s="1427" t="s">
        <v>271</v>
      </c>
      <c r="D51" s="1427"/>
      <c r="E51" s="1427"/>
      <c r="F51" s="1427"/>
      <c r="G51" s="1427"/>
      <c r="H51" s="1427"/>
      <c r="I51" s="1427"/>
      <c r="J51" s="1427"/>
      <c r="K51" s="1421" t="s">
        <v>272</v>
      </c>
      <c r="L51" s="1420" t="s">
        <v>273</v>
      </c>
      <c r="M51" s="1421" t="s">
        <v>274</v>
      </c>
      <c r="N51" s="1421" t="s">
        <v>275</v>
      </c>
      <c r="O51" s="1421" t="s">
        <v>276</v>
      </c>
      <c r="P51" s="1428" t="s">
        <v>277</v>
      </c>
      <c r="Q51" s="1428" t="s">
        <v>278</v>
      </c>
      <c r="R51" s="1429" t="s">
        <v>279</v>
      </c>
      <c r="S51" s="1429" t="s">
        <v>280</v>
      </c>
      <c r="T51" s="1429" t="s">
        <v>281</v>
      </c>
      <c r="U51" s="1429" t="s">
        <v>282</v>
      </c>
      <c r="V51" s="792" t="s">
        <v>283</v>
      </c>
      <c r="W51" s="792" t="s">
        <v>284</v>
      </c>
      <c r="X51" s="792" t="s">
        <v>285</v>
      </c>
      <c r="Y51" s="792" t="s">
        <v>286</v>
      </c>
      <c r="AB51" s="1413"/>
      <c r="AC51" s="1413"/>
      <c r="AE51" s="1429" t="s">
        <v>280</v>
      </c>
      <c r="AF51" s="1423">
        <v>1</v>
      </c>
      <c r="AG51" s="1405" t="s">
        <v>287</v>
      </c>
    </row>
    <row r="52" spans="1:46" ht="13.5" customHeight="1">
      <c r="A52" s="1430"/>
      <c r="B52" s="1431"/>
      <c r="C52" s="1430" t="s">
        <v>363</v>
      </c>
      <c r="D52" s="1433">
        <v>94903519</v>
      </c>
      <c r="E52" s="1430"/>
      <c r="F52" s="1447">
        <v>38707</v>
      </c>
      <c r="G52" s="1430">
        <v>4116</v>
      </c>
      <c r="H52" s="1430" t="s">
        <v>313</v>
      </c>
      <c r="I52" s="1430">
        <v>74</v>
      </c>
      <c r="J52" s="1430"/>
      <c r="K52" s="1432" t="s">
        <v>364</v>
      </c>
      <c r="L52" s="1433">
        <v>2108967.1</v>
      </c>
      <c r="M52" s="1462"/>
      <c r="N52" s="1476"/>
      <c r="O52" s="1434">
        <f>+L52</f>
        <v>2108967.1</v>
      </c>
      <c r="P52" s="1433"/>
      <c r="Q52" s="1433"/>
      <c r="R52" s="793"/>
      <c r="S52" s="793"/>
      <c r="T52" s="1430"/>
      <c r="U52" s="1447"/>
      <c r="V52" s="793"/>
      <c r="W52" s="793">
        <f>94903519+226292.5+20594.8+407733.26+146373.56+13050.19+13050.19+22924.94+277755.83+342201.31+206272.06+33048.24+130875.77+34263.79+406698.68+34329.87+111484.46+705236.87-28028.83+28496.39+24319.49+80676.15-2100000+120996.75+76588.77+2985.81+87092.39-6475.99+208829.02+100376.88+208278.42+180179.59+221071.53+131006.54+346367.19+118411.36+366873.03+398677.06+127558.96+198212.01+73647.41+146544.89+161581.63+85627.39+79262.04+250693.49+111944.06+85440.51+128554.95+74388.72+829035.02+546563.6+254830.25+5810.45+342909.86+779207.2+188325.82+317709.75+475409.92+274211.77+95359.2+293412.41+373453.57+8802.2+40141.98+68136+542955.44+186347.59+241137.86+82814.99+83314+155108.95+452578.43+319820.54+650425.09+226445.33+167113.23+237591.94+187262.32+204767.2+396772.08</f>
        <v>109153656.92000002</v>
      </c>
      <c r="X52" s="793"/>
      <c r="Y52" s="793"/>
      <c r="AB52" s="1413"/>
      <c r="AC52" s="1413"/>
      <c r="AE52" s="1414">
        <f>O52</f>
        <v>2108967.1</v>
      </c>
      <c r="AF52" s="1405">
        <f>(AE52*$AF$29)/$AE$28</f>
        <v>1.4206572779156128</v>
      </c>
      <c r="AG52" s="1472">
        <f>AF52*$AG$27</f>
        <v>235074.76753256409</v>
      </c>
      <c r="AH52" s="1473"/>
      <c r="AI52" s="1414"/>
      <c r="AJ52" s="1414"/>
      <c r="AK52" s="1486" t="s">
        <v>6835</v>
      </c>
      <c r="AL52" s="1445" t="s">
        <v>5636</v>
      </c>
      <c r="AM52" s="1445" t="s">
        <v>376</v>
      </c>
      <c r="AN52" s="1444" t="s">
        <v>5642</v>
      </c>
      <c r="AO52" s="1444" t="s">
        <v>5642</v>
      </c>
      <c r="AP52" s="1444" t="s">
        <v>5627</v>
      </c>
      <c r="AQ52" s="1443">
        <v>2108967.1</v>
      </c>
      <c r="AR52" s="1444" t="s">
        <v>5643</v>
      </c>
      <c r="AS52" s="1444" t="s">
        <v>5644</v>
      </c>
      <c r="AT52" s="1442" t="s">
        <v>5609</v>
      </c>
    </row>
    <row r="53" spans="1:46" ht="13.5" hidden="1" customHeight="1">
      <c r="A53" s="1430"/>
      <c r="B53" s="1431"/>
      <c r="C53" s="1430"/>
      <c r="D53" s="1433"/>
      <c r="E53" s="1447"/>
      <c r="F53" s="1447"/>
      <c r="G53" s="1430"/>
      <c r="H53" s="1430"/>
      <c r="I53" s="1430"/>
      <c r="J53" s="1430"/>
      <c r="K53" s="1432"/>
      <c r="L53" s="1433"/>
      <c r="M53" s="1462"/>
      <c r="N53" s="1476"/>
      <c r="O53" s="1434"/>
      <c r="P53" s="1433"/>
      <c r="Q53" s="1433"/>
      <c r="R53" s="793"/>
      <c r="S53" s="793"/>
      <c r="T53" s="1430"/>
      <c r="U53" s="1447"/>
      <c r="V53" s="793"/>
      <c r="W53" s="793"/>
      <c r="X53" s="793"/>
      <c r="Y53" s="793"/>
      <c r="AB53" s="1413"/>
      <c r="AC53" s="1413"/>
      <c r="AE53" s="1414"/>
      <c r="AG53" s="1414"/>
      <c r="AH53" s="1407"/>
      <c r="AK53" s="1486"/>
      <c r="AL53" s="1445"/>
      <c r="AM53" s="1445"/>
      <c r="AN53" s="1444"/>
      <c r="AO53" s="1444"/>
      <c r="AP53" s="1444"/>
      <c r="AQ53" s="1443"/>
      <c r="AR53" s="1444"/>
      <c r="AS53" s="1444"/>
      <c r="AT53" s="1442"/>
    </row>
    <row r="54" spans="1:46" ht="13.5" customHeight="1">
      <c r="A54" s="1430"/>
      <c r="B54" s="1431"/>
      <c r="C54" s="1430"/>
      <c r="D54" s="1433"/>
      <c r="E54" s="1447"/>
      <c r="F54" s="1447"/>
      <c r="G54" s="1430"/>
      <c r="H54" s="1430"/>
      <c r="I54" s="1430"/>
      <c r="J54" s="1430"/>
      <c r="K54" s="1432"/>
      <c r="L54" s="1433"/>
      <c r="M54" s="1462"/>
      <c r="N54" s="1485">
        <f>SUM(N52:N53)</f>
        <v>0</v>
      </c>
      <c r="O54" s="1485">
        <f t="shared" ref="O54:Y54" si="8">SUM(O52:O53)</f>
        <v>2108967.1</v>
      </c>
      <c r="P54" s="1485">
        <f t="shared" si="8"/>
        <v>0</v>
      </c>
      <c r="Q54" s="1485">
        <f t="shared" si="8"/>
        <v>0</v>
      </c>
      <c r="R54" s="1485">
        <f t="shared" si="8"/>
        <v>0</v>
      </c>
      <c r="S54" s="1485">
        <f t="shared" si="8"/>
        <v>0</v>
      </c>
      <c r="T54" s="1485">
        <f t="shared" si="8"/>
        <v>0</v>
      </c>
      <c r="U54" s="1485">
        <f t="shared" si="8"/>
        <v>0</v>
      </c>
      <c r="V54" s="1485">
        <f t="shared" si="8"/>
        <v>0</v>
      </c>
      <c r="W54" s="1485">
        <f t="shared" si="8"/>
        <v>109153656.92000002</v>
      </c>
      <c r="X54" s="1485">
        <f t="shared" si="8"/>
        <v>0</v>
      </c>
      <c r="Y54" s="1485">
        <f t="shared" si="8"/>
        <v>0</v>
      </c>
      <c r="AB54" s="1413"/>
      <c r="AC54" s="1413"/>
      <c r="AE54" s="1414"/>
      <c r="AG54" s="1414"/>
      <c r="AH54" s="1407"/>
      <c r="AK54" s="1486"/>
      <c r="AL54" s="1445"/>
      <c r="AM54" s="1445"/>
      <c r="AN54" s="1444"/>
      <c r="AO54" s="1444"/>
      <c r="AP54" s="1444"/>
      <c r="AQ54" s="1443"/>
      <c r="AR54" s="1444"/>
      <c r="AS54" s="1444"/>
      <c r="AT54" s="1442"/>
    </row>
    <row r="55" spans="1:46" ht="13.5" hidden="1" customHeight="1">
      <c r="A55" s="1430"/>
      <c r="B55" s="1431"/>
      <c r="C55" s="1430"/>
      <c r="D55" s="1433"/>
      <c r="E55" s="1447"/>
      <c r="F55" s="1447"/>
      <c r="G55" s="1430"/>
      <c r="H55" s="1430"/>
      <c r="I55" s="1430"/>
      <c r="J55" s="1430"/>
      <c r="K55" s="1432"/>
      <c r="L55" s="1433"/>
      <c r="M55" s="1462"/>
      <c r="N55" s="1476"/>
      <c r="O55" s="1434"/>
      <c r="P55" s="1433"/>
      <c r="Q55" s="1433"/>
      <c r="R55" s="793"/>
      <c r="S55" s="793"/>
      <c r="T55" s="1430"/>
      <c r="U55" s="1447"/>
      <c r="V55" s="793"/>
      <c r="W55" s="793"/>
      <c r="X55" s="793"/>
      <c r="Y55" s="793"/>
      <c r="AB55" s="1413"/>
      <c r="AC55" s="1413"/>
      <c r="AE55" s="1405">
        <v>0</v>
      </c>
      <c r="AF55" s="1405">
        <f t="shared" si="4"/>
        <v>0</v>
      </c>
      <c r="AG55" s="1405">
        <f t="shared" si="5"/>
        <v>0</v>
      </c>
      <c r="AK55" s="1486"/>
      <c r="AL55" s="1445"/>
      <c r="AM55" s="1445"/>
      <c r="AN55" s="1444"/>
      <c r="AO55" s="1444"/>
      <c r="AP55" s="1444"/>
      <c r="AQ55" s="1443"/>
      <c r="AR55" s="1444"/>
      <c r="AS55" s="1444"/>
      <c r="AT55" s="1442"/>
    </row>
    <row r="56" spans="1:46" ht="13.5" customHeight="1">
      <c r="A56" s="1430"/>
      <c r="B56" s="1431"/>
      <c r="C56" s="1487" t="s">
        <v>334</v>
      </c>
      <c r="D56" s="1487"/>
      <c r="E56" s="1487"/>
      <c r="F56" s="1487"/>
      <c r="G56" s="1487"/>
      <c r="H56" s="1487"/>
      <c r="I56" s="1487"/>
      <c r="J56" s="1487"/>
      <c r="K56" s="1463" t="s">
        <v>98</v>
      </c>
      <c r="L56" s="1446">
        <f>SUM(L30:L55)</f>
        <v>4035989.7370000002</v>
      </c>
      <c r="M56" s="1446">
        <f>SUM(M30:M55)</f>
        <v>4119.6980000000003</v>
      </c>
      <c r="N56" s="1446">
        <f>N47+N54</f>
        <v>314885.09499999997</v>
      </c>
      <c r="O56" s="1446">
        <f t="shared" ref="O56:Y56" si="9">O47+O54</f>
        <v>3278582.97</v>
      </c>
      <c r="P56" s="1446">
        <f t="shared" si="9"/>
        <v>44029349.770000003</v>
      </c>
      <c r="Q56" s="1446">
        <f t="shared" si="9"/>
        <v>664580.55700000003</v>
      </c>
      <c r="R56" s="1446">
        <f t="shared" si="9"/>
        <v>80733209.725460008</v>
      </c>
      <c r="S56" s="1446">
        <f t="shared" si="9"/>
        <v>529.09786880280308</v>
      </c>
      <c r="T56" s="1446">
        <f t="shared" si="9"/>
        <v>0</v>
      </c>
      <c r="U56" s="1446">
        <f t="shared" si="9"/>
        <v>345964</v>
      </c>
      <c r="V56" s="1446">
        <f t="shared" si="9"/>
        <v>370768.10546000005</v>
      </c>
      <c r="W56" s="1446">
        <f t="shared" si="9"/>
        <v>226526353.27092916</v>
      </c>
      <c r="X56" s="1446">
        <f t="shared" si="9"/>
        <v>0</v>
      </c>
      <c r="Y56" s="1446">
        <f t="shared" si="9"/>
        <v>31854235.070000004</v>
      </c>
      <c r="AB56" s="1413"/>
      <c r="AC56" s="1413"/>
      <c r="AK56" s="1486"/>
      <c r="AL56" s="1445"/>
      <c r="AM56" s="1445"/>
      <c r="AN56" s="1444"/>
      <c r="AO56" s="1444"/>
      <c r="AP56" s="1444"/>
      <c r="AQ56" s="1443"/>
      <c r="AR56" s="1444"/>
      <c r="AS56" s="1444"/>
      <c r="AT56" s="1442"/>
    </row>
    <row r="57" spans="1:46" ht="13.5" customHeight="1">
      <c r="B57" s="1488"/>
      <c r="C57" s="1489"/>
      <c r="D57" s="1489"/>
      <c r="E57" s="1489"/>
      <c r="F57" s="1489"/>
      <c r="G57" s="1489"/>
      <c r="H57" s="1489"/>
      <c r="I57" s="1489"/>
      <c r="J57" s="1489"/>
      <c r="K57" s="1459" t="s">
        <v>365</v>
      </c>
      <c r="L57" s="1490">
        <f>L21+L26+L56</f>
        <v>4159628.9670000002</v>
      </c>
      <c r="M57" s="1490">
        <f>M21+M26+M56</f>
        <v>51601.668000000005</v>
      </c>
      <c r="N57" s="1490">
        <f>N21+N26+N56</f>
        <v>377090.255</v>
      </c>
      <c r="O57" s="1490">
        <f>O21+O26+O56</f>
        <v>3278582.97</v>
      </c>
      <c r="P57" s="1490"/>
      <c r="Q57" s="1490"/>
      <c r="R57" s="1490"/>
      <c r="S57" s="1490"/>
      <c r="T57" s="1490">
        <f t="shared" ref="T57:Y57" si="10">T21+T26+T56</f>
        <v>0</v>
      </c>
      <c r="U57" s="1490">
        <f t="shared" si="10"/>
        <v>731494</v>
      </c>
      <c r="V57" s="1490">
        <f t="shared" si="10"/>
        <v>54228156.295460001</v>
      </c>
      <c r="W57" s="1490">
        <f t="shared" si="10"/>
        <v>226526353.27092916</v>
      </c>
      <c r="X57" s="1490">
        <f t="shared" si="10"/>
        <v>0</v>
      </c>
      <c r="Y57" s="1490">
        <f t="shared" si="10"/>
        <v>53811486.247018039</v>
      </c>
      <c r="AB57" s="1413"/>
      <c r="AC57" s="1413"/>
      <c r="AK57" s="1486"/>
      <c r="AL57" s="1445"/>
      <c r="AM57" s="1445"/>
      <c r="AN57" s="1444"/>
      <c r="AO57" s="1444"/>
      <c r="AP57" s="1444"/>
      <c r="AQ57" s="1443"/>
      <c r="AR57" s="1444"/>
      <c r="AS57" s="1444"/>
      <c r="AT57" s="1442"/>
    </row>
    <row r="58" spans="1:46" ht="13.5" hidden="1" customHeight="1">
      <c r="B58" s="1488"/>
      <c r="C58" s="1489"/>
      <c r="D58" s="1489"/>
      <c r="E58" s="1489"/>
      <c r="F58" s="1489"/>
      <c r="G58" s="1489"/>
      <c r="H58" s="1489"/>
      <c r="I58" s="1489"/>
      <c r="J58" s="1489"/>
      <c r="K58" s="1459"/>
      <c r="L58" s="1490"/>
      <c r="M58" s="1490"/>
      <c r="N58" s="1490"/>
      <c r="O58" s="1490"/>
      <c r="P58" s="1490"/>
      <c r="Q58" s="1490"/>
      <c r="R58" s="1490"/>
      <c r="S58" s="1490"/>
      <c r="T58" s="1490"/>
      <c r="U58" s="1490"/>
      <c r="V58" s="1490"/>
      <c r="W58" s="1490"/>
      <c r="X58" s="1490"/>
      <c r="Y58" s="1490"/>
      <c r="AB58" s="1413"/>
      <c r="AC58" s="1413"/>
      <c r="AK58" s="1486"/>
      <c r="AL58" s="1445"/>
      <c r="AM58" s="1445"/>
      <c r="AN58" s="1444"/>
      <c r="AO58" s="1444"/>
      <c r="AP58" s="1444"/>
      <c r="AQ58" s="1443"/>
      <c r="AR58" s="1444"/>
      <c r="AS58" s="1444"/>
      <c r="AT58" s="1442"/>
    </row>
    <row r="59" spans="1:46" ht="11.25" hidden="1">
      <c r="A59" s="1406"/>
      <c r="B59" s="1406"/>
      <c r="C59" s="1406"/>
      <c r="D59" s="1406"/>
      <c r="E59" s="1406"/>
      <c r="F59" s="1406"/>
      <c r="G59" s="1406"/>
      <c r="H59" s="1406"/>
      <c r="I59" s="1406"/>
      <c r="J59" s="1406"/>
      <c r="K59" s="1407"/>
      <c r="L59" s="1406"/>
      <c r="M59" s="1406"/>
      <c r="N59" s="1406"/>
      <c r="O59" s="1406"/>
      <c r="P59" s="1406"/>
      <c r="Q59" s="1406"/>
      <c r="R59" s="1406"/>
      <c r="W59" s="788">
        <f>204719088.53-12675.57+819921.76</f>
        <v>205526334.72</v>
      </c>
      <c r="AK59" s="1486"/>
      <c r="AL59" s="1445"/>
      <c r="AM59" s="1445"/>
      <c r="AN59" s="1444"/>
      <c r="AO59" s="1444"/>
      <c r="AP59" s="1444"/>
      <c r="AQ59" s="1443"/>
      <c r="AR59" s="1444"/>
      <c r="AS59" s="1444"/>
      <c r="AT59" s="1442"/>
    </row>
    <row r="60" spans="1:46" ht="11.25">
      <c r="A60" s="1406"/>
      <c r="B60" s="1406"/>
      <c r="C60" s="1406"/>
      <c r="D60" s="1406"/>
      <c r="E60" s="1406"/>
      <c r="F60" s="1406"/>
      <c r="G60" s="1406"/>
      <c r="H60" s="1406"/>
      <c r="I60" s="1406"/>
      <c r="J60" s="1406"/>
      <c r="K60" s="1407"/>
      <c r="L60" s="1406"/>
      <c r="M60" s="1406"/>
      <c r="N60" s="1406"/>
      <c r="O60" s="1406"/>
      <c r="P60" s="1406"/>
      <c r="Q60" s="1406"/>
      <c r="R60" s="1406"/>
      <c r="AF60" s="1414">
        <v>126145.23</v>
      </c>
      <c r="AK60" s="1486"/>
      <c r="AL60" s="1445"/>
      <c r="AM60" s="1445"/>
      <c r="AN60" s="1444"/>
      <c r="AO60" s="1444"/>
      <c r="AP60" s="1444"/>
      <c r="AQ60" s="1443"/>
      <c r="AR60" s="1444"/>
      <c r="AS60" s="1444"/>
      <c r="AT60" s="1442"/>
    </row>
    <row r="61" spans="1:46" ht="11.25">
      <c r="A61" s="1960" t="s">
        <v>366</v>
      </c>
      <c r="B61" s="1961"/>
      <c r="C61" s="1961"/>
      <c r="D61" s="1961"/>
      <c r="E61" s="1961"/>
      <c r="F61" s="1961"/>
      <c r="G61" s="1961"/>
      <c r="H61" s="1961"/>
      <c r="I61" s="1961"/>
      <c r="J61" s="1961"/>
      <c r="K61" s="1961"/>
      <c r="L61" s="1961"/>
      <c r="M61" s="1961"/>
      <c r="N61" s="1412"/>
      <c r="O61" s="1410"/>
      <c r="P61" s="1408"/>
      <c r="Q61" s="1409"/>
      <c r="R61" s="1410"/>
      <c r="S61" s="1411"/>
      <c r="T61" s="1412"/>
      <c r="U61" s="1410"/>
      <c r="V61" s="789"/>
      <c r="W61" s="790"/>
      <c r="X61" s="790"/>
      <c r="Y61" s="791"/>
      <c r="AE61" s="1422">
        <f>SUM(AE64:AE65)</f>
        <v>3006.15</v>
      </c>
      <c r="AK61" s="1486"/>
      <c r="AL61" s="1445"/>
      <c r="AM61" s="1445"/>
      <c r="AN61" s="1444"/>
      <c r="AO61" s="1444"/>
      <c r="AP61" s="1444"/>
      <c r="AQ61" s="1443"/>
      <c r="AR61" s="1444"/>
      <c r="AS61" s="1444"/>
      <c r="AT61" s="1442"/>
    </row>
    <row r="62" spans="1:46" ht="11.25">
      <c r="A62" s="1491"/>
      <c r="B62" s="1492"/>
      <c r="C62" s="1493" t="s">
        <v>256</v>
      </c>
      <c r="D62" s="1417" t="s">
        <v>257</v>
      </c>
      <c r="E62" s="1418" t="s">
        <v>258</v>
      </c>
      <c r="F62" s="1418" t="s">
        <v>259</v>
      </c>
      <c r="G62" s="1418" t="s">
        <v>260</v>
      </c>
      <c r="H62" s="1418" t="s">
        <v>261</v>
      </c>
      <c r="I62" s="1418" t="s">
        <v>262</v>
      </c>
      <c r="J62" s="1418" t="s">
        <v>263</v>
      </c>
      <c r="K62" s="1963" t="s">
        <v>264</v>
      </c>
      <c r="L62" s="1964"/>
      <c r="M62" s="1964"/>
      <c r="N62" s="1964" t="s">
        <v>265</v>
      </c>
      <c r="O62" s="1965"/>
      <c r="P62" s="1466"/>
      <c r="Q62" s="1466"/>
      <c r="R62" s="1421" t="s">
        <v>367</v>
      </c>
      <c r="S62" s="1421" t="s">
        <v>267</v>
      </c>
      <c r="T62" s="1421"/>
      <c r="U62" s="1421"/>
      <c r="V62" s="1966" t="s">
        <v>268</v>
      </c>
      <c r="W62" s="1967"/>
      <c r="X62" s="1967"/>
      <c r="Y62" s="1968"/>
      <c r="AA62" s="1407" t="s">
        <v>368</v>
      </c>
      <c r="AB62" s="1407" t="s">
        <v>369</v>
      </c>
      <c r="AC62" s="1407" t="s">
        <v>369</v>
      </c>
      <c r="AF62" s="1423">
        <v>1</v>
      </c>
      <c r="AK62" s="1486"/>
      <c r="AL62" s="1445"/>
      <c r="AM62" s="1445"/>
      <c r="AN62" s="1444"/>
      <c r="AO62" s="1444"/>
      <c r="AP62" s="1444"/>
      <c r="AQ62" s="1443"/>
      <c r="AR62" s="1444"/>
      <c r="AS62" s="1444"/>
      <c r="AT62" s="1442"/>
    </row>
    <row r="63" spans="1:46" ht="11.25">
      <c r="A63" s="1461" t="s">
        <v>269</v>
      </c>
      <c r="B63" s="1462" t="s">
        <v>270</v>
      </c>
      <c r="C63" s="1461" t="s">
        <v>271</v>
      </c>
      <c r="D63" s="1427"/>
      <c r="E63" s="1427"/>
      <c r="F63" s="1427"/>
      <c r="G63" s="1427"/>
      <c r="H63" s="1427"/>
      <c r="I63" s="1427"/>
      <c r="J63" s="1427"/>
      <c r="K63" s="1427" t="s">
        <v>272</v>
      </c>
      <c r="L63" s="1487" t="s">
        <v>370</v>
      </c>
      <c r="M63" s="1462" t="s">
        <v>274</v>
      </c>
      <c r="N63" s="1462" t="s">
        <v>371</v>
      </c>
      <c r="O63" s="1462" t="s">
        <v>276</v>
      </c>
      <c r="P63" s="1428" t="s">
        <v>277</v>
      </c>
      <c r="Q63" s="1428" t="s">
        <v>278</v>
      </c>
      <c r="R63" s="1429" t="s">
        <v>279</v>
      </c>
      <c r="S63" s="1429" t="s">
        <v>280</v>
      </c>
      <c r="T63" s="1429" t="s">
        <v>281</v>
      </c>
      <c r="U63" s="1429" t="s">
        <v>282</v>
      </c>
      <c r="V63" s="792" t="s">
        <v>283</v>
      </c>
      <c r="W63" s="792" t="s">
        <v>284</v>
      </c>
      <c r="X63" s="792" t="s">
        <v>285</v>
      </c>
      <c r="Y63" s="792" t="s">
        <v>286</v>
      </c>
      <c r="AB63" s="1413"/>
      <c r="AC63" s="1413"/>
      <c r="AK63" s="1486"/>
      <c r="AL63" s="1445"/>
      <c r="AM63" s="1445"/>
      <c r="AN63" s="1444"/>
      <c r="AO63" s="1444"/>
      <c r="AP63" s="1444"/>
      <c r="AQ63" s="1443"/>
      <c r="AR63" s="1444"/>
      <c r="AS63" s="1444"/>
      <c r="AT63" s="1442"/>
    </row>
    <row r="64" spans="1:46" ht="13.15" customHeight="1">
      <c r="A64" s="1494">
        <v>4</v>
      </c>
      <c r="B64" s="1431">
        <v>3</v>
      </c>
      <c r="C64" s="1430" t="s">
        <v>372</v>
      </c>
      <c r="D64" s="1430"/>
      <c r="E64" s="1430"/>
      <c r="F64" s="1430"/>
      <c r="G64" s="1430"/>
      <c r="H64" s="1430"/>
      <c r="I64" s="1430"/>
      <c r="J64" s="1430"/>
      <c r="K64" s="1433" t="s">
        <v>373</v>
      </c>
      <c r="L64" s="1433"/>
      <c r="M64" s="1433">
        <v>2862.15</v>
      </c>
      <c r="N64" s="1433">
        <f>+M64</f>
        <v>2862.15</v>
      </c>
      <c r="O64" s="1430"/>
      <c r="P64" s="793">
        <v>1667917.91</v>
      </c>
      <c r="Q64" s="793">
        <v>2862.15</v>
      </c>
      <c r="R64" s="793">
        <f>+P64</f>
        <v>1667917.91</v>
      </c>
      <c r="S64" s="1435">
        <f>+P64/Q64</f>
        <v>582.74999912653072</v>
      </c>
      <c r="T64" s="1436" t="s">
        <v>291</v>
      </c>
      <c r="U64" s="1437">
        <v>38581</v>
      </c>
      <c r="V64" s="793">
        <f>+R64+76171.38+60986.67+364105.94+317430.22+740556.34+352215.4+597738.79+351277.33+39569.04+212604.55-212604.55+1051030.91+818740.95+346286.13+480900.48+1740483+323135.82+147358.31+288363.5+96669.03+1002904.63+249912.34+1184750.25+129054.23+275240.37+419720.56+120102.65</f>
        <v>13242622.180000002</v>
      </c>
      <c r="W64" s="793"/>
      <c r="X64" s="793"/>
      <c r="Y64" s="793"/>
      <c r="Z64" s="1405" t="s">
        <v>292</v>
      </c>
      <c r="AA64" s="1405" t="s">
        <v>374</v>
      </c>
      <c r="AB64" s="1413"/>
      <c r="AC64" s="1413"/>
      <c r="AE64" s="1422">
        <f>Q64</f>
        <v>2862.15</v>
      </c>
      <c r="AF64" s="1422">
        <f>AE64*AF62/AE61</f>
        <v>0.95209819869267998</v>
      </c>
      <c r="AG64" s="1414">
        <f>AF60*AF64</f>
        <v>120102.6462566738</v>
      </c>
      <c r="AJ64" s="1414"/>
      <c r="AK64" s="1495" t="s">
        <v>6836</v>
      </c>
      <c r="AL64" s="1445" t="s">
        <v>5645</v>
      </c>
      <c r="AM64" s="1445" t="s">
        <v>5646</v>
      </c>
      <c r="AN64" s="1496" t="s">
        <v>5647</v>
      </c>
      <c r="AO64" s="1496" t="s">
        <v>5647</v>
      </c>
      <c r="AP64" s="1474" t="s">
        <v>5593</v>
      </c>
      <c r="AQ64" s="1443">
        <v>2862.15</v>
      </c>
      <c r="AR64" s="1444" t="s">
        <v>5648</v>
      </c>
      <c r="AS64" s="1444" t="s">
        <v>5644</v>
      </c>
      <c r="AT64" s="1442" t="s">
        <v>5609</v>
      </c>
    </row>
    <row r="65" spans="1:46" ht="13.15" customHeight="1">
      <c r="A65" s="1497" t="s">
        <v>375</v>
      </c>
      <c r="B65" s="1431" t="s">
        <v>376</v>
      </c>
      <c r="C65" s="1430" t="s">
        <v>377</v>
      </c>
      <c r="D65" s="1430"/>
      <c r="E65" s="1430"/>
      <c r="F65" s="1430"/>
      <c r="G65" s="1430"/>
      <c r="H65" s="1430"/>
      <c r="I65" s="1430"/>
      <c r="J65" s="1430"/>
      <c r="K65" s="1433" t="s">
        <v>373</v>
      </c>
      <c r="L65" s="1433"/>
      <c r="M65" s="1433">
        <v>144</v>
      </c>
      <c r="N65" s="1433">
        <f>+M65</f>
        <v>144</v>
      </c>
      <c r="O65" s="1430"/>
      <c r="P65" s="1433">
        <v>37800</v>
      </c>
      <c r="Q65" s="1433">
        <v>144</v>
      </c>
      <c r="R65" s="1433">
        <f>+P65</f>
        <v>37800</v>
      </c>
      <c r="S65" s="1435">
        <f>+P65/Q65</f>
        <v>262.5</v>
      </c>
      <c r="T65" s="1436" t="s">
        <v>291</v>
      </c>
      <c r="U65" s="1437">
        <v>38581</v>
      </c>
      <c r="V65" s="793">
        <f>+R65+3832.32+3068.35+18318.93+15970.49+37258.74+17720.6+30073.33+17673.41+1990.79+10696.52-10696.52+87566.88+16257.55+7413.87+14508.1+4863.6+50457.97+12573.56+59606.95+6492.95+13847.85+21116.91+6042.58</f>
        <v>484455.72999999992</v>
      </c>
      <c r="W65" s="793"/>
      <c r="X65" s="793"/>
      <c r="Y65" s="793"/>
      <c r="Z65" s="1405" t="s">
        <v>292</v>
      </c>
      <c r="AA65" s="1405" t="s">
        <v>378</v>
      </c>
      <c r="AB65" s="1413"/>
      <c r="AC65" s="1413"/>
      <c r="AE65" s="1422">
        <f>Q65</f>
        <v>144</v>
      </c>
      <c r="AF65" s="1405">
        <f>AE65*AF62/AE61</f>
        <v>4.790180130731999E-2</v>
      </c>
      <c r="AG65" s="1414">
        <f>AF60*AF65</f>
        <v>6042.5837433261804</v>
      </c>
      <c r="AJ65" s="1414"/>
      <c r="AK65" s="1439" t="s">
        <v>6837</v>
      </c>
      <c r="AL65" s="1445" t="s">
        <v>5649</v>
      </c>
      <c r="AM65" s="1445" t="s">
        <v>5650</v>
      </c>
      <c r="AN65" s="1444" t="s">
        <v>5647</v>
      </c>
      <c r="AO65" s="1444" t="s">
        <v>5647</v>
      </c>
      <c r="AP65" s="1474" t="s">
        <v>5593</v>
      </c>
      <c r="AQ65" s="1498">
        <v>144</v>
      </c>
      <c r="AR65" s="1444" t="s">
        <v>5651</v>
      </c>
      <c r="AS65" s="1444" t="s">
        <v>5644</v>
      </c>
      <c r="AT65" s="1442" t="s">
        <v>5609</v>
      </c>
    </row>
    <row r="66" spans="1:46" ht="13.15" customHeight="1">
      <c r="A66" s="1430"/>
      <c r="B66" s="1430"/>
      <c r="C66" s="1499" t="s">
        <v>373</v>
      </c>
      <c r="D66" s="1499"/>
      <c r="E66" s="1499"/>
      <c r="F66" s="1499"/>
      <c r="G66" s="1499"/>
      <c r="H66" s="1499"/>
      <c r="I66" s="1499"/>
      <c r="J66" s="1499"/>
      <c r="K66" s="1463" t="s">
        <v>98</v>
      </c>
      <c r="L66" s="1499">
        <f t="shared" ref="L66:Q66" si="11">SUM(L64:L65)</f>
        <v>0</v>
      </c>
      <c r="M66" s="1499">
        <f t="shared" si="11"/>
        <v>3006.15</v>
      </c>
      <c r="N66" s="1499">
        <f t="shared" si="11"/>
        <v>3006.15</v>
      </c>
      <c r="O66" s="1499">
        <f t="shared" si="11"/>
        <v>0</v>
      </c>
      <c r="P66" s="1499">
        <f t="shared" si="11"/>
        <v>1705717.91</v>
      </c>
      <c r="Q66" s="1499">
        <f t="shared" si="11"/>
        <v>3006.15</v>
      </c>
      <c r="R66" s="1499">
        <f>SUM(R64:R65)</f>
        <v>1705717.91</v>
      </c>
      <c r="S66" s="1499"/>
      <c r="T66" s="1499"/>
      <c r="U66" s="1499"/>
      <c r="V66" s="796">
        <f>SUM(V64:V65)</f>
        <v>13727077.910000002</v>
      </c>
      <c r="W66" s="796">
        <f>SUM(W64:W65)</f>
        <v>0</v>
      </c>
      <c r="X66" s="796">
        <f>SUM(X64:X65)</f>
        <v>0</v>
      </c>
      <c r="Y66" s="796">
        <f>SUM(Y64:Y65)</f>
        <v>0</v>
      </c>
      <c r="AB66" s="1413"/>
      <c r="AC66" s="1413"/>
      <c r="AK66" s="1439"/>
      <c r="AL66" s="1445"/>
      <c r="AM66" s="1445"/>
      <c r="AN66" s="1444"/>
      <c r="AO66" s="1444"/>
      <c r="AP66" s="1474"/>
      <c r="AQ66" s="1498"/>
      <c r="AR66" s="1444"/>
      <c r="AS66" s="1444"/>
      <c r="AT66" s="1442"/>
    </row>
    <row r="67" spans="1:46" ht="11.25">
      <c r="A67" s="1960" t="s">
        <v>379</v>
      </c>
      <c r="B67" s="1961"/>
      <c r="C67" s="1961"/>
      <c r="D67" s="1961"/>
      <c r="E67" s="1961"/>
      <c r="F67" s="1961"/>
      <c r="G67" s="1961"/>
      <c r="H67" s="1961"/>
      <c r="I67" s="1961"/>
      <c r="J67" s="1961"/>
      <c r="K67" s="1961"/>
      <c r="L67" s="1961"/>
      <c r="M67" s="1961"/>
      <c r="N67" s="1961"/>
      <c r="O67" s="1962"/>
      <c r="P67" s="1408"/>
      <c r="Q67" s="1409"/>
      <c r="R67" s="1410"/>
      <c r="S67" s="1411"/>
      <c r="T67" s="1412"/>
      <c r="U67" s="1410"/>
      <c r="V67" s="789"/>
      <c r="W67" s="790"/>
      <c r="X67" s="790"/>
      <c r="Y67" s="791"/>
      <c r="AB67" s="1413"/>
      <c r="AC67" s="1413"/>
      <c r="AK67" s="1439"/>
      <c r="AL67" s="1445"/>
      <c r="AM67" s="1445"/>
      <c r="AN67" s="1444"/>
      <c r="AO67" s="1444"/>
      <c r="AP67" s="1474"/>
      <c r="AQ67" s="1498"/>
      <c r="AR67" s="1444"/>
      <c r="AS67" s="1444"/>
      <c r="AT67" s="1442"/>
    </row>
    <row r="68" spans="1:46" ht="11.25">
      <c r="A68" s="1415"/>
      <c r="B68" s="1416"/>
      <c r="C68" s="1417" t="s">
        <v>256</v>
      </c>
      <c r="D68" s="1417" t="s">
        <v>257</v>
      </c>
      <c r="E68" s="1418" t="s">
        <v>258</v>
      </c>
      <c r="F68" s="1418" t="s">
        <v>259</v>
      </c>
      <c r="G68" s="1418" t="s">
        <v>260</v>
      </c>
      <c r="H68" s="1418" t="s">
        <v>261</v>
      </c>
      <c r="I68" s="1418" t="s">
        <v>262</v>
      </c>
      <c r="J68" s="1418" t="s">
        <v>263</v>
      </c>
      <c r="K68" s="1963" t="s">
        <v>264</v>
      </c>
      <c r="L68" s="1964"/>
      <c r="M68" s="1964"/>
      <c r="N68" s="1964" t="s">
        <v>265</v>
      </c>
      <c r="O68" s="1965"/>
      <c r="P68" s="1419"/>
      <c r="Q68" s="1420"/>
      <c r="R68" s="1421" t="s">
        <v>266</v>
      </c>
      <c r="S68" s="1421" t="s">
        <v>267</v>
      </c>
      <c r="T68" s="1421"/>
      <c r="U68" s="1421"/>
      <c r="V68" s="1966" t="s">
        <v>268</v>
      </c>
      <c r="W68" s="1967"/>
      <c r="X68" s="1967"/>
      <c r="Y68" s="1968"/>
      <c r="AB68" s="1413"/>
      <c r="AC68" s="1413"/>
      <c r="AK68" s="1439"/>
      <c r="AL68" s="1445"/>
      <c r="AM68" s="1445"/>
      <c r="AN68" s="1444"/>
      <c r="AO68" s="1444"/>
      <c r="AP68" s="1474"/>
      <c r="AQ68" s="1498"/>
      <c r="AR68" s="1444"/>
      <c r="AS68" s="1444"/>
      <c r="AT68" s="1442"/>
    </row>
    <row r="69" spans="1:46" ht="13.5" customHeight="1">
      <c r="A69" s="1427" t="s">
        <v>269</v>
      </c>
      <c r="B69" s="1421" t="s">
        <v>270</v>
      </c>
      <c r="C69" s="1427" t="s">
        <v>271</v>
      </c>
      <c r="D69" s="1427"/>
      <c r="E69" s="1427"/>
      <c r="F69" s="1427"/>
      <c r="G69" s="1427"/>
      <c r="H69" s="1427"/>
      <c r="I69" s="1427"/>
      <c r="J69" s="1427"/>
      <c r="K69" s="1427" t="s">
        <v>272</v>
      </c>
      <c r="L69" s="1420" t="s">
        <v>273</v>
      </c>
      <c r="M69" s="1421" t="s">
        <v>274</v>
      </c>
      <c r="N69" s="1421" t="s">
        <v>275</v>
      </c>
      <c r="O69" s="1421" t="s">
        <v>276</v>
      </c>
      <c r="P69" s="1428" t="s">
        <v>277</v>
      </c>
      <c r="Q69" s="1428" t="s">
        <v>278</v>
      </c>
      <c r="R69" s="1429" t="s">
        <v>279</v>
      </c>
      <c r="S69" s="1429" t="s">
        <v>280</v>
      </c>
      <c r="T69" s="1429" t="s">
        <v>281</v>
      </c>
      <c r="U69" s="1429" t="s">
        <v>282</v>
      </c>
      <c r="V69" s="792" t="s">
        <v>283</v>
      </c>
      <c r="W69" s="792" t="s">
        <v>284</v>
      </c>
      <c r="X69" s="792" t="s">
        <v>285</v>
      </c>
      <c r="Y69" s="792" t="s">
        <v>286</v>
      </c>
      <c r="AB69" s="1413"/>
      <c r="AC69" s="1413"/>
      <c r="AK69" s="1439"/>
      <c r="AL69" s="1445"/>
      <c r="AM69" s="1445"/>
      <c r="AN69" s="1444"/>
      <c r="AO69" s="1444"/>
      <c r="AP69" s="1474"/>
      <c r="AQ69" s="1498"/>
      <c r="AR69" s="1444"/>
      <c r="AS69" s="1444"/>
      <c r="AT69" s="1442"/>
    </row>
    <row r="70" spans="1:46" ht="13.5" customHeight="1">
      <c r="A70" s="1430"/>
      <c r="B70" s="1431" t="s">
        <v>380</v>
      </c>
      <c r="C70" s="1430" t="s">
        <v>381</v>
      </c>
      <c r="D70" s="1430"/>
      <c r="E70" s="1430"/>
      <c r="F70" s="1447">
        <v>35109</v>
      </c>
      <c r="G70" s="1430">
        <v>2325</v>
      </c>
      <c r="H70" s="1430" t="s">
        <v>313</v>
      </c>
      <c r="I70" s="1430">
        <v>30</v>
      </c>
      <c r="J70" s="1430" t="s">
        <v>382</v>
      </c>
      <c r="K70" s="1433" t="s">
        <v>379</v>
      </c>
      <c r="L70" s="1433">
        <f>4370295.33</f>
        <v>4370295.33</v>
      </c>
      <c r="M70" s="1433"/>
      <c r="N70" s="1433"/>
      <c r="O70" s="1434">
        <f>+L70+1557587.35-714651-193144-500000-470000-200000-265402.49-929118.635-23823.54-350174</f>
        <v>2281569.0149999997</v>
      </c>
      <c r="P70" s="1433"/>
      <c r="Q70" s="1433"/>
      <c r="R70" s="1435">
        <f>+L70*S70</f>
        <v>72109872.945000008</v>
      </c>
      <c r="S70" s="793">
        <v>16.5</v>
      </c>
      <c r="T70" s="1430" t="s">
        <v>383</v>
      </c>
      <c r="U70" s="1447">
        <v>38473</v>
      </c>
      <c r="V70" s="793"/>
      <c r="W70" s="793">
        <f>+R70+6231668-9447686.22-2553363.68-6607503.22-6211053.03-2643001.39+116650-3515336.7-12306459.2-315550-4638161.08</f>
        <v>30220076.425000012</v>
      </c>
      <c r="X70" s="793"/>
      <c r="Y70" s="793"/>
      <c r="Z70" s="1405" t="s">
        <v>303</v>
      </c>
      <c r="AB70" s="1413"/>
      <c r="AC70" s="1413"/>
      <c r="AE70" s="1422">
        <f>W70/O70:O70</f>
        <v>13.245304536623896</v>
      </c>
      <c r="AF70" s="1414">
        <v>9706648.1400000006</v>
      </c>
      <c r="AG70" s="1414">
        <f>(O70*AF70)/AF71</f>
        <v>6565833.1540535539</v>
      </c>
      <c r="AJ70" s="1414"/>
      <c r="AK70" s="1439" t="s">
        <v>6838</v>
      </c>
      <c r="AL70" s="1445" t="s">
        <v>380</v>
      </c>
      <c r="AM70" s="1445" t="s">
        <v>376</v>
      </c>
      <c r="AN70" s="1444" t="s">
        <v>5652</v>
      </c>
      <c r="AO70" s="1444" t="s">
        <v>5652</v>
      </c>
      <c r="AP70" s="1474" t="s">
        <v>5621</v>
      </c>
      <c r="AQ70" s="1500">
        <v>2281569.02</v>
      </c>
      <c r="AR70" s="1444" t="s">
        <v>5653</v>
      </c>
      <c r="AS70" s="1443" t="s">
        <v>5654</v>
      </c>
      <c r="AT70" s="1442" t="s">
        <v>5609</v>
      </c>
    </row>
    <row r="71" spans="1:46" ht="13.5" customHeight="1">
      <c r="A71" s="1430"/>
      <c r="B71" s="1431" t="s">
        <v>384</v>
      </c>
      <c r="C71" s="1430" t="s">
        <v>385</v>
      </c>
      <c r="D71" s="1430"/>
      <c r="E71" s="1430"/>
      <c r="F71" s="1430"/>
      <c r="G71" s="1430"/>
      <c r="H71" s="1430"/>
      <c r="I71" s="1430"/>
      <c r="J71" s="1430"/>
      <c r="K71" s="1433" t="s">
        <v>379</v>
      </c>
      <c r="L71" s="1433">
        <f>314968.7</f>
        <v>314968.7</v>
      </c>
      <c r="M71" s="1430"/>
      <c r="N71" s="1433"/>
      <c r="O71" s="1433">
        <f>+L71-92637.92+869074.68</f>
        <v>1091405.46</v>
      </c>
      <c r="P71" s="1433"/>
      <c r="Q71" s="1433"/>
      <c r="R71" s="1435">
        <f>+L71*S71</f>
        <v>5196983.55</v>
      </c>
      <c r="S71" s="793">
        <v>16.5</v>
      </c>
      <c r="T71" s="1430" t="s">
        <v>383</v>
      </c>
      <c r="U71" s="1447">
        <v>38473</v>
      </c>
      <c r="V71" s="793"/>
      <c r="W71" s="793">
        <f>+R71-1528525.68+3474980</f>
        <v>7143437.8700000001</v>
      </c>
      <c r="X71" s="793"/>
      <c r="Y71" s="793"/>
      <c r="Z71" s="1405" t="s">
        <v>303</v>
      </c>
      <c r="AB71" s="1413"/>
      <c r="AC71" s="1413"/>
      <c r="AE71" s="1422">
        <f>W71/O71:O71</f>
        <v>6.5451732942585794</v>
      </c>
      <c r="AF71" s="1414">
        <f>O72</f>
        <v>3372974.4749999996</v>
      </c>
      <c r="AG71" s="1414">
        <f>(O71*AF70)/AF71</f>
        <v>3140814.9859464457</v>
      </c>
      <c r="AJ71" s="1414"/>
      <c r="AK71" s="1439" t="s">
        <v>6839</v>
      </c>
      <c r="AL71" s="1445" t="s">
        <v>384</v>
      </c>
      <c r="AM71" s="1501" t="s">
        <v>376</v>
      </c>
      <c r="AN71" s="1444" t="s">
        <v>5652</v>
      </c>
      <c r="AO71" s="1444" t="s">
        <v>5652</v>
      </c>
      <c r="AP71" s="1474" t="s">
        <v>5621</v>
      </c>
      <c r="AQ71" s="1443">
        <v>1091405.46</v>
      </c>
      <c r="AR71" s="1444" t="s">
        <v>5655</v>
      </c>
      <c r="AS71" s="1444" t="s">
        <v>5656</v>
      </c>
      <c r="AT71" s="1442" t="s">
        <v>5609</v>
      </c>
    </row>
    <row r="72" spans="1:46" ht="13.5" customHeight="1">
      <c r="A72" s="1430"/>
      <c r="B72" s="1431"/>
      <c r="C72" s="1499" t="s">
        <v>379</v>
      </c>
      <c r="D72" s="1499"/>
      <c r="E72" s="1499"/>
      <c r="F72" s="1499"/>
      <c r="G72" s="1499"/>
      <c r="H72" s="1499"/>
      <c r="I72" s="1499"/>
      <c r="J72" s="1499"/>
      <c r="K72" s="1463" t="s">
        <v>98</v>
      </c>
      <c r="L72" s="1446">
        <f t="shared" ref="L72:Q72" si="12">SUM(L70:L71)</f>
        <v>4685264.03</v>
      </c>
      <c r="M72" s="798">
        <f t="shared" si="12"/>
        <v>0</v>
      </c>
      <c r="N72" s="1446">
        <f t="shared" si="12"/>
        <v>0</v>
      </c>
      <c r="O72" s="1446">
        <f t="shared" si="12"/>
        <v>3372974.4749999996</v>
      </c>
      <c r="P72" s="1446">
        <f t="shared" si="12"/>
        <v>0</v>
      </c>
      <c r="Q72" s="1446">
        <f t="shared" si="12"/>
        <v>0</v>
      </c>
      <c r="R72" s="1446">
        <f>SUM(R70:R71)</f>
        <v>77306856.495000005</v>
      </c>
      <c r="S72" s="1430"/>
      <c r="T72" s="1430"/>
      <c r="U72" s="1430"/>
      <c r="V72" s="796">
        <f>SUM(V70:V71)</f>
        <v>0</v>
      </c>
      <c r="W72" s="796">
        <f>SUM(W70:W71)</f>
        <v>37363514.295000009</v>
      </c>
      <c r="X72" s="796">
        <f>SUM(X70:X71)</f>
        <v>0</v>
      </c>
      <c r="Y72" s="796">
        <f>SUM(Y70:Y71)</f>
        <v>0</v>
      </c>
      <c r="AB72" s="1413"/>
      <c r="AC72" s="1413"/>
      <c r="AE72" s="1422">
        <f>W72/O72:O72</f>
        <v>11.077319016770803</v>
      </c>
      <c r="AF72" s="1414"/>
      <c r="AG72" s="1414"/>
      <c r="AK72" s="1439"/>
      <c r="AL72" s="1445"/>
      <c r="AM72" s="1501"/>
      <c r="AN72" s="1444"/>
      <c r="AO72" s="1444"/>
      <c r="AP72" s="1474"/>
      <c r="AQ72" s="1443"/>
      <c r="AR72" s="1444"/>
      <c r="AS72" s="1444"/>
      <c r="AT72" s="1442"/>
    </row>
    <row r="73" spans="1:46" ht="12.75">
      <c r="A73" s="1406"/>
      <c r="B73" s="1406"/>
      <c r="C73" s="1406"/>
      <c r="D73" s="1406"/>
      <c r="E73" s="1406"/>
      <c r="F73" s="1406"/>
      <c r="G73" s="1406"/>
      <c r="H73" s="1406"/>
      <c r="I73" s="1406"/>
      <c r="J73" s="1406"/>
      <c r="K73" s="1407"/>
      <c r="L73" s="1406"/>
      <c r="M73" s="1406"/>
      <c r="N73" s="1406"/>
      <c r="O73" s="1406"/>
      <c r="P73" s="1406"/>
      <c r="Q73" s="1406"/>
      <c r="R73" s="1406"/>
      <c r="AF73" s="1405" t="s">
        <v>386</v>
      </c>
      <c r="AK73" s="1439"/>
      <c r="AL73" s="1445"/>
      <c r="AM73" s="1501"/>
      <c r="AN73" s="1444"/>
      <c r="AO73" s="1444"/>
      <c r="AP73" s="1474"/>
      <c r="AQ73" s="1443"/>
      <c r="AR73" s="1444"/>
      <c r="AS73" s="1444"/>
      <c r="AT73" s="1442"/>
    </row>
    <row r="74" spans="1:46" ht="12.75" hidden="1">
      <c r="A74" s="1960" t="s">
        <v>387</v>
      </c>
      <c r="B74" s="1961"/>
      <c r="C74" s="1961"/>
      <c r="D74" s="1961"/>
      <c r="E74" s="1961"/>
      <c r="F74" s="1961"/>
      <c r="G74" s="1961"/>
      <c r="H74" s="1961"/>
      <c r="I74" s="1961"/>
      <c r="J74" s="1961"/>
      <c r="K74" s="1961"/>
      <c r="L74" s="1961"/>
      <c r="M74" s="1961"/>
      <c r="N74" s="1961"/>
      <c r="O74" s="1962"/>
      <c r="P74" s="1408"/>
      <c r="Q74" s="1409"/>
      <c r="R74" s="1410"/>
      <c r="S74" s="1411"/>
      <c r="T74" s="1412"/>
      <c r="U74" s="1410"/>
      <c r="V74" s="789"/>
      <c r="W74" s="790"/>
      <c r="X74" s="790"/>
      <c r="Y74" s="791"/>
      <c r="AB74" s="1413"/>
      <c r="AC74" s="1413"/>
      <c r="AK74" s="1439"/>
      <c r="AL74" s="1445"/>
      <c r="AM74" s="1501"/>
      <c r="AN74" s="1444"/>
      <c r="AO74" s="1444"/>
      <c r="AP74" s="1474"/>
      <c r="AQ74" s="1443"/>
      <c r="AR74" s="1444"/>
      <c r="AS74" s="1444"/>
      <c r="AT74" s="1442"/>
    </row>
    <row r="75" spans="1:46" ht="12.75" hidden="1">
      <c r="A75" s="1415"/>
      <c r="B75" s="1416"/>
      <c r="C75" s="1417" t="s">
        <v>256</v>
      </c>
      <c r="D75" s="1417" t="s">
        <v>257</v>
      </c>
      <c r="E75" s="1418" t="s">
        <v>258</v>
      </c>
      <c r="F75" s="1418" t="s">
        <v>259</v>
      </c>
      <c r="G75" s="1418" t="s">
        <v>260</v>
      </c>
      <c r="H75" s="1418" t="s">
        <v>261</v>
      </c>
      <c r="I75" s="1418" t="s">
        <v>262</v>
      </c>
      <c r="J75" s="1418" t="s">
        <v>263</v>
      </c>
      <c r="K75" s="1963" t="s">
        <v>264</v>
      </c>
      <c r="L75" s="1964"/>
      <c r="M75" s="1964"/>
      <c r="N75" s="1964" t="s">
        <v>265</v>
      </c>
      <c r="O75" s="1965"/>
      <c r="P75" s="1466"/>
      <c r="Q75" s="1467"/>
      <c r="R75" s="1421" t="s">
        <v>266</v>
      </c>
      <c r="S75" s="1421" t="s">
        <v>267</v>
      </c>
      <c r="T75" s="1421"/>
      <c r="U75" s="1421"/>
      <c r="V75" s="1966" t="s">
        <v>268</v>
      </c>
      <c r="W75" s="1967"/>
      <c r="X75" s="1967"/>
      <c r="Y75" s="1968"/>
      <c r="AB75" s="1413"/>
      <c r="AC75" s="1413"/>
      <c r="AK75" s="1439"/>
      <c r="AL75" s="1445"/>
      <c r="AM75" s="1501"/>
      <c r="AN75" s="1444"/>
      <c r="AO75" s="1444"/>
      <c r="AP75" s="1474"/>
      <c r="AQ75" s="1443"/>
      <c r="AR75" s="1444"/>
      <c r="AS75" s="1444"/>
      <c r="AT75" s="1442"/>
    </row>
    <row r="76" spans="1:46" ht="12.75" hidden="1" customHeight="1">
      <c r="A76" s="1427" t="s">
        <v>269</v>
      </c>
      <c r="B76" s="1421" t="s">
        <v>270</v>
      </c>
      <c r="C76" s="1427" t="s">
        <v>271</v>
      </c>
      <c r="D76" s="1427"/>
      <c r="E76" s="1427"/>
      <c r="F76" s="1427"/>
      <c r="G76" s="1427"/>
      <c r="H76" s="1427"/>
      <c r="I76" s="1427"/>
      <c r="J76" s="1427"/>
      <c r="K76" s="1427" t="s">
        <v>272</v>
      </c>
      <c r="L76" s="1420" t="s">
        <v>273</v>
      </c>
      <c r="M76" s="1421" t="s">
        <v>274</v>
      </c>
      <c r="N76" s="1421" t="s">
        <v>275</v>
      </c>
      <c r="O76" s="1421" t="s">
        <v>276</v>
      </c>
      <c r="P76" s="1428" t="s">
        <v>277</v>
      </c>
      <c r="Q76" s="1428" t="s">
        <v>278</v>
      </c>
      <c r="R76" s="1429" t="s">
        <v>279</v>
      </c>
      <c r="S76" s="1429" t="s">
        <v>280</v>
      </c>
      <c r="T76" s="1429" t="s">
        <v>281</v>
      </c>
      <c r="U76" s="1429" t="s">
        <v>282</v>
      </c>
      <c r="V76" s="792" t="s">
        <v>283</v>
      </c>
      <c r="W76" s="792" t="s">
        <v>284</v>
      </c>
      <c r="X76" s="792" t="s">
        <v>285</v>
      </c>
      <c r="Y76" s="792" t="s">
        <v>286</v>
      </c>
      <c r="AB76" s="1413"/>
      <c r="AC76" s="1413"/>
      <c r="AK76" s="1439"/>
      <c r="AL76" s="1445"/>
      <c r="AM76" s="1501"/>
      <c r="AN76" s="1444"/>
      <c r="AO76" s="1444"/>
      <c r="AP76" s="1474"/>
      <c r="AQ76" s="1443"/>
      <c r="AR76" s="1444"/>
      <c r="AS76" s="1444"/>
      <c r="AT76" s="1442"/>
    </row>
    <row r="77" spans="1:46" ht="12.75" hidden="1" customHeight="1">
      <c r="A77" s="1430"/>
      <c r="B77" s="1431"/>
      <c r="C77" s="1430" t="s">
        <v>388</v>
      </c>
      <c r="D77" s="1430"/>
      <c r="E77" s="1430"/>
      <c r="F77" s="1430"/>
      <c r="G77" s="1430"/>
      <c r="H77" s="1430"/>
      <c r="I77" s="1430"/>
      <c r="J77" s="1430"/>
      <c r="K77" s="1433" t="s">
        <v>387</v>
      </c>
      <c r="L77" s="1433">
        <v>2727140.0550000002</v>
      </c>
      <c r="M77" s="1433"/>
      <c r="N77" s="1433"/>
      <c r="O77" s="1434">
        <f>40000-40000</f>
        <v>0</v>
      </c>
      <c r="P77" s="1433">
        <v>2030959.13</v>
      </c>
      <c r="Q77" s="1433">
        <v>123088.432</v>
      </c>
      <c r="R77" s="1433">
        <f>+P77/Q77*L77</f>
        <v>44997810.95181188</v>
      </c>
      <c r="S77" s="1435">
        <f>+P77/Q77</f>
        <v>16.500000016248478</v>
      </c>
      <c r="T77" s="1436" t="s">
        <v>389</v>
      </c>
      <c r="U77" s="1447">
        <v>38473</v>
      </c>
      <c r="V77" s="793"/>
      <c r="W77" s="793"/>
      <c r="X77" s="793"/>
      <c r="Y77" s="793">
        <f>18800000-18800000</f>
        <v>0</v>
      </c>
      <c r="Z77" s="1405" t="s">
        <v>292</v>
      </c>
      <c r="AA77" s="1405" t="s">
        <v>390</v>
      </c>
      <c r="AB77" s="1413" t="s">
        <v>391</v>
      </c>
      <c r="AC77" s="1413"/>
      <c r="AK77" s="1439"/>
      <c r="AL77" s="1445"/>
      <c r="AM77" s="1501"/>
      <c r="AN77" s="1444"/>
      <c r="AO77" s="1444"/>
      <c r="AP77" s="1474"/>
      <c r="AQ77" s="1443"/>
      <c r="AR77" s="1444"/>
      <c r="AS77" s="1444"/>
      <c r="AT77" s="1442"/>
    </row>
    <row r="78" spans="1:46" ht="12.75" hidden="1" customHeight="1">
      <c r="A78" s="1430"/>
      <c r="B78" s="1431"/>
      <c r="C78" s="1463" t="s">
        <v>392</v>
      </c>
      <c r="D78" s="1463"/>
      <c r="E78" s="1463"/>
      <c r="F78" s="1463"/>
      <c r="G78" s="1463"/>
      <c r="H78" s="1463"/>
      <c r="I78" s="1463"/>
      <c r="J78" s="1463"/>
      <c r="K78" s="1463" t="s">
        <v>98</v>
      </c>
      <c r="L78" s="1446">
        <f t="shared" ref="L78:R78" si="13">SUM(L77:L77)</f>
        <v>2727140.0550000002</v>
      </c>
      <c r="M78" s="798">
        <f t="shared" si="13"/>
        <v>0</v>
      </c>
      <c r="N78" s="1446">
        <f t="shared" si="13"/>
        <v>0</v>
      </c>
      <c r="O78" s="1446">
        <f t="shared" si="13"/>
        <v>0</v>
      </c>
      <c r="P78" s="1446">
        <f t="shared" si="13"/>
        <v>2030959.13</v>
      </c>
      <c r="Q78" s="1446">
        <f t="shared" si="13"/>
        <v>123088.432</v>
      </c>
      <c r="R78" s="1446">
        <f t="shared" si="13"/>
        <v>44997810.95181188</v>
      </c>
      <c r="S78" s="1430"/>
      <c r="T78" s="793"/>
      <c r="U78" s="1430"/>
      <c r="V78" s="796">
        <f>SUM(V77)</f>
        <v>0</v>
      </c>
      <c r="W78" s="796">
        <f>SUM(W77)</f>
        <v>0</v>
      </c>
      <c r="X78" s="796">
        <f>SUM(X77)</f>
        <v>0</v>
      </c>
      <c r="Y78" s="796">
        <f>SUM(Y77)</f>
        <v>0</v>
      </c>
      <c r="AB78" s="1413"/>
      <c r="AC78" s="1413"/>
      <c r="AK78" s="1439"/>
      <c r="AL78" s="1445"/>
      <c r="AM78" s="1501"/>
      <c r="AN78" s="1444"/>
      <c r="AO78" s="1444"/>
      <c r="AP78" s="1474"/>
      <c r="AQ78" s="1443"/>
      <c r="AR78" s="1444"/>
      <c r="AS78" s="1444"/>
      <c r="AT78" s="1442"/>
    </row>
    <row r="79" spans="1:46" ht="12.75" hidden="1">
      <c r="A79" s="1406"/>
      <c r="B79" s="1406"/>
      <c r="C79" s="1406"/>
      <c r="D79" s="1406"/>
      <c r="E79" s="1406"/>
      <c r="F79" s="1406"/>
      <c r="G79" s="1406"/>
      <c r="H79" s="1406"/>
      <c r="I79" s="1406"/>
      <c r="J79" s="1406"/>
      <c r="K79" s="1407"/>
      <c r="L79" s="1406"/>
      <c r="M79" s="1406"/>
      <c r="N79" s="1406"/>
      <c r="O79" s="1406"/>
      <c r="P79" s="1406"/>
      <c r="Q79" s="1406"/>
      <c r="R79" s="1406"/>
      <c r="AK79" s="1439"/>
      <c r="AL79" s="1445"/>
      <c r="AM79" s="1501"/>
      <c r="AN79" s="1444"/>
      <c r="AO79" s="1444"/>
      <c r="AP79" s="1474"/>
      <c r="AQ79" s="1443"/>
      <c r="AR79" s="1444"/>
      <c r="AS79" s="1444"/>
      <c r="AT79" s="1442"/>
    </row>
    <row r="80" spans="1:46" ht="12.75">
      <c r="A80" s="1960" t="s">
        <v>393</v>
      </c>
      <c r="B80" s="1961"/>
      <c r="C80" s="1961"/>
      <c r="D80" s="1961"/>
      <c r="E80" s="1961"/>
      <c r="F80" s="1961"/>
      <c r="G80" s="1961"/>
      <c r="H80" s="1961"/>
      <c r="I80" s="1961"/>
      <c r="J80" s="1961"/>
      <c r="K80" s="1961"/>
      <c r="L80" s="1961"/>
      <c r="M80" s="1961"/>
      <c r="N80" s="1961"/>
      <c r="O80" s="1962"/>
      <c r="P80" s="1408"/>
      <c r="Q80" s="1409"/>
      <c r="R80" s="1410"/>
      <c r="S80" s="1411"/>
      <c r="T80" s="1412"/>
      <c r="U80" s="1410"/>
      <c r="V80" s="789"/>
      <c r="W80" s="790"/>
      <c r="X80" s="790"/>
      <c r="Y80" s="791"/>
      <c r="AB80" s="1413"/>
      <c r="AC80" s="1413"/>
      <c r="AK80" s="1439"/>
      <c r="AL80" s="1445"/>
      <c r="AM80" s="1501"/>
      <c r="AN80" s="1444"/>
      <c r="AO80" s="1444"/>
      <c r="AP80" s="1474"/>
      <c r="AQ80" s="1443"/>
      <c r="AR80" s="1444"/>
      <c r="AS80" s="1444"/>
      <c r="AT80" s="1442"/>
    </row>
    <row r="81" spans="1:46" ht="12.75">
      <c r="A81" s="1415"/>
      <c r="B81" s="1416"/>
      <c r="C81" s="1417" t="s">
        <v>256</v>
      </c>
      <c r="D81" s="1417" t="s">
        <v>257</v>
      </c>
      <c r="E81" s="1418" t="s">
        <v>258</v>
      </c>
      <c r="F81" s="1418" t="s">
        <v>259</v>
      </c>
      <c r="G81" s="1418" t="s">
        <v>260</v>
      </c>
      <c r="H81" s="1418" t="s">
        <v>261</v>
      </c>
      <c r="I81" s="1418" t="s">
        <v>262</v>
      </c>
      <c r="J81" s="1418" t="s">
        <v>263</v>
      </c>
      <c r="K81" s="1963" t="s">
        <v>264</v>
      </c>
      <c r="L81" s="1964"/>
      <c r="M81" s="1964"/>
      <c r="N81" s="1964" t="s">
        <v>265</v>
      </c>
      <c r="O81" s="1965"/>
      <c r="P81" s="1466"/>
      <c r="Q81" s="1467"/>
      <c r="R81" s="1421" t="s">
        <v>266</v>
      </c>
      <c r="S81" s="1421" t="s">
        <v>267</v>
      </c>
      <c r="T81" s="1421"/>
      <c r="U81" s="1421"/>
      <c r="V81" s="1966" t="s">
        <v>268</v>
      </c>
      <c r="W81" s="1967"/>
      <c r="X81" s="1967"/>
      <c r="Y81" s="1968"/>
      <c r="AB81" s="1413"/>
      <c r="AC81" s="1413"/>
      <c r="AK81" s="1439"/>
      <c r="AL81" s="1445"/>
      <c r="AM81" s="1501"/>
      <c r="AN81" s="1444"/>
      <c r="AO81" s="1444"/>
      <c r="AP81" s="1474"/>
      <c r="AQ81" s="1443"/>
      <c r="AR81" s="1444"/>
      <c r="AS81" s="1444"/>
      <c r="AT81" s="1442"/>
    </row>
    <row r="82" spans="1:46" ht="12.75" customHeight="1">
      <c r="A82" s="1427" t="s">
        <v>269</v>
      </c>
      <c r="B82" s="1421" t="s">
        <v>270</v>
      </c>
      <c r="C82" s="1427" t="s">
        <v>271</v>
      </c>
      <c r="D82" s="1427"/>
      <c r="E82" s="1427"/>
      <c r="F82" s="1427"/>
      <c r="G82" s="1427"/>
      <c r="H82" s="1427"/>
      <c r="I82" s="1427"/>
      <c r="J82" s="1427"/>
      <c r="K82" s="1427" t="s">
        <v>272</v>
      </c>
      <c r="L82" s="1420" t="s">
        <v>273</v>
      </c>
      <c r="M82" s="1421" t="s">
        <v>274</v>
      </c>
      <c r="N82" s="1421" t="s">
        <v>275</v>
      </c>
      <c r="O82" s="1421" t="s">
        <v>276</v>
      </c>
      <c r="P82" s="1428" t="s">
        <v>277</v>
      </c>
      <c r="Q82" s="1428" t="s">
        <v>278</v>
      </c>
      <c r="R82" s="1429" t="s">
        <v>279</v>
      </c>
      <c r="S82" s="1429" t="s">
        <v>280</v>
      </c>
      <c r="T82" s="1429" t="s">
        <v>281</v>
      </c>
      <c r="U82" s="1429" t="s">
        <v>282</v>
      </c>
      <c r="V82" s="792" t="s">
        <v>283</v>
      </c>
      <c r="W82" s="792" t="s">
        <v>284</v>
      </c>
      <c r="X82" s="792" t="s">
        <v>285</v>
      </c>
      <c r="Y82" s="792" t="s">
        <v>286</v>
      </c>
      <c r="AB82" s="1413"/>
      <c r="AC82" s="1413"/>
      <c r="AK82" s="1439"/>
      <c r="AL82" s="1445"/>
      <c r="AM82" s="1501"/>
      <c r="AN82" s="1444"/>
      <c r="AO82" s="1444"/>
      <c r="AP82" s="1474"/>
      <c r="AQ82" s="1443"/>
      <c r="AR82" s="1444"/>
      <c r="AS82" s="1444"/>
      <c r="AT82" s="1442"/>
    </row>
    <row r="83" spans="1:46" ht="12.75" customHeight="1">
      <c r="A83" s="1430"/>
      <c r="B83" s="1431"/>
      <c r="C83" s="1430" t="s">
        <v>394</v>
      </c>
      <c r="D83" s="1430"/>
      <c r="E83" s="1430"/>
      <c r="F83" s="1430"/>
      <c r="G83" s="1430"/>
      <c r="H83" s="1430"/>
      <c r="I83" s="1430"/>
      <c r="J83" s="1430"/>
      <c r="K83" s="1433" t="s">
        <v>395</v>
      </c>
      <c r="L83" s="1433">
        <v>2727140.0550000002</v>
      </c>
      <c r="M83" s="1433"/>
      <c r="N83" s="1433"/>
      <c r="O83" s="1434">
        <f>+L83-178331.478-201321.83-105323.16+201321.83</f>
        <v>2443485.4169999999</v>
      </c>
      <c r="P83" s="1433">
        <v>2030959.13</v>
      </c>
      <c r="Q83" s="1433">
        <v>123088.432</v>
      </c>
      <c r="R83" s="1433">
        <f>+P83/Q83*L83</f>
        <v>44997810.95181188</v>
      </c>
      <c r="S83" s="1435">
        <f>+P83/Q83</f>
        <v>16.500000016248478</v>
      </c>
      <c r="T83" s="1436" t="s">
        <v>389</v>
      </c>
      <c r="U83" s="1447">
        <v>38473</v>
      </c>
      <c r="V83" s="793"/>
      <c r="W83" s="793">
        <f>+R83-2942469.38-3321810.56-1737832.16+3321810.56</f>
        <v>40317509.411811881</v>
      </c>
      <c r="X83" s="793"/>
      <c r="Y83" s="793"/>
      <c r="Z83" s="1405" t="s">
        <v>292</v>
      </c>
      <c r="AA83" s="1405" t="s">
        <v>390</v>
      </c>
      <c r="AB83" s="1413" t="s">
        <v>391</v>
      </c>
      <c r="AC83" s="1413"/>
      <c r="AJ83" s="1414"/>
      <c r="AK83" s="1439" t="s">
        <v>6840</v>
      </c>
      <c r="AL83" s="1440" t="s">
        <v>5657</v>
      </c>
      <c r="AM83" s="1502" t="s">
        <v>376</v>
      </c>
      <c r="AN83" s="1444" t="s">
        <v>5658</v>
      </c>
      <c r="AO83" s="1444" t="s">
        <v>5658</v>
      </c>
      <c r="AP83" s="1474" t="s">
        <v>5621</v>
      </c>
      <c r="AQ83" s="1500">
        <v>2443485.42</v>
      </c>
      <c r="AR83" s="1444" t="s">
        <v>5659</v>
      </c>
      <c r="AS83" s="1444" t="s">
        <v>5660</v>
      </c>
      <c r="AT83" s="1442" t="s">
        <v>5609</v>
      </c>
    </row>
    <row r="84" spans="1:46" ht="12.75" customHeight="1">
      <c r="A84" s="1430"/>
      <c r="B84" s="1431"/>
      <c r="C84" s="1463" t="s">
        <v>392</v>
      </c>
      <c r="D84" s="1463"/>
      <c r="E84" s="1463"/>
      <c r="F84" s="1463"/>
      <c r="G84" s="1463"/>
      <c r="H84" s="1463"/>
      <c r="I84" s="1463"/>
      <c r="J84" s="1463"/>
      <c r="K84" s="1463" t="s">
        <v>98</v>
      </c>
      <c r="L84" s="1446">
        <f t="shared" ref="L84:R84" si="14">SUM(L83:L83)</f>
        <v>2727140.0550000002</v>
      </c>
      <c r="M84" s="798">
        <f t="shared" si="14"/>
        <v>0</v>
      </c>
      <c r="N84" s="1446">
        <f t="shared" si="14"/>
        <v>0</v>
      </c>
      <c r="O84" s="1446">
        <f t="shared" si="14"/>
        <v>2443485.4169999999</v>
      </c>
      <c r="P84" s="1446">
        <f t="shared" si="14"/>
        <v>2030959.13</v>
      </c>
      <c r="Q84" s="1446">
        <f t="shared" si="14"/>
        <v>123088.432</v>
      </c>
      <c r="R84" s="1446">
        <f t="shared" si="14"/>
        <v>44997810.95181188</v>
      </c>
      <c r="S84" s="1430"/>
      <c r="T84" s="793"/>
      <c r="U84" s="1430"/>
      <c r="V84" s="796">
        <f>SUM(V83)</f>
        <v>0</v>
      </c>
      <c r="W84" s="796">
        <f>SUM(W83)</f>
        <v>40317509.411811881</v>
      </c>
      <c r="X84" s="796">
        <f>SUM(X83)</f>
        <v>0</v>
      </c>
      <c r="Y84" s="796">
        <f>SUM(Y83)</f>
        <v>0</v>
      </c>
      <c r="AB84" s="1413"/>
      <c r="AC84" s="1413"/>
      <c r="AK84" s="1439"/>
      <c r="AL84" s="1440"/>
      <c r="AM84" s="1502"/>
      <c r="AN84" s="1444"/>
      <c r="AO84" s="1444"/>
      <c r="AP84" s="1474"/>
      <c r="AQ84" s="1500"/>
      <c r="AR84" s="1444"/>
      <c r="AS84" s="1444"/>
      <c r="AT84" s="1442"/>
    </row>
    <row r="85" spans="1:46" ht="11.25">
      <c r="A85" s="1406"/>
      <c r="B85" s="1406"/>
      <c r="C85" s="1406"/>
      <c r="D85" s="1406"/>
      <c r="E85" s="1406"/>
      <c r="F85" s="1406"/>
      <c r="G85" s="1406"/>
      <c r="H85" s="1406"/>
      <c r="I85" s="1406"/>
      <c r="J85" s="1406"/>
      <c r="K85" s="1407"/>
      <c r="L85" s="1406"/>
      <c r="M85" s="1406"/>
      <c r="N85" s="1406"/>
      <c r="O85" s="1406"/>
      <c r="P85" s="1406"/>
      <c r="Q85" s="1406"/>
      <c r="R85" s="1406"/>
      <c r="AK85" s="1439"/>
      <c r="AL85" s="1440"/>
      <c r="AM85" s="1502"/>
      <c r="AN85" s="1444"/>
      <c r="AO85" s="1444"/>
      <c r="AP85" s="1474"/>
      <c r="AQ85" s="1500"/>
      <c r="AR85" s="1444"/>
      <c r="AS85" s="1444"/>
      <c r="AT85" s="1442"/>
    </row>
    <row r="86" spans="1:46" ht="11.25">
      <c r="A86" s="1960" t="s">
        <v>396</v>
      </c>
      <c r="B86" s="1961"/>
      <c r="C86" s="1961"/>
      <c r="D86" s="1961"/>
      <c r="E86" s="1961"/>
      <c r="F86" s="1961"/>
      <c r="G86" s="1961"/>
      <c r="H86" s="1961"/>
      <c r="I86" s="1961"/>
      <c r="J86" s="1961"/>
      <c r="K86" s="1961"/>
      <c r="L86" s="1961"/>
      <c r="M86" s="1961"/>
      <c r="N86" s="1961"/>
      <c r="O86" s="1962"/>
      <c r="P86" s="1408"/>
      <c r="Q86" s="1409"/>
      <c r="R86" s="1410"/>
      <c r="S86" s="1411"/>
      <c r="T86" s="1412"/>
      <c r="U86" s="1410"/>
      <c r="V86" s="789"/>
      <c r="W86" s="790"/>
      <c r="X86" s="790"/>
      <c r="Y86" s="791"/>
      <c r="AB86" s="1413"/>
      <c r="AC86" s="1413"/>
      <c r="AK86" s="1439"/>
      <c r="AL86" s="1440"/>
      <c r="AM86" s="1502"/>
      <c r="AN86" s="1444"/>
      <c r="AO86" s="1444"/>
      <c r="AP86" s="1474"/>
      <c r="AQ86" s="1500"/>
      <c r="AR86" s="1444"/>
      <c r="AS86" s="1444"/>
      <c r="AT86" s="1442"/>
    </row>
    <row r="87" spans="1:46" ht="11.25">
      <c r="A87" s="1415"/>
      <c r="B87" s="1416"/>
      <c r="C87" s="1417" t="s">
        <v>256</v>
      </c>
      <c r="D87" s="1417" t="s">
        <v>257</v>
      </c>
      <c r="E87" s="1418" t="s">
        <v>258</v>
      </c>
      <c r="F87" s="1418" t="s">
        <v>259</v>
      </c>
      <c r="G87" s="1418" t="s">
        <v>260</v>
      </c>
      <c r="H87" s="1418" t="s">
        <v>261</v>
      </c>
      <c r="I87" s="1418" t="s">
        <v>262</v>
      </c>
      <c r="J87" s="1418" t="s">
        <v>263</v>
      </c>
      <c r="K87" s="1963" t="s">
        <v>264</v>
      </c>
      <c r="L87" s="1964"/>
      <c r="M87" s="1964"/>
      <c r="N87" s="1964" t="s">
        <v>265</v>
      </c>
      <c r="O87" s="1965"/>
      <c r="P87" s="1466"/>
      <c r="Q87" s="1467"/>
      <c r="R87" s="1421" t="s">
        <v>266</v>
      </c>
      <c r="S87" s="1421" t="s">
        <v>267</v>
      </c>
      <c r="T87" s="1421"/>
      <c r="U87" s="1421"/>
      <c r="V87" s="1966" t="s">
        <v>268</v>
      </c>
      <c r="W87" s="1967"/>
      <c r="X87" s="1967"/>
      <c r="Y87" s="1968"/>
      <c r="AB87" s="1413"/>
      <c r="AC87" s="1413"/>
      <c r="AK87" s="1439"/>
      <c r="AL87" s="1440"/>
      <c r="AM87" s="1502"/>
      <c r="AN87" s="1444"/>
      <c r="AO87" s="1444"/>
      <c r="AP87" s="1474"/>
      <c r="AQ87" s="1500"/>
      <c r="AR87" s="1444"/>
      <c r="AS87" s="1444"/>
      <c r="AT87" s="1442"/>
    </row>
    <row r="88" spans="1:46" ht="14.25" customHeight="1">
      <c r="A88" s="1427" t="s">
        <v>269</v>
      </c>
      <c r="B88" s="1421" t="s">
        <v>270</v>
      </c>
      <c r="C88" s="1427" t="s">
        <v>271</v>
      </c>
      <c r="D88" s="1427"/>
      <c r="E88" s="1427"/>
      <c r="F88" s="1427"/>
      <c r="G88" s="1427"/>
      <c r="H88" s="1427"/>
      <c r="I88" s="1427"/>
      <c r="J88" s="1427"/>
      <c r="K88" s="1427" t="s">
        <v>272</v>
      </c>
      <c r="L88" s="1420" t="s">
        <v>273</v>
      </c>
      <c r="M88" s="1421" t="s">
        <v>274</v>
      </c>
      <c r="N88" s="1421" t="s">
        <v>275</v>
      </c>
      <c r="O88" s="1421" t="s">
        <v>276</v>
      </c>
      <c r="P88" s="1428" t="s">
        <v>277</v>
      </c>
      <c r="Q88" s="1428" t="s">
        <v>278</v>
      </c>
      <c r="R88" s="1429" t="s">
        <v>279</v>
      </c>
      <c r="S88" s="1429" t="s">
        <v>280</v>
      </c>
      <c r="T88" s="1429" t="s">
        <v>281</v>
      </c>
      <c r="U88" s="1429" t="s">
        <v>282</v>
      </c>
      <c r="V88" s="792" t="s">
        <v>283</v>
      </c>
      <c r="W88" s="792" t="s">
        <v>284</v>
      </c>
      <c r="X88" s="792" t="s">
        <v>285</v>
      </c>
      <c r="Y88" s="792" t="s">
        <v>286</v>
      </c>
      <c r="AB88" s="1413"/>
      <c r="AC88" s="1413"/>
      <c r="AK88" s="1439"/>
      <c r="AL88" s="1440"/>
      <c r="AM88" s="1502"/>
      <c r="AN88" s="1444"/>
      <c r="AO88" s="1444"/>
      <c r="AP88" s="1474"/>
      <c r="AQ88" s="1500"/>
      <c r="AR88" s="1444"/>
      <c r="AS88" s="1444"/>
      <c r="AT88" s="1442"/>
    </row>
    <row r="89" spans="1:46" ht="14.25" customHeight="1">
      <c r="A89" s="1430"/>
      <c r="B89" s="1431"/>
      <c r="C89" s="1430" t="s">
        <v>397</v>
      </c>
      <c r="D89" s="1430"/>
      <c r="E89" s="1430"/>
      <c r="F89" s="1430"/>
      <c r="G89" s="1430"/>
      <c r="H89" s="1430"/>
      <c r="I89" s="1430"/>
      <c r="J89" s="1430"/>
      <c r="K89" s="1433" t="s">
        <v>398</v>
      </c>
      <c r="L89" s="1433">
        <v>2125617</v>
      </c>
      <c r="M89" s="1433"/>
      <c r="N89" s="1433"/>
      <c r="O89" s="1434">
        <f>+L89-99658.54-400000-458536.59-900000+458536.59-122768.233</f>
        <v>603190.22699999996</v>
      </c>
      <c r="P89" s="1433">
        <v>33159625.199999999</v>
      </c>
      <c r="Q89" s="1433">
        <f>+L89</f>
        <v>2125617</v>
      </c>
      <c r="R89" s="1433">
        <f>+P89</f>
        <v>33159625.199999999</v>
      </c>
      <c r="S89" s="1435">
        <f>+P89/Q89</f>
        <v>15.6</v>
      </c>
      <c r="T89" s="1436" t="s">
        <v>335</v>
      </c>
      <c r="U89" s="1437">
        <v>38517</v>
      </c>
      <c r="V89" s="793"/>
      <c r="W89" s="793">
        <f>+R89+1127427.06+11040+170+958.14+11886429.39+11886429.09+11886429.39-3146736.46-13191143.48-15121554.87-29680072.82+15121554.87-4048633.44</f>
        <v>19891922.069999997</v>
      </c>
      <c r="X89" s="793"/>
      <c r="Y89" s="793"/>
      <c r="Z89" s="1405" t="s">
        <v>292</v>
      </c>
      <c r="AA89" s="1405" t="s">
        <v>399</v>
      </c>
      <c r="AB89" s="1413"/>
      <c r="AC89" s="1413"/>
      <c r="AJ89" s="1414"/>
      <c r="AK89" s="1439" t="s">
        <v>6841</v>
      </c>
      <c r="AL89" s="1440" t="s">
        <v>5661</v>
      </c>
      <c r="AM89" s="1502" t="s">
        <v>376</v>
      </c>
      <c r="AN89" s="1444" t="s">
        <v>5662</v>
      </c>
      <c r="AO89" s="1444" t="s">
        <v>5662</v>
      </c>
      <c r="AP89" s="1474" t="s">
        <v>5621</v>
      </c>
      <c r="AQ89" s="1443">
        <v>603190.23</v>
      </c>
      <c r="AR89" s="1444" t="s">
        <v>5663</v>
      </c>
      <c r="AS89" s="1444" t="s">
        <v>5664</v>
      </c>
      <c r="AT89" s="1474" t="s">
        <v>5665</v>
      </c>
    </row>
    <row r="90" spans="1:46" ht="14.25" customHeight="1">
      <c r="A90" s="1430"/>
      <c r="B90" s="1431"/>
      <c r="C90" s="1463" t="s">
        <v>398</v>
      </c>
      <c r="D90" s="1463"/>
      <c r="E90" s="1463"/>
      <c r="F90" s="1463"/>
      <c r="G90" s="1463"/>
      <c r="H90" s="1463"/>
      <c r="I90" s="1463"/>
      <c r="J90" s="1463"/>
      <c r="K90" s="1463" t="s">
        <v>98</v>
      </c>
      <c r="L90" s="1446">
        <f t="shared" ref="L90:R90" si="15">SUM(L89:L89)</f>
        <v>2125617</v>
      </c>
      <c r="M90" s="798">
        <f t="shared" si="15"/>
        <v>0</v>
      </c>
      <c r="N90" s="1446">
        <f t="shared" si="15"/>
        <v>0</v>
      </c>
      <c r="O90" s="1446">
        <f t="shared" si="15"/>
        <v>603190.22699999996</v>
      </c>
      <c r="P90" s="1446">
        <f t="shared" si="15"/>
        <v>33159625.199999999</v>
      </c>
      <c r="Q90" s="1446">
        <f t="shared" si="15"/>
        <v>2125617</v>
      </c>
      <c r="R90" s="1446">
        <f t="shared" si="15"/>
        <v>33159625.199999999</v>
      </c>
      <c r="S90" s="1446"/>
      <c r="T90" s="1446"/>
      <c r="U90" s="1446"/>
      <c r="V90" s="796">
        <f>SUM(V89)</f>
        <v>0</v>
      </c>
      <c r="W90" s="796">
        <f>SUM(W89)</f>
        <v>19891922.069999997</v>
      </c>
      <c r="X90" s="796">
        <f>SUM(X89)</f>
        <v>0</v>
      </c>
      <c r="Y90" s="796">
        <f>SUM(Y89)</f>
        <v>0</v>
      </c>
      <c r="AB90" s="1413"/>
      <c r="AC90" s="1413"/>
      <c r="AK90" s="1439"/>
      <c r="AL90" s="1440"/>
      <c r="AM90" s="1502"/>
      <c r="AN90" s="1444"/>
      <c r="AO90" s="1444"/>
      <c r="AP90" s="1474"/>
      <c r="AQ90" s="1443"/>
      <c r="AR90" s="1444"/>
      <c r="AS90" s="1444"/>
      <c r="AT90" s="1474"/>
    </row>
    <row r="91" spans="1:46" ht="11.25">
      <c r="A91" s="1406"/>
      <c r="B91" s="1406"/>
      <c r="C91" s="1406"/>
      <c r="D91" s="1406"/>
      <c r="E91" s="1406"/>
      <c r="F91" s="1406"/>
      <c r="G91" s="1406"/>
      <c r="H91" s="1406"/>
      <c r="I91" s="1406"/>
      <c r="J91" s="1406"/>
      <c r="K91" s="1459" t="s">
        <v>365</v>
      </c>
      <c r="L91" s="1489">
        <f>L66+L72+L84+L90</f>
        <v>9538021.0850000009</v>
      </c>
      <c r="M91" s="1489">
        <f>M66+M72+M84+M90</f>
        <v>3006.15</v>
      </c>
      <c r="N91" s="1489">
        <f>N66+N72+N84+N90</f>
        <v>3006.15</v>
      </c>
      <c r="O91" s="1489">
        <f>O66+O72+O84+O90+O78</f>
        <v>6419650.118999999</v>
      </c>
      <c r="P91" s="1489"/>
      <c r="Q91" s="1489"/>
      <c r="R91" s="1489"/>
      <c r="S91" s="1489"/>
      <c r="T91" s="1489">
        <f>T66+T72+T84+T90</f>
        <v>0</v>
      </c>
      <c r="U91" s="1489">
        <f>U66+U72+U84+U90</f>
        <v>0</v>
      </c>
      <c r="V91" s="1489">
        <f>V66+V72+V84+V90+V78</f>
        <v>13727077.910000002</v>
      </c>
      <c r="W91" s="1489">
        <f>W66+W72+W84+W90+W78</f>
        <v>97572945.776811883</v>
      </c>
      <c r="X91" s="1489">
        <f>X66+X72+X84+X90+X78</f>
        <v>0</v>
      </c>
      <c r="Y91" s="1489">
        <f>Y66+Y72+Y84+Y90+Y78</f>
        <v>0</v>
      </c>
      <c r="AK91" s="1439"/>
      <c r="AL91" s="1440"/>
      <c r="AM91" s="1502"/>
      <c r="AN91" s="1444"/>
      <c r="AO91" s="1444"/>
      <c r="AP91" s="1474"/>
      <c r="AQ91" s="1443"/>
      <c r="AR91" s="1444"/>
      <c r="AS91" s="1444"/>
      <c r="AT91" s="1474"/>
    </row>
    <row r="92" spans="1:46" ht="11.25">
      <c r="A92" s="1406"/>
      <c r="B92" s="1406"/>
      <c r="C92" s="1406"/>
      <c r="D92" s="1406"/>
      <c r="E92" s="1406"/>
      <c r="F92" s="1406"/>
      <c r="G92" s="1406"/>
      <c r="H92" s="1406"/>
      <c r="I92" s="1406"/>
      <c r="J92" s="1406"/>
      <c r="K92" s="1407"/>
      <c r="L92" s="1406"/>
      <c r="M92" s="1406"/>
      <c r="N92" s="1406"/>
      <c r="O92" s="1406"/>
      <c r="P92" s="1406"/>
      <c r="Q92" s="1406"/>
      <c r="R92" s="1406"/>
      <c r="AK92" s="1439"/>
      <c r="AL92" s="1440"/>
      <c r="AM92" s="1502"/>
      <c r="AN92" s="1444"/>
      <c r="AO92" s="1444"/>
      <c r="AP92" s="1474"/>
      <c r="AQ92" s="1443"/>
      <c r="AR92" s="1444"/>
      <c r="AS92" s="1444"/>
      <c r="AT92" s="1474"/>
    </row>
    <row r="93" spans="1:46" ht="11.25">
      <c r="A93" s="1406"/>
      <c r="B93" s="1406"/>
      <c r="C93" s="1406"/>
      <c r="D93" s="1406"/>
      <c r="E93" s="1406"/>
      <c r="F93" s="1406"/>
      <c r="G93" s="1406"/>
      <c r="H93" s="1406"/>
      <c r="I93" s="1406"/>
      <c r="J93" s="1406"/>
      <c r="K93" s="1407"/>
      <c r="L93" s="1406"/>
      <c r="M93" s="1406"/>
      <c r="N93" s="1406"/>
      <c r="O93" s="1406"/>
      <c r="P93" s="1406"/>
      <c r="Q93" s="1406"/>
      <c r="R93" s="1406"/>
      <c r="V93" s="799"/>
      <c r="W93" s="799"/>
      <c r="X93" s="799"/>
      <c r="Y93" s="799"/>
      <c r="AK93" s="1439"/>
      <c r="AL93" s="1440"/>
      <c r="AM93" s="1502"/>
      <c r="AN93" s="1444"/>
      <c r="AO93" s="1444"/>
      <c r="AP93" s="1474"/>
      <c r="AQ93" s="1443"/>
      <c r="AR93" s="1444"/>
      <c r="AS93" s="1444"/>
      <c r="AT93" s="1474"/>
    </row>
    <row r="94" spans="1:46" ht="13.15" customHeight="1">
      <c r="A94" s="1494"/>
      <c r="C94" s="1459"/>
      <c r="D94" s="1459"/>
      <c r="E94" s="1459"/>
      <c r="F94" s="1459"/>
      <c r="G94" s="1459"/>
      <c r="H94" s="1459"/>
      <c r="I94" s="1459"/>
      <c r="J94" s="1459"/>
      <c r="K94" s="1490"/>
      <c r="L94" s="1458"/>
      <c r="M94" s="1458"/>
      <c r="N94" s="1458"/>
      <c r="O94" s="1503"/>
      <c r="P94" s="1504"/>
      <c r="Q94" s="1458"/>
      <c r="R94" s="1503"/>
      <c r="S94" s="1504"/>
      <c r="T94" s="1458"/>
      <c r="U94" s="1503"/>
      <c r="V94" s="800"/>
      <c r="W94" s="801"/>
      <c r="X94" s="801"/>
      <c r="Y94" s="802"/>
      <c r="AB94" s="1413"/>
      <c r="AC94" s="1413"/>
      <c r="AK94" s="1439"/>
      <c r="AL94" s="1440"/>
      <c r="AM94" s="1502"/>
      <c r="AN94" s="1444"/>
      <c r="AO94" s="1444"/>
      <c r="AP94" s="1474"/>
      <c r="AQ94" s="1443"/>
      <c r="AR94" s="1444"/>
      <c r="AS94" s="1444"/>
      <c r="AT94" s="1474"/>
    </row>
    <row r="95" spans="1:46" ht="9.75" customHeight="1">
      <c r="A95" s="1960" t="s">
        <v>99</v>
      </c>
      <c r="B95" s="1961"/>
      <c r="C95" s="1961"/>
      <c r="D95" s="1961"/>
      <c r="E95" s="1961"/>
      <c r="F95" s="1961"/>
      <c r="G95" s="1961"/>
      <c r="H95" s="1961"/>
      <c r="I95" s="1961"/>
      <c r="J95" s="1961"/>
      <c r="K95" s="1961"/>
      <c r="L95" s="1961"/>
      <c r="M95" s="1961"/>
      <c r="N95" s="1961"/>
      <c r="O95" s="1962"/>
      <c r="P95" s="1408"/>
      <c r="Q95" s="1409"/>
      <c r="R95" s="1410"/>
      <c r="S95" s="1411"/>
      <c r="T95" s="1412"/>
      <c r="U95" s="1410"/>
      <c r="V95" s="789"/>
      <c r="W95" s="790"/>
      <c r="X95" s="790"/>
      <c r="Y95" s="791"/>
      <c r="AB95" s="1413"/>
      <c r="AC95" s="1413"/>
      <c r="AF95" s="1414">
        <f>N130</f>
        <v>432297.50800000003</v>
      </c>
      <c r="AG95" s="1414">
        <v>82673.179999999993</v>
      </c>
      <c r="AK95" s="1439"/>
      <c r="AL95" s="1440"/>
      <c r="AM95" s="1502"/>
      <c r="AN95" s="1444"/>
      <c r="AO95" s="1444"/>
      <c r="AP95" s="1474"/>
      <c r="AQ95" s="1443"/>
      <c r="AR95" s="1444"/>
      <c r="AS95" s="1444"/>
      <c r="AT95" s="1474"/>
    </row>
    <row r="96" spans="1:46" ht="13.15" customHeight="1">
      <c r="A96" s="1974" t="s">
        <v>256</v>
      </c>
      <c r="B96" s="1975"/>
      <c r="C96" s="1976"/>
      <c r="D96" s="1417" t="s">
        <v>257</v>
      </c>
      <c r="E96" s="1418" t="s">
        <v>258</v>
      </c>
      <c r="F96" s="1418" t="s">
        <v>259</v>
      </c>
      <c r="G96" s="1418" t="s">
        <v>260</v>
      </c>
      <c r="H96" s="1418" t="s">
        <v>261</v>
      </c>
      <c r="I96" s="1418" t="s">
        <v>262</v>
      </c>
      <c r="J96" s="1418" t="s">
        <v>263</v>
      </c>
      <c r="K96" s="1963" t="s">
        <v>264</v>
      </c>
      <c r="L96" s="1964"/>
      <c r="M96" s="1964"/>
      <c r="N96" s="1964" t="s">
        <v>265</v>
      </c>
      <c r="O96" s="1965"/>
      <c r="P96" s="1466"/>
      <c r="Q96" s="1466"/>
      <c r="R96" s="1421" t="s">
        <v>367</v>
      </c>
      <c r="S96" s="1421" t="s">
        <v>267</v>
      </c>
      <c r="T96" s="1421"/>
      <c r="U96" s="1421"/>
      <c r="V96" s="1966" t="s">
        <v>268</v>
      </c>
      <c r="W96" s="1967"/>
      <c r="X96" s="1967"/>
      <c r="Y96" s="1968"/>
      <c r="AB96" s="1413"/>
      <c r="AC96" s="1413"/>
      <c r="AF96" s="1423">
        <v>1</v>
      </c>
      <c r="AK96" s="1439"/>
      <c r="AL96" s="1440"/>
      <c r="AM96" s="1502"/>
      <c r="AN96" s="1444"/>
      <c r="AO96" s="1444"/>
      <c r="AP96" s="1474"/>
      <c r="AQ96" s="1443"/>
      <c r="AR96" s="1444"/>
      <c r="AS96" s="1444"/>
      <c r="AT96" s="1474"/>
    </row>
    <row r="97" spans="1:46" ht="13.15" customHeight="1">
      <c r="A97" s="1461">
        <v>2</v>
      </c>
      <c r="B97" s="1462" t="s">
        <v>270</v>
      </c>
      <c r="C97" s="1461" t="s">
        <v>271</v>
      </c>
      <c r="D97" s="1461"/>
      <c r="E97" s="1461"/>
      <c r="F97" s="1461"/>
      <c r="G97" s="1461"/>
      <c r="H97" s="1461"/>
      <c r="I97" s="1461"/>
      <c r="J97" s="1461"/>
      <c r="K97" s="1470" t="s">
        <v>272</v>
      </c>
      <c r="L97" s="1487" t="s">
        <v>370</v>
      </c>
      <c r="M97" s="1462" t="s">
        <v>274</v>
      </c>
      <c r="N97" s="1462" t="s">
        <v>371</v>
      </c>
      <c r="O97" s="1462" t="s">
        <v>276</v>
      </c>
      <c r="P97" s="1428" t="s">
        <v>277</v>
      </c>
      <c r="Q97" s="1428" t="s">
        <v>278</v>
      </c>
      <c r="R97" s="1429" t="s">
        <v>279</v>
      </c>
      <c r="S97" s="1429" t="s">
        <v>280</v>
      </c>
      <c r="T97" s="1429" t="s">
        <v>281</v>
      </c>
      <c r="U97" s="1429" t="s">
        <v>282</v>
      </c>
      <c r="V97" s="792" t="s">
        <v>283</v>
      </c>
      <c r="W97" s="792" t="s">
        <v>284</v>
      </c>
      <c r="X97" s="792" t="s">
        <v>285</v>
      </c>
      <c r="Y97" s="792" t="s">
        <v>286</v>
      </c>
      <c r="AB97" s="1413"/>
      <c r="AC97" s="1413" t="s">
        <v>400</v>
      </c>
      <c r="AK97" s="1439"/>
      <c r="AL97" s="1440"/>
      <c r="AM97" s="1502"/>
      <c r="AN97" s="1444"/>
      <c r="AO97" s="1444"/>
      <c r="AP97" s="1474"/>
      <c r="AQ97" s="1443"/>
      <c r="AR97" s="1444"/>
      <c r="AS97" s="1444"/>
      <c r="AT97" s="1474"/>
    </row>
    <row r="98" spans="1:46" ht="11.25">
      <c r="A98" s="1430">
        <v>1</v>
      </c>
      <c r="B98" s="1431" t="s">
        <v>401</v>
      </c>
      <c r="C98" s="1430" t="s">
        <v>402</v>
      </c>
      <c r="D98" s="1430"/>
      <c r="E98" s="1430"/>
      <c r="F98" s="1430"/>
      <c r="G98" s="1430"/>
      <c r="H98" s="1430"/>
      <c r="I98" s="1430"/>
      <c r="J98" s="1430"/>
      <c r="K98" s="1414" t="s">
        <v>403</v>
      </c>
      <c r="L98" s="1432"/>
      <c r="M98" s="1434">
        <v>2500</v>
      </c>
      <c r="N98" s="803">
        <v>2500</v>
      </c>
      <c r="O98" s="1415"/>
      <c r="P98" s="1433">
        <v>625000</v>
      </c>
      <c r="Q98" s="1433">
        <v>2500</v>
      </c>
      <c r="R98" s="1433">
        <f>+P98</f>
        <v>625000</v>
      </c>
      <c r="S98" s="1435">
        <f>+P98/Q98</f>
        <v>250</v>
      </c>
      <c r="T98" s="1436" t="s">
        <v>291</v>
      </c>
      <c r="U98" s="1437">
        <v>38581</v>
      </c>
      <c r="V98" s="793">
        <f>+R98+178.89+494.22+1405.86+2464.4+4887.33+3685.55+9415.79+2301.72+1505.32+3865.34+1510.31+3241.27+1517.97+24342.37+4112.85+2450.5+8736.91+478.1</f>
        <v>701594.7</v>
      </c>
      <c r="W98" s="793"/>
      <c r="X98" s="793"/>
      <c r="Y98" s="793"/>
      <c r="Z98" s="1479" t="s">
        <v>292</v>
      </c>
      <c r="AA98" s="1479" t="s">
        <v>404</v>
      </c>
      <c r="AB98" s="1413"/>
      <c r="AC98" s="1413"/>
      <c r="AE98" s="804">
        <v>2500</v>
      </c>
      <c r="AF98" s="1505">
        <f>((N98*$AF$96)/$AF$95)</f>
        <v>5.7830543867025946E-3</v>
      </c>
      <c r="AG98" s="1414">
        <f t="shared" ref="AG98:AG127" si="16">$AG$95*AF98</f>
        <v>478.10349626165316</v>
      </c>
      <c r="AJ98" s="1422"/>
      <c r="AK98" s="1439" t="s">
        <v>6842</v>
      </c>
      <c r="AL98" s="1440" t="s">
        <v>5666</v>
      </c>
      <c r="AM98" s="1502" t="s">
        <v>5667</v>
      </c>
      <c r="AN98" s="1441" t="s">
        <v>5668</v>
      </c>
      <c r="AO98" s="1441" t="s">
        <v>5668</v>
      </c>
      <c r="AP98" s="1474" t="s">
        <v>5593</v>
      </c>
      <c r="AQ98" s="1443">
        <v>2500</v>
      </c>
      <c r="AR98" s="1444" t="s">
        <v>5669</v>
      </c>
      <c r="AS98" s="1444" t="s">
        <v>5670</v>
      </c>
      <c r="AT98" s="1474"/>
    </row>
    <row r="99" spans="1:46" ht="11.25" hidden="1">
      <c r="A99" s="1430">
        <v>2</v>
      </c>
      <c r="B99" s="1431">
        <v>5</v>
      </c>
      <c r="C99" s="1430" t="s">
        <v>405</v>
      </c>
      <c r="D99" s="1430"/>
      <c r="E99" s="1430"/>
      <c r="F99" s="1430"/>
      <c r="G99" s="1430"/>
      <c r="H99" s="1430"/>
      <c r="I99" s="1430"/>
      <c r="J99" s="1430"/>
      <c r="K99" s="1414" t="s">
        <v>403</v>
      </c>
      <c r="L99" s="1433">
        <v>25487</v>
      </c>
      <c r="M99" s="1433"/>
      <c r="N99" s="793">
        <f>25487-25487</f>
        <v>0</v>
      </c>
      <c r="O99" s="1415"/>
      <c r="P99" s="1433">
        <v>5832605.1399999997</v>
      </c>
      <c r="Q99" s="1433">
        <v>25467</v>
      </c>
      <c r="R99" s="793">
        <f>+P99/Q99*L99</f>
        <v>5837185.659998429</v>
      </c>
      <c r="S99" s="1435">
        <f>+P99/Q99</f>
        <v>229.02599992146699</v>
      </c>
      <c r="T99" s="1436" t="s">
        <v>335</v>
      </c>
      <c r="U99" s="1437">
        <v>38406</v>
      </c>
      <c r="V99" s="793"/>
      <c r="W99" s="793"/>
      <c r="X99" s="793"/>
      <c r="Y99" s="793">
        <f>+R99+456359.94+3037.82+378373.71+9208.31-6684165.44</f>
        <v>-1.5711411833763123E-6</v>
      </c>
      <c r="Z99" s="1405" t="s">
        <v>292</v>
      </c>
      <c r="AA99" s="1405" t="s">
        <v>406</v>
      </c>
      <c r="AB99" s="1413"/>
      <c r="AC99" s="1506" t="e">
        <f>($S$132/$N$132)*N99</f>
        <v>#DIV/0!</v>
      </c>
      <c r="AE99" s="805"/>
      <c r="AF99" s="1505">
        <f t="shared" ref="AF99:AF127" si="17">((N99*$AF$96)/$AF$95)</f>
        <v>0</v>
      </c>
      <c r="AG99" s="1414">
        <f t="shared" si="16"/>
        <v>0</v>
      </c>
      <c r="AJ99" s="1422"/>
      <c r="AK99" s="1439"/>
      <c r="AL99" s="1440"/>
      <c r="AM99" s="1502"/>
      <c r="AN99" s="1441"/>
      <c r="AO99" s="1441"/>
      <c r="AP99" s="1474"/>
      <c r="AQ99" s="1443"/>
      <c r="AR99" s="1444"/>
      <c r="AS99" s="1444"/>
      <c r="AT99" s="1474"/>
    </row>
    <row r="100" spans="1:46" ht="11.25">
      <c r="A100" s="1430">
        <v>2</v>
      </c>
      <c r="B100" s="1431">
        <v>7</v>
      </c>
      <c r="C100" s="1468" t="s">
        <v>408</v>
      </c>
      <c r="D100" s="1468"/>
      <c r="E100" s="1468"/>
      <c r="F100" s="1468"/>
      <c r="G100" s="1468"/>
      <c r="H100" s="1468"/>
      <c r="I100" s="1468"/>
      <c r="J100" s="1468"/>
      <c r="K100" s="1414" t="s">
        <v>403</v>
      </c>
      <c r="L100" s="1434"/>
      <c r="M100" s="1507">
        <v>1824.85</v>
      </c>
      <c r="N100" s="793">
        <f>+M100</f>
        <v>1824.85</v>
      </c>
      <c r="O100" s="1415"/>
      <c r="P100" s="1433">
        <v>319348.75</v>
      </c>
      <c r="Q100" s="1433">
        <v>1824.85</v>
      </c>
      <c r="R100" s="1433">
        <f>+P100</f>
        <v>319348.75</v>
      </c>
      <c r="S100" s="1435">
        <f>+P100/Q100</f>
        <v>175</v>
      </c>
      <c r="T100" s="1436" t="s">
        <v>291</v>
      </c>
      <c r="U100" s="1437">
        <v>38581</v>
      </c>
      <c r="V100" s="793">
        <f>+R100+130.58+360.75+1026.19+1798.86+3567.46+2690.23+6872.96+1680.11+1098.8+2821.47+1102.44+2364.94+1108.03+17768.47+3002.14+1788.72+6377.42+348.99</f>
        <v>375257.31</v>
      </c>
      <c r="W100" s="793"/>
      <c r="X100" s="793"/>
      <c r="Y100" s="793"/>
      <c r="Z100" s="1405" t="s">
        <v>292</v>
      </c>
      <c r="AA100" s="1405" t="s">
        <v>409</v>
      </c>
      <c r="AB100" s="1413"/>
      <c r="AC100" s="1413"/>
      <c r="AE100" s="805">
        <v>1824.85</v>
      </c>
      <c r="AF100" s="1505">
        <f t="shared" si="17"/>
        <v>4.2212827190296915E-3</v>
      </c>
      <c r="AG100" s="1414">
        <f t="shared" si="16"/>
        <v>348.98686606123107</v>
      </c>
      <c r="AJ100" s="1422"/>
      <c r="AK100" s="1439" t="s">
        <v>6843</v>
      </c>
      <c r="AL100" s="1440" t="s">
        <v>5591</v>
      </c>
      <c r="AM100" s="1502" t="s">
        <v>5672</v>
      </c>
      <c r="AN100" s="1444" t="s">
        <v>5668</v>
      </c>
      <c r="AO100" s="1444" t="s">
        <v>5668</v>
      </c>
      <c r="AP100" s="1474" t="s">
        <v>5593</v>
      </c>
      <c r="AQ100" s="1360">
        <v>1824.85</v>
      </c>
      <c r="AR100" s="1444" t="s">
        <v>5669</v>
      </c>
      <c r="AS100" s="1444" t="s">
        <v>5670</v>
      </c>
      <c r="AT100" s="1444" t="s">
        <v>5609</v>
      </c>
    </row>
    <row r="101" spans="1:46" ht="11.25">
      <c r="A101" s="1430">
        <v>2</v>
      </c>
      <c r="B101" s="1431" t="s">
        <v>410</v>
      </c>
      <c r="C101" s="1430" t="s">
        <v>385</v>
      </c>
      <c r="D101" s="1430"/>
      <c r="E101" s="1430"/>
      <c r="F101" s="1430"/>
      <c r="G101" s="1430"/>
      <c r="H101" s="1430"/>
      <c r="I101" s="1430"/>
      <c r="J101" s="1430"/>
      <c r="K101" s="1414" t="s">
        <v>403</v>
      </c>
      <c r="L101" s="1433">
        <f>18125.11-12582.44</f>
        <v>5542.67</v>
      </c>
      <c r="M101" s="806"/>
      <c r="N101" s="793">
        <f>18125.11-12582.44</f>
        <v>5542.67</v>
      </c>
      <c r="O101" s="1508"/>
      <c r="P101" s="1433"/>
      <c r="Q101" s="1433"/>
      <c r="R101" s="1435">
        <f>+S101*N101</f>
        <v>969967.25</v>
      </c>
      <c r="S101" s="793">
        <v>175</v>
      </c>
      <c r="T101" s="1430" t="s">
        <v>302</v>
      </c>
      <c r="U101" s="1430"/>
      <c r="V101" s="793"/>
      <c r="W101" s="793"/>
      <c r="X101" s="793"/>
      <c r="Y101" s="793">
        <f>3171894.25+324795.78+2162.05+269292.22+6548.51-2620389.38+3583.15+10192.54+17867+35433.35+26720.38+68264.91+5103.06+3337.41+8569.73+3348.46+7186.13+3364.45+53968.68+9118.46+5432.93+19370.32+1059.99</f>
        <v>1436224.3799999992</v>
      </c>
      <c r="Z101" s="1405" t="s">
        <v>303</v>
      </c>
      <c r="AB101" s="1413"/>
      <c r="AC101" s="1506" t="e">
        <f>($S$132/$N$132)*N101</f>
        <v>#DIV/0!</v>
      </c>
      <c r="AE101" s="805">
        <v>18125.11</v>
      </c>
      <c r="AF101" s="1505">
        <f t="shared" si="17"/>
        <v>1.2821424823017947E-2</v>
      </c>
      <c r="AG101" s="1414">
        <f t="shared" si="16"/>
        <v>1059.9879622498308</v>
      </c>
      <c r="AJ101" s="1422"/>
      <c r="AK101" s="1439" t="s">
        <v>6844</v>
      </c>
      <c r="AL101" s="1440" t="s">
        <v>5591</v>
      </c>
      <c r="AM101" s="1502" t="s">
        <v>5673</v>
      </c>
      <c r="AN101" s="1444" t="s">
        <v>5668</v>
      </c>
      <c r="AO101" s="1444" t="s">
        <v>5668</v>
      </c>
      <c r="AP101" s="1474" t="s">
        <v>5621</v>
      </c>
      <c r="AQ101" s="1360">
        <f>18125.11-12582.44</f>
        <v>5542.67</v>
      </c>
      <c r="AR101" s="1444" t="s">
        <v>5669</v>
      </c>
      <c r="AS101" s="1444" t="s">
        <v>5670</v>
      </c>
      <c r="AT101" s="1444" t="s">
        <v>5609</v>
      </c>
    </row>
    <row r="102" spans="1:46" ht="11.25" hidden="1">
      <c r="A102" s="1430">
        <v>3</v>
      </c>
      <c r="B102" s="1431">
        <v>4</v>
      </c>
      <c r="C102" s="1430" t="s">
        <v>411</v>
      </c>
      <c r="D102" s="1430"/>
      <c r="E102" s="1430"/>
      <c r="F102" s="1430"/>
      <c r="G102" s="1430"/>
      <c r="H102" s="1430"/>
      <c r="I102" s="1430"/>
      <c r="J102" s="1430"/>
      <c r="K102" s="1414" t="s">
        <v>403</v>
      </c>
      <c r="L102" s="1433">
        <v>24308.11</v>
      </c>
      <c r="M102" s="806"/>
      <c r="N102" s="793">
        <f>+L102-24308.11</f>
        <v>0</v>
      </c>
      <c r="O102" s="1508"/>
      <c r="P102" s="1433"/>
      <c r="Q102" s="1433"/>
      <c r="R102" s="793">
        <f t="shared" ref="R102:R107" si="18">+S102*N102</f>
        <v>0</v>
      </c>
      <c r="S102" s="793">
        <v>175</v>
      </c>
      <c r="T102" s="1430" t="s">
        <v>302</v>
      </c>
      <c r="U102" s="1430"/>
      <c r="V102" s="793"/>
      <c r="W102" s="793"/>
      <c r="X102" s="793"/>
      <c r="Y102" s="793">
        <v>0</v>
      </c>
      <c r="Z102" s="1405" t="s">
        <v>303</v>
      </c>
      <c r="AB102" s="1413"/>
      <c r="AC102" s="1506" t="e">
        <f>($S$132/$N$132)*N102</f>
        <v>#DIV/0!</v>
      </c>
      <c r="AE102" s="805">
        <v>24308.11</v>
      </c>
      <c r="AF102" s="1505">
        <f t="shared" si="17"/>
        <v>0</v>
      </c>
      <c r="AG102" s="1414">
        <f t="shared" si="16"/>
        <v>0</v>
      </c>
      <c r="AJ102" s="1422"/>
      <c r="AK102" s="1439"/>
      <c r="AL102" s="1440"/>
      <c r="AM102" s="1502"/>
      <c r="AN102" s="1444"/>
      <c r="AO102" s="1444"/>
      <c r="AP102" s="1474"/>
      <c r="AQ102" s="1360"/>
      <c r="AR102" s="1444"/>
      <c r="AS102" s="1444"/>
      <c r="AT102" s="1444"/>
    </row>
    <row r="103" spans="1:46" ht="11.25">
      <c r="A103" s="1430">
        <v>3</v>
      </c>
      <c r="B103" s="1431">
        <v>5</v>
      </c>
      <c r="C103" s="1430" t="s">
        <v>412</v>
      </c>
      <c r="D103" s="1430"/>
      <c r="E103" s="1430"/>
      <c r="F103" s="1430"/>
      <c r="G103" s="1430"/>
      <c r="H103" s="1430"/>
      <c r="I103" s="1430"/>
      <c r="J103" s="1430"/>
      <c r="K103" s="1414" t="s">
        <v>403</v>
      </c>
      <c r="L103" s="1430"/>
      <c r="M103" s="1433">
        <v>20918.400000000001</v>
      </c>
      <c r="N103" s="807">
        <v>20918.400000000001</v>
      </c>
      <c r="O103" s="1508"/>
      <c r="P103" s="1433"/>
      <c r="Q103" s="1433"/>
      <c r="R103" s="793">
        <f t="shared" si="18"/>
        <v>3660720.0000000005</v>
      </c>
      <c r="S103" s="793">
        <v>175</v>
      </c>
      <c r="T103" s="1430" t="s">
        <v>302</v>
      </c>
      <c r="U103" s="1430"/>
      <c r="V103" s="793">
        <f>+R103+1496.84+4135.35+11763.33+20620.51+40894.04+30838.3+78785.33+19259.28+12595.59+32342.73+12637.32+27120.91+12701.41+203681.34+34413.46+20504.25+73104.85+4000.46</f>
        <v>4301615.3</v>
      </c>
      <c r="W103" s="793"/>
      <c r="X103" s="793"/>
      <c r="Y103" s="793"/>
      <c r="Z103" s="1405" t="s">
        <v>303</v>
      </c>
      <c r="AB103" s="1413"/>
      <c r="AC103" s="1413"/>
      <c r="AE103" s="808">
        <v>20918.400000000001</v>
      </c>
      <c r="AF103" s="1505">
        <f t="shared" si="17"/>
        <v>4.8388897953119819E-2</v>
      </c>
      <c r="AG103" s="1414">
        <f t="shared" si="16"/>
        <v>4000.4640704799062</v>
      </c>
      <c r="AJ103" s="1422"/>
      <c r="AK103" s="1439" t="s">
        <v>6845</v>
      </c>
      <c r="AL103" s="1440" t="s">
        <v>5674</v>
      </c>
      <c r="AM103" s="1509" t="s">
        <v>5675</v>
      </c>
      <c r="AN103" s="1444" t="s">
        <v>5668</v>
      </c>
      <c r="AO103" s="1444" t="s">
        <v>5668</v>
      </c>
      <c r="AP103" s="1442" t="s">
        <v>5593</v>
      </c>
      <c r="AQ103" s="1360">
        <v>20918.400000000001</v>
      </c>
      <c r="AR103" s="1444" t="s">
        <v>5676</v>
      </c>
      <c r="AS103" s="1444" t="s">
        <v>5670</v>
      </c>
      <c r="AT103" s="1444" t="s">
        <v>5609</v>
      </c>
    </row>
    <row r="104" spans="1:46" ht="11.25">
      <c r="A104" s="1430">
        <v>3</v>
      </c>
      <c r="B104" s="1431">
        <v>6</v>
      </c>
      <c r="C104" s="1430" t="s">
        <v>412</v>
      </c>
      <c r="D104" s="1430"/>
      <c r="E104" s="1430"/>
      <c r="F104" s="1430"/>
      <c r="G104" s="1430"/>
      <c r="H104" s="1430"/>
      <c r="I104" s="1430"/>
      <c r="J104" s="1430"/>
      <c r="K104" s="1414" t="s">
        <v>403</v>
      </c>
      <c r="L104" s="1430"/>
      <c r="M104" s="1433">
        <v>20918.400000000001</v>
      </c>
      <c r="N104" s="807">
        <v>20918.400000000001</v>
      </c>
      <c r="O104" s="1508"/>
      <c r="P104" s="1433"/>
      <c r="Q104" s="1433"/>
      <c r="R104" s="793">
        <f t="shared" si="18"/>
        <v>3660720.0000000005</v>
      </c>
      <c r="S104" s="793">
        <v>175</v>
      </c>
      <c r="T104" s="1430" t="s">
        <v>302</v>
      </c>
      <c r="U104" s="1430"/>
      <c r="V104" s="793">
        <f>+R104+1496.84+4135.35+11763.33+20620.51+40894.04+30838.3+78785.33+19259.28+12595.59+32342.73+12637.32+27120.91+12701.41+203681.34+34413.62+20504.25+73104.85+4000.46</f>
        <v>4301615.459999999</v>
      </c>
      <c r="W104" s="793"/>
      <c r="X104" s="793"/>
      <c r="Y104" s="793"/>
      <c r="Z104" s="1405" t="s">
        <v>303</v>
      </c>
      <c r="AB104" s="1413"/>
      <c r="AC104" s="1413"/>
      <c r="AE104" s="808">
        <v>20918.400000000001</v>
      </c>
      <c r="AF104" s="1505">
        <f t="shared" si="17"/>
        <v>4.8388897953119819E-2</v>
      </c>
      <c r="AG104" s="1414">
        <f t="shared" si="16"/>
        <v>4000.4640704799062</v>
      </c>
      <c r="AJ104" s="1422"/>
      <c r="AK104" s="1439" t="s">
        <v>6846</v>
      </c>
      <c r="AL104" s="1440" t="s">
        <v>5674</v>
      </c>
      <c r="AM104" s="1509" t="s">
        <v>5677</v>
      </c>
      <c r="AN104" s="1444" t="s">
        <v>5668</v>
      </c>
      <c r="AO104" s="1444" t="s">
        <v>5668</v>
      </c>
      <c r="AP104" s="1442" t="s">
        <v>5593</v>
      </c>
      <c r="AQ104" s="1360">
        <v>20918.400000000001</v>
      </c>
      <c r="AR104" s="1444" t="s">
        <v>5676</v>
      </c>
      <c r="AS104" s="1444" t="s">
        <v>5670</v>
      </c>
      <c r="AT104" s="1444" t="s">
        <v>5609</v>
      </c>
    </row>
    <row r="105" spans="1:46" ht="11.25">
      <c r="A105" s="1430">
        <v>3</v>
      </c>
      <c r="B105" s="1431">
        <v>7</v>
      </c>
      <c r="C105" s="1430" t="s">
        <v>412</v>
      </c>
      <c r="D105" s="1430"/>
      <c r="E105" s="1430"/>
      <c r="F105" s="1430"/>
      <c r="G105" s="1430"/>
      <c r="H105" s="1430"/>
      <c r="I105" s="1430"/>
      <c r="J105" s="1430"/>
      <c r="K105" s="1414" t="s">
        <v>403</v>
      </c>
      <c r="L105" s="1430"/>
      <c r="M105" s="1433">
        <v>20918.400000000001</v>
      </c>
      <c r="N105" s="807">
        <v>20918.400000000001</v>
      </c>
      <c r="O105" s="1508"/>
      <c r="P105" s="1433"/>
      <c r="Q105" s="1433"/>
      <c r="R105" s="793">
        <f t="shared" si="18"/>
        <v>3660720.0000000005</v>
      </c>
      <c r="S105" s="793">
        <v>175</v>
      </c>
      <c r="T105" s="1430" t="s">
        <v>302</v>
      </c>
      <c r="U105" s="1430"/>
      <c r="V105" s="793">
        <f>+R105+1496.84+4135.35+11763.33+20620.51+40894.04+30838.3+78785.33+19259.28+12595.59+32342.73+12637.32+27120.91+12701.41+203681.34+34413.62+20504.25+73104.85+4000.46</f>
        <v>4301615.459999999</v>
      </c>
      <c r="W105" s="793"/>
      <c r="X105" s="793"/>
      <c r="Y105" s="793"/>
      <c r="Z105" s="1405" t="s">
        <v>303</v>
      </c>
      <c r="AB105" s="1413"/>
      <c r="AC105" s="1413"/>
      <c r="AE105" s="808">
        <v>20918.400000000001</v>
      </c>
      <c r="AF105" s="1505">
        <f t="shared" si="17"/>
        <v>4.8388897953119819E-2</v>
      </c>
      <c r="AG105" s="1414">
        <f t="shared" si="16"/>
        <v>4000.4640704799062</v>
      </c>
      <c r="AJ105" s="1422"/>
      <c r="AK105" s="1439" t="s">
        <v>6847</v>
      </c>
      <c r="AL105" s="1440" t="s">
        <v>5674</v>
      </c>
      <c r="AM105" s="1509" t="s">
        <v>5672</v>
      </c>
      <c r="AN105" s="1444" t="s">
        <v>5668</v>
      </c>
      <c r="AO105" s="1444" t="s">
        <v>5668</v>
      </c>
      <c r="AP105" s="1442" t="s">
        <v>5593</v>
      </c>
      <c r="AQ105" s="1360">
        <v>20918.400000000001</v>
      </c>
      <c r="AR105" s="1444" t="s">
        <v>5676</v>
      </c>
      <c r="AS105" s="1444" t="s">
        <v>5670</v>
      </c>
      <c r="AT105" s="1444" t="s">
        <v>5609</v>
      </c>
    </row>
    <row r="106" spans="1:46" ht="11.25">
      <c r="A106" s="1430">
        <v>3</v>
      </c>
      <c r="B106" s="1431">
        <v>8</v>
      </c>
      <c r="C106" s="1430" t="s">
        <v>412</v>
      </c>
      <c r="D106" s="1430"/>
      <c r="E106" s="1430"/>
      <c r="F106" s="1430"/>
      <c r="G106" s="1430"/>
      <c r="H106" s="1430"/>
      <c r="I106" s="1430"/>
      <c r="J106" s="1430"/>
      <c r="K106" s="1414" t="s">
        <v>403</v>
      </c>
      <c r="L106" s="1430"/>
      <c r="M106" s="1433">
        <v>48304.57</v>
      </c>
      <c r="N106" s="807">
        <v>48304.57</v>
      </c>
      <c r="O106" s="1508"/>
      <c r="P106" s="1433"/>
      <c r="Q106" s="1433"/>
      <c r="R106" s="793">
        <f t="shared" si="18"/>
        <v>8453299.75</v>
      </c>
      <c r="S106" s="793">
        <v>175</v>
      </c>
      <c r="T106" s="1430" t="s">
        <v>302</v>
      </c>
      <c r="U106" s="1430"/>
      <c r="V106" s="793">
        <f>+R106+3456.5+9549.31+27163.77+47616.68+94432.12+71211.52+181930.34+44473.35+29085.61+74685.5+29181.98+62628.35+29329.98+470339.01+79467.6+47348.21+168813.01+9237.83</f>
        <v>9933250.4199999981</v>
      </c>
      <c r="W106" s="793"/>
      <c r="X106" s="793"/>
      <c r="Y106" s="793"/>
      <c r="Z106" s="1405" t="s">
        <v>303</v>
      </c>
      <c r="AB106" s="1413"/>
      <c r="AC106" s="1413"/>
      <c r="AE106" s="808">
        <v>48304.57</v>
      </c>
      <c r="AF106" s="1505">
        <f t="shared" si="17"/>
        <v>0.11173918217451301</v>
      </c>
      <c r="AG106" s="1414">
        <f t="shared" si="16"/>
        <v>9237.8335209663037</v>
      </c>
      <c r="AJ106" s="1422"/>
      <c r="AK106" s="1439" t="s">
        <v>6848</v>
      </c>
      <c r="AL106" s="1440" t="s">
        <v>5674</v>
      </c>
      <c r="AM106" s="1509" t="s">
        <v>5678</v>
      </c>
      <c r="AN106" s="1444" t="s">
        <v>5668</v>
      </c>
      <c r="AO106" s="1444" t="s">
        <v>5668</v>
      </c>
      <c r="AP106" s="1442" t="s">
        <v>5593</v>
      </c>
      <c r="AQ106" s="1360">
        <v>48304.57</v>
      </c>
      <c r="AR106" s="1444" t="s">
        <v>5676</v>
      </c>
      <c r="AS106" s="1444" t="s">
        <v>5670</v>
      </c>
      <c r="AT106" s="1444" t="s">
        <v>5609</v>
      </c>
    </row>
    <row r="107" spans="1:46" ht="11.25">
      <c r="A107" s="1430">
        <v>3</v>
      </c>
      <c r="B107" s="1431">
        <v>9</v>
      </c>
      <c r="C107" s="1430" t="s">
        <v>412</v>
      </c>
      <c r="D107" s="1430"/>
      <c r="E107" s="1430"/>
      <c r="F107" s="1430"/>
      <c r="G107" s="1430"/>
      <c r="H107" s="1430"/>
      <c r="I107" s="1430"/>
      <c r="J107" s="1430"/>
      <c r="K107" s="1414" t="s">
        <v>403</v>
      </c>
      <c r="L107" s="1430"/>
      <c r="M107" s="1433">
        <v>35451.9</v>
      </c>
      <c r="N107" s="807">
        <v>35451.9</v>
      </c>
      <c r="O107" s="1508"/>
      <c r="P107" s="1433"/>
      <c r="Q107" s="1433"/>
      <c r="R107" s="793">
        <f t="shared" si="18"/>
        <v>6204082.5</v>
      </c>
      <c r="S107" s="793">
        <v>175</v>
      </c>
      <c r="T107" s="1430" t="s">
        <v>302</v>
      </c>
      <c r="U107" s="1430"/>
      <c r="V107" s="793">
        <f>+R107+2535.81+7008.47+19936.15+34947.04+69306.03+52263.88+133523.1+32640.07+21346.64+54813.52+21417.36+45963.74+21525.98+345193.25+58323.21+34750.01+123895.97+6779.87</f>
        <v>7290252.5999999996</v>
      </c>
      <c r="W107" s="793"/>
      <c r="X107" s="793"/>
      <c r="Y107" s="793"/>
      <c r="Z107" s="1405" t="s">
        <v>303</v>
      </c>
      <c r="AB107" s="1413"/>
      <c r="AC107" s="1413"/>
      <c r="AE107" s="808">
        <v>35451.9</v>
      </c>
      <c r="AF107" s="1505">
        <f t="shared" si="17"/>
        <v>8.2008106324776689E-2</v>
      </c>
      <c r="AG107" s="1414">
        <f t="shared" si="16"/>
        <v>6779.870935647401</v>
      </c>
      <c r="AJ107" s="1422"/>
      <c r="AK107" s="1439" t="s">
        <v>6849</v>
      </c>
      <c r="AL107" s="1440" t="s">
        <v>5674</v>
      </c>
      <c r="AM107" s="1509" t="s">
        <v>5679</v>
      </c>
      <c r="AN107" s="1444" t="s">
        <v>5668</v>
      </c>
      <c r="AO107" s="1444" t="s">
        <v>5668</v>
      </c>
      <c r="AP107" s="1442" t="s">
        <v>5593</v>
      </c>
      <c r="AQ107" s="1360">
        <v>35451.9</v>
      </c>
      <c r="AR107" s="1444" t="s">
        <v>5676</v>
      </c>
      <c r="AS107" s="1444" t="s">
        <v>5670</v>
      </c>
      <c r="AT107" s="1444" t="s">
        <v>5609</v>
      </c>
    </row>
    <row r="108" spans="1:46" ht="11.25">
      <c r="A108" s="1430">
        <v>4</v>
      </c>
      <c r="B108" s="1431" t="s">
        <v>413</v>
      </c>
      <c r="C108" s="1430" t="s">
        <v>414</v>
      </c>
      <c r="D108" s="1430"/>
      <c r="E108" s="1430"/>
      <c r="F108" s="1430"/>
      <c r="G108" s="1430"/>
      <c r="H108" s="1430"/>
      <c r="I108" s="1430"/>
      <c r="J108" s="1430"/>
      <c r="K108" s="1414" t="s">
        <v>403</v>
      </c>
      <c r="L108" s="1433"/>
      <c r="M108" s="1433">
        <v>490.98</v>
      </c>
      <c r="N108" s="793">
        <v>490.98</v>
      </c>
      <c r="O108" s="1415"/>
      <c r="P108" s="1433">
        <v>368235</v>
      </c>
      <c r="Q108" s="1433">
        <v>490.98</v>
      </c>
      <c r="R108" s="1433">
        <f>+P108</f>
        <v>368235</v>
      </c>
      <c r="S108" s="1435">
        <f>+P108/Q108</f>
        <v>750</v>
      </c>
      <c r="T108" s="1436" t="s">
        <v>291</v>
      </c>
      <c r="U108" s="1437">
        <v>38581</v>
      </c>
      <c r="V108" s="793">
        <f>+R108+35.13+97.06+276.1+483.99+959.83+723.81+1849.18+452.04+295.63+759.12+296.61+636.56+298.12+4780.65+807.74+481.26+1715.86+93.9</f>
        <v>383277.58999999997</v>
      </c>
      <c r="W108" s="793"/>
      <c r="X108" s="793"/>
      <c r="Y108" s="793"/>
      <c r="Z108" s="1405" t="s">
        <v>292</v>
      </c>
      <c r="AA108" s="1405" t="s">
        <v>415</v>
      </c>
      <c r="AB108" s="1413"/>
      <c r="AC108" s="1413"/>
      <c r="AE108" s="805">
        <v>490.98</v>
      </c>
      <c r="AF108" s="1505">
        <f t="shared" si="17"/>
        <v>1.1357456171132959E-3</v>
      </c>
      <c r="AG108" s="1414">
        <f t="shared" si="16"/>
        <v>93.895701837818578</v>
      </c>
      <c r="AJ108" s="1422"/>
      <c r="AK108" s="1439" t="s">
        <v>6850</v>
      </c>
      <c r="AL108" s="1440" t="s">
        <v>5645</v>
      </c>
      <c r="AM108" s="1509" t="s">
        <v>5680</v>
      </c>
      <c r="AN108" s="1444" t="s">
        <v>5668</v>
      </c>
      <c r="AO108" s="1444" t="s">
        <v>5668</v>
      </c>
      <c r="AP108" s="1442" t="s">
        <v>5593</v>
      </c>
      <c r="AQ108" s="1360">
        <v>490.98</v>
      </c>
      <c r="AR108" s="1444" t="s">
        <v>5681</v>
      </c>
      <c r="AS108" s="1444" t="s">
        <v>5670</v>
      </c>
      <c r="AT108" s="1444" t="s">
        <v>5609</v>
      </c>
    </row>
    <row r="109" spans="1:46" ht="11.25" hidden="1">
      <c r="A109" s="1430">
        <v>6</v>
      </c>
      <c r="B109" s="1431">
        <v>1</v>
      </c>
      <c r="C109" s="1430" t="s">
        <v>416</v>
      </c>
      <c r="D109" s="1430"/>
      <c r="E109" s="1430"/>
      <c r="F109" s="1430"/>
      <c r="G109" s="1430"/>
      <c r="H109" s="1430"/>
      <c r="I109" s="1430"/>
      <c r="J109" s="1430"/>
      <c r="K109" s="1414" t="s">
        <v>403</v>
      </c>
      <c r="L109" s="1433">
        <v>1302.51</v>
      </c>
      <c r="M109" s="1433"/>
      <c r="N109" s="793">
        <f>10000-10000</f>
        <v>0</v>
      </c>
      <c r="O109" s="1415"/>
      <c r="P109" s="1433"/>
      <c r="Q109" s="1433"/>
      <c r="R109" s="1435">
        <f>+S109*N109</f>
        <v>0</v>
      </c>
      <c r="S109" s="793">
        <v>355.5</v>
      </c>
      <c r="T109" s="1430" t="s">
        <v>302</v>
      </c>
      <c r="U109" s="1430"/>
      <c r="V109" s="793"/>
      <c r="W109" s="793"/>
      <c r="X109" s="793"/>
      <c r="Y109" s="793">
        <f>2590923.8-2590923.8</f>
        <v>0</v>
      </c>
      <c r="Z109" s="1405" t="s">
        <v>303</v>
      </c>
      <c r="AB109" s="1413"/>
      <c r="AC109" s="1506" t="e">
        <f>($S$132/$N$132)*N109</f>
        <v>#DIV/0!</v>
      </c>
      <c r="AE109" s="805">
        <v>1302.51</v>
      </c>
      <c r="AF109" s="1505">
        <f t="shared" si="17"/>
        <v>0</v>
      </c>
      <c r="AG109" s="1414">
        <f t="shared" si="16"/>
        <v>0</v>
      </c>
      <c r="AJ109" s="1422"/>
      <c r="AK109" s="1439"/>
      <c r="AL109" s="1440"/>
      <c r="AM109" s="1509"/>
      <c r="AN109" s="1444"/>
      <c r="AO109" s="1444"/>
      <c r="AP109" s="1442"/>
      <c r="AQ109" s="1360"/>
      <c r="AR109" s="1444"/>
      <c r="AS109" s="1444"/>
      <c r="AT109" s="1444"/>
    </row>
    <row r="110" spans="1:46" ht="11.25">
      <c r="A110" s="1430">
        <v>6</v>
      </c>
      <c r="B110" s="1431" t="s">
        <v>417</v>
      </c>
      <c r="C110" s="1430" t="s">
        <v>418</v>
      </c>
      <c r="D110" s="1430"/>
      <c r="E110" s="1430"/>
      <c r="F110" s="1430"/>
      <c r="G110" s="1430"/>
      <c r="H110" s="1430"/>
      <c r="I110" s="1430"/>
      <c r="J110" s="1430"/>
      <c r="K110" s="1414" t="s">
        <v>403</v>
      </c>
      <c r="L110" s="1433">
        <v>4974.37</v>
      </c>
      <c r="M110" s="1433"/>
      <c r="N110" s="793">
        <v>4974.37</v>
      </c>
      <c r="O110" s="1415"/>
      <c r="P110" s="1433">
        <v>1260952.5900000001</v>
      </c>
      <c r="Q110" s="1433">
        <v>4934.37</v>
      </c>
      <c r="R110" s="1433">
        <f>+P110/Q110*L110</f>
        <v>1271174.381961284</v>
      </c>
      <c r="S110" s="1435">
        <f t="shared" ref="S110:S120" si="19">+P110/Q110</f>
        <v>255.54479903209531</v>
      </c>
      <c r="T110" s="1436" t="s">
        <v>335</v>
      </c>
      <c r="U110" s="1437">
        <v>38406</v>
      </c>
      <c r="V110" s="793"/>
      <c r="W110" s="793"/>
      <c r="X110" s="793"/>
      <c r="Y110" s="793">
        <f>+R110+88422.22+588.59+73311.97+1797.21+983.38+2797.31+4903.53+9724.55+7333.31+18735.06+4579.83+2995.22+7691.06+3005.14+6449.32+3020.38+48435.17+8183.53+4875.89+17384.24+951.31</f>
        <v>1587342.6019612839</v>
      </c>
      <c r="Z110" s="1405" t="s">
        <v>292</v>
      </c>
      <c r="AA110" s="1405" t="s">
        <v>406</v>
      </c>
      <c r="AB110" s="1413"/>
      <c r="AC110" s="1506" t="e">
        <f>($S$132/$N$132)*N110</f>
        <v>#DIV/0!</v>
      </c>
      <c r="AE110" s="805">
        <v>4974.37</v>
      </c>
      <c r="AF110" s="1505">
        <f t="shared" si="17"/>
        <v>1.1506820899832713E-2</v>
      </c>
      <c r="AG110" s="1414">
        <f t="shared" si="16"/>
        <v>951.3054754796317</v>
      </c>
      <c r="AJ110" s="1422"/>
      <c r="AK110" s="1439" t="s">
        <v>6851</v>
      </c>
      <c r="AL110" s="1440" t="s">
        <v>5682</v>
      </c>
      <c r="AM110" s="1509" t="s">
        <v>5683</v>
      </c>
      <c r="AN110" s="1444" t="s">
        <v>5668</v>
      </c>
      <c r="AO110" s="1444" t="s">
        <v>5668</v>
      </c>
      <c r="AP110" s="1442" t="s">
        <v>5621</v>
      </c>
      <c r="AQ110" s="1360">
        <v>4974.37</v>
      </c>
      <c r="AR110" s="1444" t="s">
        <v>5684</v>
      </c>
      <c r="AS110" s="1444" t="s">
        <v>5670</v>
      </c>
      <c r="AT110" s="1444" t="s">
        <v>5609</v>
      </c>
    </row>
    <row r="111" spans="1:46" ht="11.25">
      <c r="A111" s="1430">
        <v>6</v>
      </c>
      <c r="B111" s="1431">
        <v>3</v>
      </c>
      <c r="C111" s="1430" t="s">
        <v>418</v>
      </c>
      <c r="D111" s="1430"/>
      <c r="E111" s="1430"/>
      <c r="F111" s="1430"/>
      <c r="G111" s="1430"/>
      <c r="H111" s="1430"/>
      <c r="I111" s="1430"/>
      <c r="J111" s="1430"/>
      <c r="K111" s="1414" t="s">
        <v>403</v>
      </c>
      <c r="L111" s="1433">
        <v>17504.259999999998</v>
      </c>
      <c r="M111" s="1433"/>
      <c r="N111" s="793">
        <v>17504.259999999998</v>
      </c>
      <c r="O111" s="1415"/>
      <c r="P111" s="1433">
        <v>4093329.19</v>
      </c>
      <c r="Q111" s="1433">
        <f>+L111</f>
        <v>17504.259999999998</v>
      </c>
      <c r="R111" s="1433">
        <f>+P111</f>
        <v>4093329.19</v>
      </c>
      <c r="S111" s="1435">
        <f t="shared" si="19"/>
        <v>233.84759995566796</v>
      </c>
      <c r="T111" s="1436" t="s">
        <v>335</v>
      </c>
      <c r="U111" s="1437">
        <v>38406</v>
      </c>
      <c r="V111" s="793"/>
      <c r="W111" s="793"/>
      <c r="X111" s="793"/>
      <c r="Y111" s="793">
        <f>+R111+313670.36+2087.99+260068+6324.2+3460.41+9843.41+17254.99+34219.63+25805.11+65926.6+16115.93+10539.83+27064+10574.75+22694.45+10628.38+170438.04+28796.9+17157.7+61173.24+3347.54</f>
        <v>5210520.6500000013</v>
      </c>
      <c r="Z111" s="1405" t="s">
        <v>292</v>
      </c>
      <c r="AA111" s="1405" t="s">
        <v>406</v>
      </c>
      <c r="AB111" s="1413"/>
      <c r="AC111" s="1506" t="e">
        <f>($S$132/$N$132)*N111</f>
        <v>#DIV/0!</v>
      </c>
      <c r="AE111" s="805">
        <v>17504.259999999998</v>
      </c>
      <c r="AF111" s="1505">
        <f t="shared" si="17"/>
        <v>4.0491235031593097E-2</v>
      </c>
      <c r="AG111" s="1414">
        <f t="shared" si="16"/>
        <v>3347.5391621892013</v>
      </c>
      <c r="AJ111" s="1422"/>
      <c r="AK111" s="1439" t="s">
        <v>6852</v>
      </c>
      <c r="AL111" s="1440" t="s">
        <v>5682</v>
      </c>
      <c r="AM111" s="1509" t="s">
        <v>5646</v>
      </c>
      <c r="AN111" s="1444" t="s">
        <v>5668</v>
      </c>
      <c r="AO111" s="1444" t="s">
        <v>5668</v>
      </c>
      <c r="AP111" s="1442" t="s">
        <v>5621</v>
      </c>
      <c r="AQ111" s="1360">
        <v>17504.259999999998</v>
      </c>
      <c r="AR111" s="1444" t="s">
        <v>5684</v>
      </c>
      <c r="AS111" s="1444" t="s">
        <v>5670</v>
      </c>
      <c r="AT111" s="1444" t="s">
        <v>5609</v>
      </c>
    </row>
    <row r="112" spans="1:46" ht="11.25">
      <c r="A112" s="1430">
        <v>6</v>
      </c>
      <c r="B112" s="1431">
        <v>4</v>
      </c>
      <c r="C112" s="1430" t="s">
        <v>419</v>
      </c>
      <c r="D112" s="1430"/>
      <c r="E112" s="1430"/>
      <c r="F112" s="1430"/>
      <c r="G112" s="1430"/>
      <c r="H112" s="1430"/>
      <c r="I112" s="1430"/>
      <c r="J112" s="1430"/>
      <c r="K112" s="1414" t="s">
        <v>403</v>
      </c>
      <c r="L112" s="793">
        <v>21370.639999999999</v>
      </c>
      <c r="M112" s="1433"/>
      <c r="N112" s="793">
        <v>21370.639999999999</v>
      </c>
      <c r="O112" s="1415"/>
      <c r="P112" s="1433">
        <v>4764109.5</v>
      </c>
      <c r="Q112" s="1433">
        <v>21173.82</v>
      </c>
      <c r="R112" s="793">
        <f>+P112/Q112*N112</f>
        <v>4808394</v>
      </c>
      <c r="S112" s="1435">
        <f t="shared" si="19"/>
        <v>225</v>
      </c>
      <c r="T112" s="1436" t="s">
        <v>291</v>
      </c>
      <c r="U112" s="1437">
        <v>38581</v>
      </c>
      <c r="V112" s="793"/>
      <c r="W112" s="793"/>
      <c r="X112" s="793"/>
      <c r="Y112" s="793">
        <f>+R112+379427.62+2525.71+314588.16+7721.1+4224.75+12017.65+21066.31+41778.13+31505.02+80488.6+19675.65+12867.89+33041.95+12910.53+27707.25+12976.01+208084.78+35157.62+20947.53+74685.31+4086.95</f>
        <v>6165878.5199999996</v>
      </c>
      <c r="Z112" s="1405" t="s">
        <v>292</v>
      </c>
      <c r="AA112" s="1405" t="s">
        <v>420</v>
      </c>
      <c r="AB112" s="1413" t="s">
        <v>421</v>
      </c>
      <c r="AC112" s="1506" t="e">
        <f>($S$132/$N$132)*N112</f>
        <v>#DIV/0!</v>
      </c>
      <c r="AE112" s="805">
        <v>21370.639999999999</v>
      </c>
      <c r="AF112" s="1505">
        <f t="shared" si="17"/>
        <v>4.9435029359456768E-2</v>
      </c>
      <c r="AG112" s="1414">
        <f t="shared" si="16"/>
        <v>4086.951080539654</v>
      </c>
      <c r="AJ112" s="1422"/>
      <c r="AK112" s="1439" t="s">
        <v>6853</v>
      </c>
      <c r="AL112" s="1440" t="s">
        <v>5682</v>
      </c>
      <c r="AM112" s="1502" t="s">
        <v>5685</v>
      </c>
      <c r="AN112" s="1444" t="s">
        <v>5668</v>
      </c>
      <c r="AO112" s="1444" t="s">
        <v>5668</v>
      </c>
      <c r="AP112" s="1442" t="s">
        <v>5686</v>
      </c>
      <c r="AQ112" s="1360">
        <v>21370.639999999999</v>
      </c>
      <c r="AR112" s="1444" t="s">
        <v>5684</v>
      </c>
      <c r="AS112" s="1444" t="s">
        <v>5670</v>
      </c>
      <c r="AT112" s="1444" t="s">
        <v>5609</v>
      </c>
    </row>
    <row r="113" spans="1:46" ht="11.25">
      <c r="A113" s="1430">
        <v>6</v>
      </c>
      <c r="B113" s="1431" t="s">
        <v>417</v>
      </c>
      <c r="C113" s="1430" t="s">
        <v>422</v>
      </c>
      <c r="D113" s="1430"/>
      <c r="E113" s="1430"/>
      <c r="F113" s="1430"/>
      <c r="G113" s="1430"/>
      <c r="H113" s="1430"/>
      <c r="I113" s="1430"/>
      <c r="J113" s="1430"/>
      <c r="K113" s="1414" t="s">
        <v>403</v>
      </c>
      <c r="M113" s="1433">
        <v>2549.79</v>
      </c>
      <c r="N113" s="793">
        <v>2549.79</v>
      </c>
      <c r="O113" s="1415"/>
      <c r="P113" s="1433">
        <v>637447.5</v>
      </c>
      <c r="Q113" s="1433">
        <v>2549.79</v>
      </c>
      <c r="R113" s="1433">
        <f>+P113</f>
        <v>637447.5</v>
      </c>
      <c r="S113" s="1435">
        <f t="shared" si="19"/>
        <v>250</v>
      </c>
      <c r="T113" s="1436" t="s">
        <v>291</v>
      </c>
      <c r="U113" s="1437">
        <v>38581</v>
      </c>
      <c r="V113" s="793">
        <f>+R113+182.45+504.07+1433.86+2513.48+4984.66+3758.95+9603.32+2347.56+1535.3+3942.33+1540.39+3305.83+1548.2+24827.17+4194.76+2499.31+8910.91+487.63</f>
        <v>715567.67999999993</v>
      </c>
      <c r="W113" s="793"/>
      <c r="X113" s="793"/>
      <c r="Y113" s="793"/>
      <c r="Z113" s="1405" t="s">
        <v>292</v>
      </c>
      <c r="AA113" s="1405" t="s">
        <v>423</v>
      </c>
      <c r="AB113" s="1413"/>
      <c r="AC113" s="1413"/>
      <c r="AE113" s="805">
        <v>2549.79</v>
      </c>
      <c r="AF113" s="1505">
        <f t="shared" si="17"/>
        <v>5.8982296978681631E-3</v>
      </c>
      <c r="AG113" s="1414">
        <f t="shared" si="16"/>
        <v>487.62540549320022</v>
      </c>
      <c r="AJ113" s="1422"/>
      <c r="AK113" s="1439" t="s">
        <v>6854</v>
      </c>
      <c r="AL113" s="1440" t="s">
        <v>5682</v>
      </c>
      <c r="AM113" s="1502" t="s">
        <v>5687</v>
      </c>
      <c r="AN113" s="1444" t="s">
        <v>5668</v>
      </c>
      <c r="AO113" s="1444" t="s">
        <v>5668</v>
      </c>
      <c r="AP113" s="1442" t="s">
        <v>5593</v>
      </c>
      <c r="AQ113" s="1360">
        <v>2549.79</v>
      </c>
      <c r="AR113" s="1444" t="s">
        <v>5684</v>
      </c>
      <c r="AS113" s="1444" t="s">
        <v>5670</v>
      </c>
      <c r="AT113" s="1444" t="s">
        <v>5609</v>
      </c>
    </row>
    <row r="114" spans="1:46" ht="11.25">
      <c r="A114" s="1430">
        <v>7</v>
      </c>
      <c r="B114" s="1431">
        <v>5</v>
      </c>
      <c r="C114" s="1430" t="s">
        <v>385</v>
      </c>
      <c r="D114" s="1430"/>
      <c r="E114" s="1430"/>
      <c r="F114" s="1430"/>
      <c r="G114" s="1430"/>
      <c r="H114" s="1430"/>
      <c r="I114" s="1430"/>
      <c r="J114" s="1430"/>
      <c r="K114" s="1414" t="s">
        <v>403</v>
      </c>
      <c r="L114" s="1433">
        <v>7840</v>
      </c>
      <c r="M114" s="794"/>
      <c r="N114" s="793">
        <f t="shared" ref="N114:N120" si="20">+L114</f>
        <v>7840</v>
      </c>
      <c r="O114" s="1415"/>
      <c r="P114" s="1433">
        <v>1832208</v>
      </c>
      <c r="Q114" s="1433">
        <f t="shared" ref="Q114:Q120" si="21">+L114</f>
        <v>7840</v>
      </c>
      <c r="R114" s="1433">
        <f t="shared" ref="R114:R120" si="22">+P114</f>
        <v>1832208</v>
      </c>
      <c r="S114" s="1435">
        <f t="shared" si="19"/>
        <v>233.7</v>
      </c>
      <c r="T114" s="1436" t="s">
        <v>335</v>
      </c>
      <c r="U114" s="1437">
        <v>38406</v>
      </c>
      <c r="V114" s="793"/>
      <c r="W114" s="793"/>
      <c r="X114" s="793"/>
      <c r="Y114" s="793">
        <f>+R114+140490.12+935.19+116482.11+2832.55+1549.89+4408.77+7728.35+15326.66+11557.89+29527.93+7218.18+4720.7+12121.72+4736.34+10164.64+4760.36+76337.66+12897.88+7684.78+27398.94+1499.33</f>
        <v>2332587.9900000007</v>
      </c>
      <c r="Z114" s="1405" t="s">
        <v>292</v>
      </c>
      <c r="AA114" s="1405" t="s">
        <v>406</v>
      </c>
      <c r="AB114" s="1413"/>
      <c r="AC114" s="1506" t="e">
        <f t="shared" ref="AC114:AC120" si="23">($S$132/$N$132)*N114</f>
        <v>#DIV/0!</v>
      </c>
      <c r="AE114" s="805">
        <v>7840</v>
      </c>
      <c r="AF114" s="1505">
        <f t="shared" si="17"/>
        <v>1.8135658556699335E-2</v>
      </c>
      <c r="AG114" s="1414">
        <f t="shared" si="16"/>
        <v>1499.3325642765442</v>
      </c>
      <c r="AJ114" s="1422"/>
      <c r="AK114" s="1439" t="s">
        <v>6855</v>
      </c>
      <c r="AL114" s="1440" t="s">
        <v>5597</v>
      </c>
      <c r="AM114" s="1502" t="s">
        <v>5675</v>
      </c>
      <c r="AN114" s="1444" t="s">
        <v>5668</v>
      </c>
      <c r="AO114" s="1444" t="s">
        <v>5668</v>
      </c>
      <c r="AP114" s="1442" t="s">
        <v>5621</v>
      </c>
      <c r="AQ114" s="1360">
        <v>7840</v>
      </c>
      <c r="AR114" s="1444" t="s">
        <v>5688</v>
      </c>
      <c r="AS114" s="1444" t="s">
        <v>5670</v>
      </c>
      <c r="AT114" s="1444" t="s">
        <v>5689</v>
      </c>
    </row>
    <row r="115" spans="1:46" ht="11.25">
      <c r="A115" s="1430">
        <v>7</v>
      </c>
      <c r="B115" s="1431">
        <v>6</v>
      </c>
      <c r="C115" s="1430" t="s">
        <v>385</v>
      </c>
      <c r="D115" s="1430"/>
      <c r="E115" s="1430"/>
      <c r="F115" s="1430"/>
      <c r="G115" s="1430"/>
      <c r="H115" s="1430"/>
      <c r="I115" s="1430"/>
      <c r="J115" s="1430"/>
      <c r="K115" s="1414" t="s">
        <v>403</v>
      </c>
      <c r="L115" s="1433">
        <v>8506.4</v>
      </c>
      <c r="M115" s="794"/>
      <c r="N115" s="793">
        <f t="shared" si="20"/>
        <v>8506.4</v>
      </c>
      <c r="O115" s="1415"/>
      <c r="P115" s="1433">
        <v>2027704.59</v>
      </c>
      <c r="Q115" s="1433">
        <f t="shared" si="21"/>
        <v>8506.4</v>
      </c>
      <c r="R115" s="1433">
        <f t="shared" si="22"/>
        <v>2027704.59</v>
      </c>
      <c r="S115" s="1435">
        <f t="shared" si="19"/>
        <v>238.37399957678926</v>
      </c>
      <c r="T115" s="1436" t="s">
        <v>335</v>
      </c>
      <c r="U115" s="1437">
        <v>38406</v>
      </c>
      <c r="V115" s="793"/>
      <c r="W115" s="793"/>
      <c r="X115" s="793"/>
      <c r="Y115" s="793">
        <f>+R115+152431.78+1014.68+126383.09+3073.32+1681.63+4783.52+8385.26+16629.44+12540.3+32037.8+7831.72+5121.95+13152.07+5138.93+11028.63+5164.99+82826.36+13994.18+8337.99+29727.85+1626.78</f>
        <v>2570616.86</v>
      </c>
      <c r="Z115" s="1405" t="s">
        <v>292</v>
      </c>
      <c r="AA115" s="1405" t="s">
        <v>406</v>
      </c>
      <c r="AB115" s="1413"/>
      <c r="AC115" s="1506" t="e">
        <f t="shared" si="23"/>
        <v>#DIV/0!</v>
      </c>
      <c r="AE115" s="805">
        <v>8506.4</v>
      </c>
      <c r="AF115" s="1505">
        <f t="shared" si="17"/>
        <v>1.9677189534018778E-2</v>
      </c>
      <c r="AG115" s="1414">
        <f t="shared" si="16"/>
        <v>1626.7758322400505</v>
      </c>
      <c r="AJ115" s="1422"/>
      <c r="AK115" s="1439" t="s">
        <v>6856</v>
      </c>
      <c r="AL115" s="1440" t="s">
        <v>5597</v>
      </c>
      <c r="AM115" s="1502" t="s">
        <v>5677</v>
      </c>
      <c r="AN115" s="1444" t="s">
        <v>5668</v>
      </c>
      <c r="AO115" s="1444" t="s">
        <v>5668</v>
      </c>
      <c r="AP115" s="1442" t="s">
        <v>5621</v>
      </c>
      <c r="AQ115" s="1360">
        <v>8506.4</v>
      </c>
      <c r="AR115" s="1444" t="s">
        <v>5688</v>
      </c>
      <c r="AS115" s="1444" t="s">
        <v>5670</v>
      </c>
      <c r="AT115" s="1444" t="s">
        <v>5689</v>
      </c>
    </row>
    <row r="116" spans="1:46" ht="11.25">
      <c r="A116" s="1430">
        <v>7</v>
      </c>
      <c r="B116" s="1431">
        <v>7</v>
      </c>
      <c r="C116" s="1430" t="s">
        <v>385</v>
      </c>
      <c r="D116" s="1430"/>
      <c r="E116" s="1430"/>
      <c r="F116" s="1430"/>
      <c r="G116" s="1430"/>
      <c r="H116" s="1430"/>
      <c r="I116" s="1430"/>
      <c r="J116" s="1430"/>
      <c r="K116" s="1414" t="s">
        <v>403</v>
      </c>
      <c r="L116" s="1433">
        <v>7840</v>
      </c>
      <c r="M116" s="794"/>
      <c r="N116" s="793">
        <f t="shared" si="20"/>
        <v>7840</v>
      </c>
      <c r="O116" s="1415"/>
      <c r="P116" s="1433">
        <v>1887174.24</v>
      </c>
      <c r="Q116" s="1433">
        <f t="shared" si="21"/>
        <v>7840</v>
      </c>
      <c r="R116" s="1433">
        <f t="shared" si="22"/>
        <v>1887174.24</v>
      </c>
      <c r="S116" s="1435">
        <f t="shared" si="19"/>
        <v>240.71100000000001</v>
      </c>
      <c r="T116" s="1436" t="s">
        <v>335</v>
      </c>
      <c r="U116" s="1437">
        <v>38406</v>
      </c>
      <c r="V116" s="793"/>
      <c r="W116" s="793"/>
      <c r="X116" s="793"/>
      <c r="Y116" s="793">
        <f>+R116+140490.12+935.19+116482.11+2832.55+1549.89+4408.77+7728.35+15326.66+11557.88+29527.93+7218.18+4720.7+12121.72+4736.34+10164.64+4760.36+76337.66+12897.87+7684.78+27398.94+1499.33</f>
        <v>2387554.2100000004</v>
      </c>
      <c r="Z116" s="1405" t="s">
        <v>292</v>
      </c>
      <c r="AA116" s="1405" t="s">
        <v>406</v>
      </c>
      <c r="AB116" s="1413"/>
      <c r="AC116" s="1506" t="e">
        <f t="shared" si="23"/>
        <v>#DIV/0!</v>
      </c>
      <c r="AE116" s="805">
        <v>7840</v>
      </c>
      <c r="AF116" s="1505">
        <f t="shared" si="17"/>
        <v>1.8135658556699335E-2</v>
      </c>
      <c r="AG116" s="1414">
        <f t="shared" si="16"/>
        <v>1499.3325642765442</v>
      </c>
      <c r="AJ116" s="1422"/>
      <c r="AK116" s="1439" t="s">
        <v>6857</v>
      </c>
      <c r="AL116" s="1440" t="s">
        <v>5597</v>
      </c>
      <c r="AM116" s="1502" t="s">
        <v>5672</v>
      </c>
      <c r="AN116" s="1444" t="s">
        <v>5668</v>
      </c>
      <c r="AO116" s="1444" t="s">
        <v>5668</v>
      </c>
      <c r="AP116" s="1442" t="s">
        <v>5621</v>
      </c>
      <c r="AQ116" s="1360">
        <v>7840</v>
      </c>
      <c r="AR116" s="1444" t="s">
        <v>5688</v>
      </c>
      <c r="AS116" s="1444" t="s">
        <v>5670</v>
      </c>
      <c r="AT116" s="1444" t="s">
        <v>5609</v>
      </c>
    </row>
    <row r="117" spans="1:46" ht="11.25">
      <c r="A117" s="1430">
        <v>7</v>
      </c>
      <c r="B117" s="1431">
        <v>8</v>
      </c>
      <c r="C117" s="1430" t="s">
        <v>385</v>
      </c>
      <c r="D117" s="1430"/>
      <c r="E117" s="1430"/>
      <c r="F117" s="1430"/>
      <c r="G117" s="1430"/>
      <c r="H117" s="1430"/>
      <c r="I117" s="1430"/>
      <c r="J117" s="1430"/>
      <c r="K117" s="1414" t="s">
        <v>403</v>
      </c>
      <c r="L117" s="1433">
        <v>7758.4</v>
      </c>
      <c r="M117" s="794"/>
      <c r="N117" s="793">
        <f t="shared" si="20"/>
        <v>7758.4</v>
      </c>
      <c r="O117" s="1415"/>
      <c r="P117" s="1433">
        <v>1906848.69</v>
      </c>
      <c r="Q117" s="1433">
        <f t="shared" si="21"/>
        <v>7758.4</v>
      </c>
      <c r="R117" s="1433">
        <f t="shared" si="22"/>
        <v>1906848.69</v>
      </c>
      <c r="S117" s="1435">
        <f t="shared" si="19"/>
        <v>245.77859996906579</v>
      </c>
      <c r="T117" s="1436" t="s">
        <v>335</v>
      </c>
      <c r="U117" s="1437">
        <v>38406</v>
      </c>
      <c r="V117" s="793"/>
      <c r="W117" s="793"/>
      <c r="X117" s="793"/>
      <c r="Y117" s="793">
        <f>+R117+139027.88+925.46+115269.74+2803.07+1533.75+4362.89+7647.92+15167.14+11437.58+29220.6+7143.05+4671.56+11995.55+4687.04+10058.84+4710.81+75543.13+12763.62+7604.8+27113.77+1483.73</f>
        <v>2402020.6199999996</v>
      </c>
      <c r="Z117" s="1405" t="s">
        <v>292</v>
      </c>
      <c r="AA117" s="1405" t="s">
        <v>406</v>
      </c>
      <c r="AB117" s="1413"/>
      <c r="AC117" s="1506" t="e">
        <f t="shared" si="23"/>
        <v>#DIV/0!</v>
      </c>
      <c r="AE117" s="805">
        <v>7758.4</v>
      </c>
      <c r="AF117" s="1505">
        <f t="shared" si="17"/>
        <v>1.7946899661517361E-2</v>
      </c>
      <c r="AG117" s="1414">
        <f t="shared" si="16"/>
        <v>1483.7272661585637</v>
      </c>
      <c r="AJ117" s="1422"/>
      <c r="AK117" s="1439" t="s">
        <v>6858</v>
      </c>
      <c r="AL117" s="1440" t="s">
        <v>5597</v>
      </c>
      <c r="AM117" s="1502" t="s">
        <v>5678</v>
      </c>
      <c r="AN117" s="1444" t="s">
        <v>5668</v>
      </c>
      <c r="AO117" s="1444" t="s">
        <v>5668</v>
      </c>
      <c r="AP117" s="1442" t="s">
        <v>5621</v>
      </c>
      <c r="AQ117" s="1360">
        <v>7758.4</v>
      </c>
      <c r="AR117" s="1444" t="s">
        <v>5688</v>
      </c>
      <c r="AS117" s="1444" t="s">
        <v>5670</v>
      </c>
      <c r="AT117" s="1444" t="s">
        <v>5609</v>
      </c>
    </row>
    <row r="118" spans="1:46" ht="11.25">
      <c r="A118" s="1430">
        <v>7</v>
      </c>
      <c r="B118" s="1431">
        <v>9</v>
      </c>
      <c r="C118" s="1430" t="s">
        <v>385</v>
      </c>
      <c r="D118" s="1430"/>
      <c r="E118" s="1430"/>
      <c r="F118" s="1430"/>
      <c r="G118" s="1430"/>
      <c r="H118" s="1430"/>
      <c r="I118" s="1430"/>
      <c r="J118" s="1430"/>
      <c r="K118" s="1414" t="s">
        <v>403</v>
      </c>
      <c r="L118" s="1433">
        <v>14238.4</v>
      </c>
      <c r="M118" s="794"/>
      <c r="N118" s="793">
        <f t="shared" si="20"/>
        <v>14238.4</v>
      </c>
      <c r="O118" s="1508"/>
      <c r="P118" s="1433">
        <v>1176276.23</v>
      </c>
      <c r="Q118" s="1433">
        <f t="shared" si="21"/>
        <v>14238.4</v>
      </c>
      <c r="R118" s="1433">
        <f t="shared" si="22"/>
        <v>1176276.23</v>
      </c>
      <c r="S118" s="1435">
        <f t="shared" si="19"/>
        <v>82.612950191032695</v>
      </c>
      <c r="T118" s="1436" t="s">
        <v>335</v>
      </c>
      <c r="U118" s="1437">
        <v>38406</v>
      </c>
      <c r="V118" s="793"/>
      <c r="W118" s="793"/>
      <c r="X118" s="793"/>
      <c r="Y118" s="793">
        <f>+R118+255147.26+1698.42+211545.77+5144.26+2814.78+8006.87+14035.64+27835.09+20990.52+53626.33+13109.1+8573.36+22014.53+8601.77+18460.23+8645.39+138638.54+23424.1+13956.5+49759.83+2722.97</f>
        <v>2085027.4900000005</v>
      </c>
      <c r="Z118" s="1405" t="s">
        <v>292</v>
      </c>
      <c r="AA118" s="1405" t="s">
        <v>406</v>
      </c>
      <c r="AB118" s="1413"/>
      <c r="AC118" s="1506" t="e">
        <f t="shared" si="23"/>
        <v>#DIV/0!</v>
      </c>
      <c r="AE118" s="805">
        <v>14238.4</v>
      </c>
      <c r="AF118" s="1505">
        <f t="shared" si="17"/>
        <v>3.2936576631850484E-2</v>
      </c>
      <c r="AG118" s="1414">
        <f t="shared" si="16"/>
        <v>2722.9715284687686</v>
      </c>
      <c r="AJ118" s="1422"/>
      <c r="AK118" s="1439" t="s">
        <v>6859</v>
      </c>
      <c r="AL118" s="1440" t="s">
        <v>5597</v>
      </c>
      <c r="AM118" s="1502" t="s">
        <v>5679</v>
      </c>
      <c r="AN118" s="1444" t="s">
        <v>5668</v>
      </c>
      <c r="AO118" s="1444" t="s">
        <v>5668</v>
      </c>
      <c r="AP118" s="1442" t="s">
        <v>5621</v>
      </c>
      <c r="AQ118" s="1360">
        <v>14238.4</v>
      </c>
      <c r="AR118" s="1444" t="s">
        <v>5688</v>
      </c>
      <c r="AS118" s="1444" t="s">
        <v>5670</v>
      </c>
      <c r="AT118" s="1444" t="s">
        <v>5689</v>
      </c>
    </row>
    <row r="119" spans="1:46" ht="11.25">
      <c r="A119" s="1430">
        <v>8</v>
      </c>
      <c r="B119" s="1431">
        <v>1</v>
      </c>
      <c r="C119" s="1430" t="s">
        <v>385</v>
      </c>
      <c r="D119" s="1430"/>
      <c r="E119" s="1430"/>
      <c r="F119" s="1430"/>
      <c r="G119" s="1430"/>
      <c r="H119" s="1430"/>
      <c r="I119" s="1430"/>
      <c r="J119" s="1430"/>
      <c r="K119" s="1414" t="s">
        <v>403</v>
      </c>
      <c r="L119" s="1433">
        <v>12000.714</v>
      </c>
      <c r="M119" s="1433"/>
      <c r="N119" s="793">
        <f t="shared" si="20"/>
        <v>12000.714</v>
      </c>
      <c r="O119" s="1415"/>
      <c r="P119" s="1433">
        <v>2952175.64</v>
      </c>
      <c r="Q119" s="1433">
        <f t="shared" si="21"/>
        <v>12000.714</v>
      </c>
      <c r="R119" s="1433">
        <f t="shared" si="22"/>
        <v>2952175.64</v>
      </c>
      <c r="S119" s="1435">
        <f t="shared" si="19"/>
        <v>245.99999966668651</v>
      </c>
      <c r="T119" s="1436" t="s">
        <v>335</v>
      </c>
      <c r="U119" s="1437">
        <v>38406</v>
      </c>
      <c r="V119" s="793"/>
      <c r="W119" s="793"/>
      <c r="X119" s="793"/>
      <c r="Y119" s="793">
        <f>+R119+215048.69+1431.5+178299.55+4335.8+2372.42+6748.52+11829.82+23460.57+17691.69+45198.5+11048.89+7225.98+18554.76+7249.93+15559.04+7286.7+116850.31+19742.81+11763.12+41939.65+2295.03</f>
        <v>3718108.9199999995</v>
      </c>
      <c r="Z119" s="1405" t="s">
        <v>292</v>
      </c>
      <c r="AA119" s="1405" t="s">
        <v>406</v>
      </c>
      <c r="AB119" s="1413"/>
      <c r="AC119" s="1506" t="e">
        <f t="shared" si="23"/>
        <v>#DIV/0!</v>
      </c>
      <c r="AE119" s="805">
        <v>12000.714</v>
      </c>
      <c r="AF119" s="1505">
        <f t="shared" si="17"/>
        <v>2.7760312696505293E-2</v>
      </c>
      <c r="AG119" s="1414">
        <f t="shared" si="16"/>
        <v>2295.0333284144672</v>
      </c>
      <c r="AJ119" s="1422"/>
      <c r="AK119" s="1439" t="s">
        <v>6860</v>
      </c>
      <c r="AL119" s="1440" t="s">
        <v>5690</v>
      </c>
      <c r="AM119" s="1502" t="s">
        <v>5691</v>
      </c>
      <c r="AN119" s="1444" t="s">
        <v>5668</v>
      </c>
      <c r="AO119" s="1444" t="s">
        <v>5668</v>
      </c>
      <c r="AP119" s="1442" t="s">
        <v>5621</v>
      </c>
      <c r="AQ119" s="1360">
        <v>12000.71</v>
      </c>
      <c r="AR119" s="1444" t="s">
        <v>5692</v>
      </c>
      <c r="AS119" s="1444" t="s">
        <v>5670</v>
      </c>
      <c r="AT119" s="1444" t="s">
        <v>5689</v>
      </c>
    </row>
    <row r="120" spans="1:46" ht="11.25">
      <c r="A120" s="1430">
        <v>8</v>
      </c>
      <c r="B120" s="1431">
        <v>2</v>
      </c>
      <c r="C120" s="1430" t="s">
        <v>385</v>
      </c>
      <c r="D120" s="1430"/>
      <c r="E120" s="1430"/>
      <c r="F120" s="1430"/>
      <c r="G120" s="1430"/>
      <c r="H120" s="1430"/>
      <c r="I120" s="1430"/>
      <c r="J120" s="1430"/>
      <c r="K120" s="1414" t="s">
        <v>403</v>
      </c>
      <c r="L120" s="1433">
        <v>12000.714</v>
      </c>
      <c r="M120" s="1433"/>
      <c r="N120" s="793">
        <f t="shared" si="20"/>
        <v>12000.714</v>
      </c>
      <c r="O120" s="1430"/>
      <c r="P120" s="1433">
        <v>2804566.86</v>
      </c>
      <c r="Q120" s="1433">
        <f t="shared" si="21"/>
        <v>12000.714</v>
      </c>
      <c r="R120" s="1433">
        <f t="shared" si="22"/>
        <v>2804566.86</v>
      </c>
      <c r="S120" s="1435">
        <f t="shared" si="19"/>
        <v>233.69999985000891</v>
      </c>
      <c r="T120" s="1436" t="s">
        <v>335</v>
      </c>
      <c r="U120" s="1437">
        <v>38406</v>
      </c>
      <c r="V120" s="793"/>
      <c r="W120" s="793"/>
      <c r="X120" s="793"/>
      <c r="Y120" s="793">
        <f>+R120+215048.69+1431.52+178299.55+4335.8+2372.42+6748.52+11829.83+23460.57+17691.68+45198.5+11048.89+7225.98+18554.76+7249.93+15559.04+7286.7+116850.31+19742.81+11763.12+41939.65+2295.03</f>
        <v>3570500.1599999997</v>
      </c>
      <c r="Z120" s="1405" t="s">
        <v>292</v>
      </c>
      <c r="AA120" s="1405" t="s">
        <v>406</v>
      </c>
      <c r="AB120" s="1413"/>
      <c r="AC120" s="1506" t="e">
        <f t="shared" si="23"/>
        <v>#DIV/0!</v>
      </c>
      <c r="AE120" s="805">
        <v>12000.714</v>
      </c>
      <c r="AF120" s="1505">
        <f t="shared" si="17"/>
        <v>2.7760312696505293E-2</v>
      </c>
      <c r="AG120" s="1414">
        <f t="shared" si="16"/>
        <v>2295.0333284144672</v>
      </c>
      <c r="AJ120" s="1422"/>
      <c r="AK120" s="1439" t="s">
        <v>6861</v>
      </c>
      <c r="AL120" s="1440" t="s">
        <v>5693</v>
      </c>
      <c r="AM120" s="1502" t="s">
        <v>5694</v>
      </c>
      <c r="AN120" s="1444" t="s">
        <v>5668</v>
      </c>
      <c r="AO120" s="1444" t="s">
        <v>5668</v>
      </c>
      <c r="AP120" s="1442" t="s">
        <v>5621</v>
      </c>
      <c r="AQ120" s="1360">
        <v>12000.71</v>
      </c>
      <c r="AR120" s="1444" t="s">
        <v>5692</v>
      </c>
      <c r="AS120" s="1444" t="s">
        <v>5670</v>
      </c>
      <c r="AT120" s="1444" t="s">
        <v>5609</v>
      </c>
    </row>
    <row r="121" spans="1:46" ht="11.25">
      <c r="A121" s="1430">
        <v>8</v>
      </c>
      <c r="B121" s="1431">
        <v>4</v>
      </c>
      <c r="C121" s="1430" t="s">
        <v>412</v>
      </c>
      <c r="D121" s="1430"/>
      <c r="E121" s="1430"/>
      <c r="F121" s="1430"/>
      <c r="G121" s="1430"/>
      <c r="H121" s="1430"/>
      <c r="I121" s="1430"/>
      <c r="J121" s="1430"/>
      <c r="K121" s="1414" t="s">
        <v>403</v>
      </c>
      <c r="L121" s="1430"/>
      <c r="M121" s="1433">
        <v>9481.5</v>
      </c>
      <c r="N121" s="793">
        <v>9481.5</v>
      </c>
      <c r="O121" s="1430"/>
      <c r="P121" s="1433"/>
      <c r="Q121" s="1433"/>
      <c r="R121" s="1435">
        <f>+S121*N121</f>
        <v>1659262.5</v>
      </c>
      <c r="S121" s="793">
        <v>175</v>
      </c>
      <c r="T121" s="1430" t="s">
        <v>302</v>
      </c>
      <c r="U121" s="1430"/>
      <c r="V121" s="793">
        <f>+R121+678.46+1874.39+5331.86+9346.48+17753.71+18535.68+13977.81+35710.34+8729.49+5709.09+14659.7+5728.01+12292.86+5757.06+92320.86+15598.36+9293.78+33135.59+1813.26</f>
        <v>1967509.2900000005</v>
      </c>
      <c r="W121" s="793"/>
      <c r="X121" s="793"/>
      <c r="Y121" s="793"/>
      <c r="Z121" s="1405" t="s">
        <v>303</v>
      </c>
      <c r="AB121" s="1413"/>
      <c r="AC121" s="1413"/>
      <c r="AE121" s="805">
        <v>9481.5</v>
      </c>
      <c r="AF121" s="1505">
        <f t="shared" si="17"/>
        <v>2.1932812067008259E-2</v>
      </c>
      <c r="AG121" s="1414">
        <f t="shared" si="16"/>
        <v>1813.2553199219458</v>
      </c>
      <c r="AJ121" s="1422"/>
      <c r="AK121" s="1439" t="s">
        <v>6862</v>
      </c>
      <c r="AL121" s="1440" t="s">
        <v>5690</v>
      </c>
      <c r="AM121" s="1502" t="s">
        <v>5685</v>
      </c>
      <c r="AN121" s="1444" t="s">
        <v>5668</v>
      </c>
      <c r="AO121" s="1444" t="s">
        <v>5668</v>
      </c>
      <c r="AP121" s="1442" t="s">
        <v>5593</v>
      </c>
      <c r="AQ121" s="1360">
        <v>9481.5</v>
      </c>
      <c r="AR121" s="1444" t="s">
        <v>5695</v>
      </c>
      <c r="AS121" s="1444" t="s">
        <v>5670</v>
      </c>
      <c r="AT121" s="1444" t="s">
        <v>5609</v>
      </c>
    </row>
    <row r="122" spans="1:46" ht="11.25">
      <c r="A122" s="1430">
        <v>8</v>
      </c>
      <c r="B122" s="1431">
        <v>5</v>
      </c>
      <c r="C122" s="1430" t="s">
        <v>412</v>
      </c>
      <c r="D122" s="1430"/>
      <c r="E122" s="1430"/>
      <c r="F122" s="1430"/>
      <c r="G122" s="1430"/>
      <c r="H122" s="1430"/>
      <c r="I122" s="1430"/>
      <c r="J122" s="1430"/>
      <c r="K122" s="1414" t="s">
        <v>403</v>
      </c>
      <c r="L122" s="1430"/>
      <c r="M122" s="1433">
        <v>9081.5</v>
      </c>
      <c r="N122" s="793">
        <v>9081.5</v>
      </c>
      <c r="O122" s="1430"/>
      <c r="P122" s="1433"/>
      <c r="Q122" s="1433"/>
      <c r="R122" s="1435">
        <f>+S122*N122</f>
        <v>1589262.5</v>
      </c>
      <c r="S122" s="793">
        <v>175</v>
      </c>
      <c r="T122" s="1430" t="s">
        <v>302</v>
      </c>
      <c r="U122" s="1430"/>
      <c r="V122" s="793">
        <f>+R122+649.84+1795.32+5106.92+8952.17+13388.12+34203.81+8361.21+5468.24+14041.25+5486.36+11774.25+5514.18+88426.08+14940.3+8901.7+31737.69+1736.76</f>
        <v>1849746.7000000002</v>
      </c>
      <c r="W122" s="793"/>
      <c r="X122" s="793"/>
      <c r="Y122" s="793"/>
      <c r="Z122" s="1405" t="s">
        <v>303</v>
      </c>
      <c r="AB122" s="1413"/>
      <c r="AC122" s="1413"/>
      <c r="AE122" s="805">
        <v>9081.5</v>
      </c>
      <c r="AF122" s="1505">
        <f t="shared" si="17"/>
        <v>2.1007523365135845E-2</v>
      </c>
      <c r="AG122" s="1414">
        <f t="shared" si="16"/>
        <v>1736.7587605200813</v>
      </c>
      <c r="AJ122" s="1422"/>
      <c r="AK122" s="1439" t="s">
        <v>6863</v>
      </c>
      <c r="AL122" s="1440" t="s">
        <v>5690</v>
      </c>
      <c r="AM122" s="1502" t="s">
        <v>5675</v>
      </c>
      <c r="AN122" s="1444" t="s">
        <v>5668</v>
      </c>
      <c r="AO122" s="1444" t="s">
        <v>5668</v>
      </c>
      <c r="AP122" s="1442" t="s">
        <v>5593</v>
      </c>
      <c r="AQ122" s="1360">
        <v>9081.5</v>
      </c>
      <c r="AR122" s="1444" t="s">
        <v>5695</v>
      </c>
      <c r="AS122" s="1444" t="s">
        <v>5670</v>
      </c>
      <c r="AT122" s="1444" t="s">
        <v>5609</v>
      </c>
    </row>
    <row r="123" spans="1:46" ht="11.25">
      <c r="A123" s="1430">
        <v>8</v>
      </c>
      <c r="B123" s="1431" t="s">
        <v>424</v>
      </c>
      <c r="C123" s="1430" t="s">
        <v>425</v>
      </c>
      <c r="D123" s="1430"/>
      <c r="E123" s="1430"/>
      <c r="F123" s="1430"/>
      <c r="G123" s="1430"/>
      <c r="H123" s="1430"/>
      <c r="I123" s="1430"/>
      <c r="J123" s="1430"/>
      <c r="K123" s="1414" t="s">
        <v>403</v>
      </c>
      <c r="L123" s="1430"/>
      <c r="M123" s="1433">
        <v>298.64999999999998</v>
      </c>
      <c r="N123" s="793">
        <f>+M123</f>
        <v>298.64999999999998</v>
      </c>
      <c r="O123" s="1415"/>
      <c r="P123" s="1433"/>
      <c r="Q123" s="1433"/>
      <c r="R123" s="1435">
        <f>+S123*N123</f>
        <v>52263.749999999993</v>
      </c>
      <c r="S123" s="793">
        <v>175</v>
      </c>
      <c r="T123" s="1430" t="s">
        <v>302</v>
      </c>
      <c r="U123" s="1430"/>
      <c r="V123" s="793">
        <f>+R123+21.37+59.04+167.94+294.4+583.84+440.28+1124.81+274.96+179.83+461.75+180.42+387.2+181.34+2907.94+491.32+292.74+1043.71+57.11</f>
        <v>61413.749999999985</v>
      </c>
      <c r="W123" s="793"/>
      <c r="X123" s="793"/>
      <c r="Y123" s="793"/>
      <c r="Z123" s="1405" t="s">
        <v>303</v>
      </c>
      <c r="AB123" s="1413"/>
      <c r="AC123" s="1413"/>
      <c r="AE123" s="805">
        <v>298.64999999999998</v>
      </c>
      <c r="AF123" s="1505">
        <f t="shared" si="17"/>
        <v>6.9084367703549181E-4</v>
      </c>
      <c r="AG123" s="1414">
        <f t="shared" si="16"/>
        <v>57.114243663417078</v>
      </c>
      <c r="AJ123" s="1422"/>
      <c r="AK123" s="1439" t="s">
        <v>6864</v>
      </c>
      <c r="AL123" s="1440" t="s">
        <v>5690</v>
      </c>
      <c r="AM123" s="1502" t="s">
        <v>5696</v>
      </c>
      <c r="AN123" s="1444" t="s">
        <v>5668</v>
      </c>
      <c r="AO123" s="1444" t="s">
        <v>5668</v>
      </c>
      <c r="AP123" s="1442" t="s">
        <v>5593</v>
      </c>
      <c r="AQ123" s="1360">
        <v>298.64999999999998</v>
      </c>
      <c r="AR123" s="1444" t="s">
        <v>5692</v>
      </c>
      <c r="AS123" s="1444" t="s">
        <v>5670</v>
      </c>
      <c r="AT123" s="1444" t="s">
        <v>5609</v>
      </c>
    </row>
    <row r="124" spans="1:46" ht="11.25">
      <c r="A124" s="1430">
        <v>8</v>
      </c>
      <c r="B124" s="1431">
        <v>6</v>
      </c>
      <c r="C124" s="1430" t="s">
        <v>385</v>
      </c>
      <c r="D124" s="1430"/>
      <c r="E124" s="1430"/>
      <c r="F124" s="1430"/>
      <c r="G124" s="1430"/>
      <c r="H124" s="1430"/>
      <c r="I124" s="1430"/>
      <c r="J124" s="1430"/>
      <c r="K124" s="1414" t="s">
        <v>403</v>
      </c>
      <c r="L124" s="1433">
        <v>52573.24</v>
      </c>
      <c r="M124" s="794"/>
      <c r="N124" s="793">
        <v>52573.24</v>
      </c>
      <c r="O124" s="1415"/>
      <c r="P124" s="1433">
        <v>11769045.51</v>
      </c>
      <c r="Q124" s="1433">
        <f>+L124</f>
        <v>52573.24</v>
      </c>
      <c r="R124" s="1433">
        <f>+P124</f>
        <v>11769045.51</v>
      </c>
      <c r="S124" s="1435">
        <f>+P124/Q124</f>
        <v>223.8600000684759</v>
      </c>
      <c r="T124" s="1436" t="s">
        <v>335</v>
      </c>
      <c r="U124" s="1430"/>
      <c r="V124" s="793"/>
      <c r="W124" s="793"/>
      <c r="X124" s="793"/>
      <c r="Y124" s="793">
        <f>+R124+942094.5+6271.18+781102.29+18994.44+10393.18+29564.24+51824.56+102777.07+77504.47+198007.52+48403.47+31655.9+81285.46+31760.77+68161.73+31921.86+511902.82+86490.13+51532.37+183731+10054.18</f>
        <v>15124478.650000002</v>
      </c>
      <c r="Z124" s="1405" t="s">
        <v>292</v>
      </c>
      <c r="AA124" s="1405" t="s">
        <v>406</v>
      </c>
      <c r="AB124" s="1413"/>
      <c r="AC124" s="1506" t="e">
        <f>($S$132/$N$132)*N124</f>
        <v>#DIV/0!</v>
      </c>
      <c r="AE124" s="805">
        <v>52573.24</v>
      </c>
      <c r="AF124" s="1505">
        <f t="shared" si="17"/>
        <v>0.12161356248206731</v>
      </c>
      <c r="AG124" s="1414">
        <f t="shared" si="16"/>
        <v>10054.179941521197</v>
      </c>
      <c r="AJ124" s="1422"/>
      <c r="AK124" s="1439" t="s">
        <v>6865</v>
      </c>
      <c r="AL124" s="1440" t="s">
        <v>5690</v>
      </c>
      <c r="AM124" s="1502" t="s">
        <v>5677</v>
      </c>
      <c r="AN124" s="1444" t="s">
        <v>5668</v>
      </c>
      <c r="AO124" s="1444" t="s">
        <v>5668</v>
      </c>
      <c r="AP124" s="1442" t="s">
        <v>5621</v>
      </c>
      <c r="AQ124" s="1360">
        <v>52573.24</v>
      </c>
      <c r="AR124" s="1444" t="s">
        <v>5692</v>
      </c>
      <c r="AS124" s="1444" t="s">
        <v>5670</v>
      </c>
      <c r="AT124" s="1444" t="s">
        <v>5609</v>
      </c>
    </row>
    <row r="125" spans="1:46" ht="11.25">
      <c r="A125" s="1430">
        <v>8</v>
      </c>
      <c r="B125" s="1431">
        <v>7</v>
      </c>
      <c r="C125" s="1430" t="s">
        <v>412</v>
      </c>
      <c r="D125" s="1430"/>
      <c r="E125" s="1430"/>
      <c r="F125" s="1430"/>
      <c r="G125" s="1430"/>
      <c r="H125" s="1430"/>
      <c r="I125" s="1430"/>
      <c r="J125" s="1430"/>
      <c r="K125" s="1414" t="s">
        <v>403</v>
      </c>
      <c r="L125" s="1430"/>
      <c r="M125" s="1433">
        <v>54113.31</v>
      </c>
      <c r="N125" s="793">
        <f>+M125</f>
        <v>54113.31</v>
      </c>
      <c r="O125" s="1508"/>
      <c r="P125" s="1433"/>
      <c r="Q125" s="1433"/>
      <c r="R125" s="1435">
        <f>+S125*N125</f>
        <v>9469829.25</v>
      </c>
      <c r="S125" s="793">
        <v>175</v>
      </c>
      <c r="T125" s="1430" t="s">
        <v>302</v>
      </c>
      <c r="U125" s="1430"/>
      <c r="V125" s="793">
        <f>+R125+3873.15+10697.64+30430.27+53342.7+105787.81+79774.89+203807.9+49821.38+32583.22+83666.62+32691.17+70158.44+32857.98+526898.39+89023.75+53041.95+189113.18+10348.71</f>
        <v>11127748.400000002</v>
      </c>
      <c r="W125" s="793"/>
      <c r="X125" s="793"/>
      <c r="Y125" s="793"/>
      <c r="Z125" s="1405" t="s">
        <v>303</v>
      </c>
      <c r="AB125" s="1413"/>
      <c r="AC125" s="1413"/>
      <c r="AE125" s="805">
        <v>54113.31</v>
      </c>
      <c r="AF125" s="1505">
        <f t="shared" si="17"/>
        <v>0.12517608590979895</v>
      </c>
      <c r="AG125" s="1414">
        <f t="shared" si="16"/>
        <v>10348.705082116272</v>
      </c>
      <c r="AJ125" s="1422"/>
      <c r="AK125" s="1439" t="s">
        <v>6866</v>
      </c>
      <c r="AL125" s="1440" t="s">
        <v>5690</v>
      </c>
      <c r="AM125" s="1502" t="s">
        <v>5672</v>
      </c>
      <c r="AN125" s="1444" t="s">
        <v>5668</v>
      </c>
      <c r="AO125" s="1444" t="s">
        <v>5668</v>
      </c>
      <c r="AP125" s="1442" t="s">
        <v>5593</v>
      </c>
      <c r="AQ125" s="1360">
        <v>54113.31</v>
      </c>
      <c r="AR125" s="1444" t="s">
        <v>5692</v>
      </c>
      <c r="AS125" s="1444" t="s">
        <v>5670</v>
      </c>
      <c r="AT125" s="1444" t="s">
        <v>5609</v>
      </c>
    </row>
    <row r="126" spans="1:46" ht="11.25">
      <c r="A126" s="1430"/>
      <c r="B126" s="1431"/>
      <c r="C126" s="1430" t="s">
        <v>426</v>
      </c>
      <c r="K126" s="1414" t="s">
        <v>403</v>
      </c>
      <c r="L126" s="1430"/>
      <c r="M126" s="1433">
        <v>13295.45</v>
      </c>
      <c r="N126" s="793">
        <f>+M126</f>
        <v>13295.45</v>
      </c>
      <c r="O126" s="1508"/>
      <c r="P126" s="1433"/>
      <c r="Q126" s="1433"/>
      <c r="R126" s="1435">
        <f>+S126*N126</f>
        <v>2326703.75</v>
      </c>
      <c r="S126" s="793">
        <v>175</v>
      </c>
      <c r="T126" s="1430" t="s">
        <v>302</v>
      </c>
      <c r="U126" s="1430"/>
      <c r="V126" s="793">
        <f>+R126+951.38+2628.37+7476.61+13106.11+25991.69+19600.41+50074.89+12240.94+8005.58+20556.6+8032.11+17237.68+8072.84+129457.08+21872.82+13032.22+46464.44+2542.64</f>
        <v>2734048.16</v>
      </c>
      <c r="W126" s="793"/>
      <c r="X126" s="793"/>
      <c r="Y126" s="793"/>
      <c r="Z126" s="1405" t="s">
        <v>303</v>
      </c>
      <c r="AB126" s="1413"/>
      <c r="AC126" s="1413"/>
      <c r="AE126" s="805">
        <v>13295.45</v>
      </c>
      <c r="AF126" s="1505">
        <f t="shared" si="17"/>
        <v>3.0755324178274004E-2</v>
      </c>
      <c r="AG126" s="1414">
        <f t="shared" si="16"/>
        <v>2542.6404517487986</v>
      </c>
      <c r="AJ126" s="1422"/>
      <c r="AK126" s="1439" t="s">
        <v>6867</v>
      </c>
      <c r="AL126" s="1440" t="s">
        <v>5697</v>
      </c>
      <c r="AM126" s="1502" t="s">
        <v>5698</v>
      </c>
      <c r="AN126" s="1444" t="s">
        <v>5668</v>
      </c>
      <c r="AO126" s="1444" t="s">
        <v>5668</v>
      </c>
      <c r="AP126" s="1442" t="s">
        <v>5621</v>
      </c>
      <c r="AQ126" s="1360">
        <v>13295.45</v>
      </c>
      <c r="AR126" s="1444" t="s">
        <v>5692</v>
      </c>
      <c r="AS126" s="1444" t="s">
        <v>5670</v>
      </c>
      <c r="AT126" s="1444" t="s">
        <v>5609</v>
      </c>
    </row>
    <row r="127" spans="1:46" ht="11.25">
      <c r="A127" s="1430" t="s">
        <v>427</v>
      </c>
      <c r="B127" s="1431">
        <v>3</v>
      </c>
      <c r="C127" s="1430" t="s">
        <v>428</v>
      </c>
      <c r="D127" s="1414">
        <v>3000000</v>
      </c>
      <c r="E127" s="1447">
        <v>40045</v>
      </c>
      <c r="F127" s="1447">
        <v>40147</v>
      </c>
      <c r="K127" s="1414" t="s">
        <v>403</v>
      </c>
      <c r="L127" s="1430"/>
      <c r="M127" s="1433"/>
      <c r="N127" s="793">
        <v>20000</v>
      </c>
      <c r="O127" s="1508"/>
      <c r="P127" s="1433"/>
      <c r="Q127" s="1433"/>
      <c r="R127" s="1435"/>
      <c r="S127" s="793"/>
      <c r="T127" s="1430"/>
      <c r="U127" s="1430"/>
      <c r="V127" s="793"/>
      <c r="W127" s="793"/>
      <c r="X127" s="793"/>
      <c r="Y127" s="793">
        <f>3000000+3953.79+11246.87+19715.19+39098.63+29484.38+75326.35+18413.72+12042.59+30922.75+12082.49+25930.2+12143.77+194738.93+32902.72+19604.03+69895.26+3824.83</f>
        <v>3611326.5000000005</v>
      </c>
      <c r="AB127" s="1413"/>
      <c r="AC127" s="1413"/>
      <c r="AE127" s="809">
        <v>20000</v>
      </c>
      <c r="AF127" s="1505">
        <f t="shared" si="17"/>
        <v>4.6264435093620757E-2</v>
      </c>
      <c r="AG127" s="1414">
        <f t="shared" si="16"/>
        <v>3824.8279700932253</v>
      </c>
      <c r="AJ127" s="1422"/>
      <c r="AK127" s="1439" t="s">
        <v>6868</v>
      </c>
      <c r="AL127" s="1440" t="s">
        <v>5699</v>
      </c>
      <c r="AM127" s="1502" t="s">
        <v>5700</v>
      </c>
      <c r="AN127" s="1444" t="s">
        <v>5668</v>
      </c>
      <c r="AO127" s="1444" t="s">
        <v>5668</v>
      </c>
      <c r="AP127" s="1442" t="s">
        <v>5701</v>
      </c>
      <c r="AQ127" s="1360">
        <v>20000</v>
      </c>
      <c r="AR127" s="1444" t="s">
        <v>5702</v>
      </c>
      <c r="AS127" s="1444" t="s">
        <v>5670</v>
      </c>
      <c r="AT127" s="1444"/>
    </row>
    <row r="128" spans="1:46" ht="11.25">
      <c r="A128" s="1430"/>
      <c r="B128" s="1431"/>
      <c r="C128" s="1430"/>
      <c r="K128" s="1414"/>
      <c r="L128" s="1430"/>
      <c r="M128" s="1433"/>
      <c r="N128" s="793"/>
      <c r="O128" s="1508"/>
      <c r="P128" s="1433"/>
      <c r="Q128" s="1433"/>
      <c r="R128" s="1435"/>
      <c r="S128" s="793"/>
      <c r="T128" s="1430"/>
      <c r="U128" s="1430"/>
      <c r="V128" s="793"/>
      <c r="W128" s="793"/>
      <c r="X128" s="793"/>
      <c r="Y128" s="793"/>
      <c r="AB128" s="1413"/>
      <c r="AC128" s="1413"/>
      <c r="AE128" s="799"/>
      <c r="AG128" s="1414"/>
      <c r="AK128" s="1439"/>
      <c r="AL128" s="1440"/>
      <c r="AM128" s="1502"/>
      <c r="AN128" s="1444"/>
      <c r="AO128" s="1444"/>
      <c r="AP128" s="1442"/>
      <c r="AQ128" s="1360"/>
      <c r="AR128" s="1444"/>
      <c r="AS128" s="1444"/>
      <c r="AT128" s="1444"/>
    </row>
    <row r="129" spans="1:46" ht="11.25">
      <c r="A129" s="1430"/>
      <c r="B129" s="1462">
        <v>65</v>
      </c>
      <c r="C129" s="1499" t="s">
        <v>403</v>
      </c>
      <c r="D129" s="1499"/>
      <c r="E129" s="1499"/>
      <c r="F129" s="1499"/>
      <c r="G129" s="1499"/>
      <c r="H129" s="1499"/>
      <c r="I129" s="1499"/>
      <c r="J129" s="1499"/>
      <c r="K129" s="1463" t="s">
        <v>98</v>
      </c>
      <c r="L129" s="1446">
        <f>SUM(L98:L126)</f>
        <v>223247.42799999999</v>
      </c>
      <c r="M129" s="1446">
        <f>SUM(M98:M126)</f>
        <v>240147.7</v>
      </c>
      <c r="N129" s="1446">
        <f>SUM(N98:N128)</f>
        <v>432297.50800000003</v>
      </c>
      <c r="O129" s="1446">
        <f>SUM(O98:O128)</f>
        <v>0</v>
      </c>
      <c r="P129" s="1446">
        <f>SUM(P98:P126)</f>
        <v>44257027.43</v>
      </c>
      <c r="Q129" s="1446">
        <f>SUM(Q98:Q126)</f>
        <v>199202.93799999997</v>
      </c>
      <c r="R129" s="1446">
        <f>SUM(R98:R126)</f>
        <v>86022945.491959721</v>
      </c>
      <c r="S129" s="1430"/>
      <c r="T129" s="1430"/>
      <c r="U129" s="1430"/>
      <c r="V129" s="796">
        <f>SUM(V98:V128)</f>
        <v>50044512.820000008</v>
      </c>
      <c r="W129" s="796">
        <f>SUM(W98:W128)</f>
        <v>0</v>
      </c>
      <c r="X129" s="796">
        <f>SUM(X98:X128)</f>
        <v>0</v>
      </c>
      <c r="Y129" s="796">
        <f>SUM(Y98:Y128)</f>
        <v>52202187.551959723</v>
      </c>
      <c r="AB129" s="1413"/>
      <c r="AC129" s="1506"/>
      <c r="AE129" s="1414"/>
      <c r="AK129" s="1439"/>
      <c r="AL129" s="1440"/>
      <c r="AM129" s="1502"/>
      <c r="AN129" s="1444"/>
      <c r="AO129" s="1444"/>
      <c r="AP129" s="1442"/>
      <c r="AQ129" s="1360"/>
      <c r="AR129" s="1444"/>
      <c r="AS129" s="1444"/>
      <c r="AT129" s="1444"/>
    </row>
    <row r="130" spans="1:46" ht="11.25">
      <c r="B130" s="1406"/>
      <c r="C130" s="1458"/>
      <c r="D130" s="1458"/>
      <c r="E130" s="1458"/>
      <c r="F130" s="1458"/>
      <c r="G130" s="1458"/>
      <c r="H130" s="1458"/>
      <c r="I130" s="1458"/>
      <c r="J130" s="1458"/>
      <c r="K130" s="1459" t="s">
        <v>365</v>
      </c>
      <c r="L130" s="1490">
        <f>L129</f>
        <v>223247.42799999999</v>
      </c>
      <c r="M130" s="1490">
        <f t="shared" ref="M130:Y130" si="24">M129</f>
        <v>240147.7</v>
      </c>
      <c r="N130" s="1490">
        <f t="shared" si="24"/>
        <v>432297.50800000003</v>
      </c>
      <c r="O130" s="1490">
        <f t="shared" si="24"/>
        <v>0</v>
      </c>
      <c r="P130" s="1490">
        <f t="shared" si="24"/>
        <v>44257027.43</v>
      </c>
      <c r="Q130" s="1490">
        <f t="shared" si="24"/>
        <v>199202.93799999997</v>
      </c>
      <c r="R130" s="1490">
        <f t="shared" si="24"/>
        <v>86022945.491959721</v>
      </c>
      <c r="S130" s="1490"/>
      <c r="T130" s="1490">
        <f t="shared" si="24"/>
        <v>0</v>
      </c>
      <c r="U130" s="1490">
        <f t="shared" si="24"/>
        <v>0</v>
      </c>
      <c r="V130" s="1490">
        <f t="shared" si="24"/>
        <v>50044512.820000008</v>
      </c>
      <c r="W130" s="1490">
        <f t="shared" si="24"/>
        <v>0</v>
      </c>
      <c r="X130" s="1490">
        <f t="shared" si="24"/>
        <v>0</v>
      </c>
      <c r="Y130" s="1490">
        <f t="shared" si="24"/>
        <v>52202187.551959723</v>
      </c>
      <c r="AB130" s="1413"/>
      <c r="AC130" s="1506"/>
      <c r="AK130" s="1439"/>
      <c r="AL130" s="1440"/>
      <c r="AM130" s="1502"/>
      <c r="AN130" s="1444"/>
      <c r="AO130" s="1444"/>
      <c r="AP130" s="1442"/>
      <c r="AQ130" s="1360"/>
      <c r="AR130" s="1444"/>
      <c r="AS130" s="1444"/>
      <c r="AT130" s="1444"/>
    </row>
    <row r="131" spans="1:46" ht="11.25">
      <c r="B131" s="1406"/>
      <c r="C131" s="1458"/>
      <c r="D131" s="1458"/>
      <c r="E131" s="1458"/>
      <c r="F131" s="1458"/>
      <c r="G131" s="1458"/>
      <c r="H131" s="1458"/>
      <c r="I131" s="1458"/>
      <c r="J131" s="1458"/>
      <c r="K131" s="1459"/>
      <c r="L131" s="1490"/>
      <c r="M131" s="1490"/>
      <c r="N131" s="1490"/>
      <c r="O131" s="1490"/>
      <c r="P131" s="1490"/>
      <c r="Q131" s="1490"/>
      <c r="R131" s="1490"/>
      <c r="V131" s="801"/>
      <c r="W131" s="801"/>
      <c r="X131" s="801"/>
      <c r="Y131" s="801"/>
      <c r="AB131" s="1413"/>
      <c r="AC131" s="1506"/>
      <c r="AK131" s="1439"/>
      <c r="AL131" s="1440"/>
      <c r="AM131" s="1502"/>
      <c r="AN131" s="1444"/>
      <c r="AO131" s="1444"/>
      <c r="AP131" s="1442"/>
      <c r="AQ131" s="1360"/>
      <c r="AR131" s="1444"/>
      <c r="AS131" s="1444"/>
      <c r="AT131" s="1444"/>
    </row>
    <row r="132" spans="1:46" ht="10.15" customHeight="1">
      <c r="B132" s="1406"/>
      <c r="C132" s="1407"/>
      <c r="D132" s="1407"/>
      <c r="E132" s="1407"/>
      <c r="F132" s="1407"/>
      <c r="G132" s="1407"/>
      <c r="H132" s="1407"/>
      <c r="I132" s="1407"/>
      <c r="J132" s="1407"/>
      <c r="K132" s="1490"/>
      <c r="L132" s="1490"/>
      <c r="M132" s="1490"/>
      <c r="N132" s="1422"/>
      <c r="O132" s="1490"/>
      <c r="R132" s="1422"/>
      <c r="S132" s="799">
        <v>4340621</v>
      </c>
      <c r="AB132" s="1413"/>
      <c r="AC132" s="1413"/>
      <c r="AK132" s="1439"/>
      <c r="AL132" s="1440"/>
      <c r="AM132" s="1502"/>
      <c r="AN132" s="1444"/>
      <c r="AO132" s="1444"/>
      <c r="AP132" s="1442"/>
      <c r="AQ132" s="1360"/>
      <c r="AR132" s="1444"/>
      <c r="AS132" s="1444"/>
      <c r="AT132" s="1444"/>
    </row>
    <row r="133" spans="1:46" ht="10.15" customHeight="1">
      <c r="B133" s="1406"/>
      <c r="C133" s="1407"/>
      <c r="D133" s="1407"/>
      <c r="E133" s="1407"/>
      <c r="F133" s="1407"/>
      <c r="G133" s="1407"/>
      <c r="H133" s="1407"/>
      <c r="I133" s="1407"/>
      <c r="J133" s="1407"/>
      <c r="K133" s="1490"/>
      <c r="L133" s="1490"/>
      <c r="M133" s="1490"/>
      <c r="N133" s="1422"/>
      <c r="O133" s="1490"/>
      <c r="R133" s="1422"/>
      <c r="S133" s="799"/>
      <c r="AB133" s="1413"/>
      <c r="AC133" s="1413"/>
      <c r="AK133" s="1439"/>
      <c r="AL133" s="1440"/>
      <c r="AM133" s="1502"/>
      <c r="AN133" s="1444"/>
      <c r="AO133" s="1444"/>
      <c r="AP133" s="1442"/>
      <c r="AQ133" s="1360"/>
      <c r="AR133" s="1444"/>
      <c r="AS133" s="1444"/>
      <c r="AT133" s="1444"/>
    </row>
    <row r="134" spans="1:46" ht="11.25">
      <c r="A134" s="1960" t="s">
        <v>100</v>
      </c>
      <c r="B134" s="1961"/>
      <c r="C134" s="1961"/>
      <c r="D134" s="1961"/>
      <c r="E134" s="1961"/>
      <c r="F134" s="1961"/>
      <c r="G134" s="1961"/>
      <c r="H134" s="1961"/>
      <c r="I134" s="1961"/>
      <c r="J134" s="1961"/>
      <c r="K134" s="1961"/>
      <c r="L134" s="1961"/>
      <c r="M134" s="1961"/>
      <c r="N134" s="1961"/>
      <c r="O134" s="1962"/>
      <c r="P134" s="1408"/>
      <c r="Q134" s="1409"/>
      <c r="R134" s="1410"/>
      <c r="S134" s="1411"/>
      <c r="T134" s="1412"/>
      <c r="U134" s="1410"/>
      <c r="V134" s="789"/>
      <c r="W134" s="790"/>
      <c r="X134" s="790"/>
      <c r="Y134" s="791"/>
      <c r="AB134" s="1413"/>
      <c r="AC134" s="1413"/>
      <c r="AK134" s="1439"/>
      <c r="AL134" s="1440"/>
      <c r="AM134" s="1502"/>
      <c r="AN134" s="1444"/>
      <c r="AO134" s="1444"/>
      <c r="AP134" s="1442"/>
      <c r="AQ134" s="1360"/>
      <c r="AR134" s="1444"/>
      <c r="AS134" s="1444"/>
      <c r="AT134" s="1444"/>
    </row>
    <row r="135" spans="1:46" ht="11.25">
      <c r="A135" s="1415"/>
      <c r="B135" s="1416"/>
      <c r="C135" s="1417" t="s">
        <v>256</v>
      </c>
      <c r="D135" s="1417" t="s">
        <v>257</v>
      </c>
      <c r="E135" s="1418" t="s">
        <v>258</v>
      </c>
      <c r="F135" s="1418" t="s">
        <v>259</v>
      </c>
      <c r="G135" s="1418" t="s">
        <v>260</v>
      </c>
      <c r="H135" s="1418" t="s">
        <v>261</v>
      </c>
      <c r="I135" s="1418" t="s">
        <v>262</v>
      </c>
      <c r="J135" s="1418" t="s">
        <v>263</v>
      </c>
      <c r="K135" s="1963" t="s">
        <v>264</v>
      </c>
      <c r="L135" s="1964"/>
      <c r="M135" s="1964"/>
      <c r="N135" s="1964" t="s">
        <v>265</v>
      </c>
      <c r="O135" s="1965"/>
      <c r="P135" s="1419"/>
      <c r="Q135" s="1420"/>
      <c r="R135" s="1421" t="s">
        <v>266</v>
      </c>
      <c r="S135" s="1421" t="s">
        <v>267</v>
      </c>
      <c r="T135" s="1421"/>
      <c r="U135" s="1421"/>
      <c r="V135" s="1966" t="s">
        <v>268</v>
      </c>
      <c r="W135" s="1967"/>
      <c r="X135" s="1967"/>
      <c r="Y135" s="1968"/>
      <c r="AB135" s="1413"/>
      <c r="AC135" s="1413"/>
      <c r="AF135" s="1490">
        <f>SUM(AE137:AE151)</f>
        <v>329049.67</v>
      </c>
      <c r="AK135" s="1439"/>
      <c r="AL135" s="1440"/>
      <c r="AM135" s="1502"/>
      <c r="AN135" s="1444"/>
      <c r="AO135" s="1444"/>
      <c r="AP135" s="1442"/>
      <c r="AQ135" s="1360"/>
      <c r="AR135" s="1444"/>
      <c r="AS135" s="1444"/>
      <c r="AT135" s="1444"/>
    </row>
    <row r="136" spans="1:46" ht="14.25" customHeight="1">
      <c r="A136" s="1461" t="s">
        <v>269</v>
      </c>
      <c r="B136" s="1462" t="s">
        <v>270</v>
      </c>
      <c r="C136" s="1461" t="s">
        <v>271</v>
      </c>
      <c r="D136" s="1427"/>
      <c r="E136" s="1427"/>
      <c r="F136" s="1427"/>
      <c r="G136" s="1427"/>
      <c r="H136" s="1427"/>
      <c r="I136" s="1427"/>
      <c r="J136" s="1427"/>
      <c r="K136" s="1427" t="s">
        <v>272</v>
      </c>
      <c r="L136" s="1487" t="s">
        <v>370</v>
      </c>
      <c r="M136" s="1462" t="s">
        <v>274</v>
      </c>
      <c r="N136" s="1462" t="s">
        <v>275</v>
      </c>
      <c r="O136" s="1462" t="s">
        <v>276</v>
      </c>
      <c r="P136" s="1428" t="s">
        <v>277</v>
      </c>
      <c r="Q136" s="1428" t="s">
        <v>278</v>
      </c>
      <c r="R136" s="1429" t="s">
        <v>279</v>
      </c>
      <c r="S136" s="1429" t="s">
        <v>280</v>
      </c>
      <c r="T136" s="1429" t="s">
        <v>281</v>
      </c>
      <c r="U136" s="1429" t="s">
        <v>282</v>
      </c>
      <c r="V136" s="792" t="s">
        <v>283</v>
      </c>
      <c r="W136" s="792" t="s">
        <v>284</v>
      </c>
      <c r="X136" s="792" t="s">
        <v>285</v>
      </c>
      <c r="Y136" s="792" t="s">
        <v>286</v>
      </c>
      <c r="AB136" s="1413"/>
      <c r="AC136" s="1413"/>
      <c r="AF136" s="1423">
        <v>1</v>
      </c>
      <c r="AG136" s="1446">
        <v>346454.19</v>
      </c>
      <c r="AK136" s="1439"/>
      <c r="AL136" s="1440"/>
      <c r="AM136" s="1502"/>
      <c r="AN136" s="1444"/>
      <c r="AO136" s="1444"/>
      <c r="AP136" s="1442"/>
      <c r="AQ136" s="1360"/>
      <c r="AR136" s="1444"/>
      <c r="AS136" s="1444"/>
      <c r="AT136" s="1444"/>
    </row>
    <row r="137" spans="1:46" ht="14.25" customHeight="1">
      <c r="A137" s="1430">
        <v>5</v>
      </c>
      <c r="B137" s="1431">
        <v>7</v>
      </c>
      <c r="C137" s="1430" t="s">
        <v>385</v>
      </c>
      <c r="D137" s="1430"/>
      <c r="E137" s="1430"/>
      <c r="F137" s="1430"/>
      <c r="G137" s="1430"/>
      <c r="H137" s="1430"/>
      <c r="I137" s="1430"/>
      <c r="J137" s="1430"/>
      <c r="K137" s="1430" t="s">
        <v>429</v>
      </c>
      <c r="L137" s="1433">
        <v>12546.43</v>
      </c>
      <c r="M137" s="794"/>
      <c r="N137" s="1433">
        <f>12546.43-10000</f>
        <v>2546.4300000000003</v>
      </c>
      <c r="O137" s="1433"/>
      <c r="P137" s="1433"/>
      <c r="Q137" s="1433"/>
      <c r="R137" s="793">
        <f>+S137*L137</f>
        <v>690053.65</v>
      </c>
      <c r="S137" s="793">
        <v>55</v>
      </c>
      <c r="T137" s="1430" t="s">
        <v>302</v>
      </c>
      <c r="U137" s="1430"/>
      <c r="V137" s="793"/>
      <c r="W137" s="793"/>
      <c r="X137" s="793"/>
      <c r="Y137" s="793">
        <f>+R137+1532.14+2743.41+2298.2-555239.54</f>
        <v>141387.85999999999</v>
      </c>
      <c r="Z137" s="1405" t="s">
        <v>303</v>
      </c>
      <c r="AB137" s="1413"/>
      <c r="AC137" s="1413"/>
      <c r="AE137" s="1414"/>
      <c r="AF137" s="1510">
        <f>(AE137*$AF$136)/$AF$135</f>
        <v>0</v>
      </c>
      <c r="AG137" s="1414">
        <f>$AG$136*AF137</f>
        <v>0</v>
      </c>
      <c r="AJ137" s="1414"/>
      <c r="AK137" s="1439" t="s">
        <v>6869</v>
      </c>
      <c r="AL137" s="1440" t="s">
        <v>5703</v>
      </c>
      <c r="AM137" s="1502" t="s">
        <v>5672</v>
      </c>
      <c r="AN137" s="1500" t="s">
        <v>5704</v>
      </c>
      <c r="AO137" s="1500" t="s">
        <v>5704</v>
      </c>
      <c r="AP137" s="1442" t="s">
        <v>5621</v>
      </c>
      <c r="AQ137" s="1511">
        <v>2546.4299999999998</v>
      </c>
      <c r="AR137" s="1444" t="s">
        <v>5705</v>
      </c>
      <c r="AS137" s="1444" t="s">
        <v>5706</v>
      </c>
      <c r="AT137" s="1444" t="s">
        <v>5609</v>
      </c>
    </row>
    <row r="138" spans="1:46" ht="14.25" customHeight="1">
      <c r="A138" s="1430">
        <v>5</v>
      </c>
      <c r="B138" s="1431">
        <v>8</v>
      </c>
      <c r="C138" s="1430" t="s">
        <v>385</v>
      </c>
      <c r="D138" s="1430"/>
      <c r="E138" s="1430"/>
      <c r="F138" s="1430"/>
      <c r="G138" s="1430"/>
      <c r="H138" s="1430"/>
      <c r="I138" s="1430"/>
      <c r="J138" s="1430"/>
      <c r="K138" s="1430" t="s">
        <v>429</v>
      </c>
      <c r="L138" s="1433">
        <v>8420.19</v>
      </c>
      <c r="M138" s="794"/>
      <c r="N138" s="1433">
        <v>8420.19</v>
      </c>
      <c r="O138" s="1433"/>
      <c r="P138" s="1433"/>
      <c r="Q138" s="1433"/>
      <c r="R138" s="793">
        <f t="shared" ref="R138:R148" si="25">+S138*L138</f>
        <v>463110.45</v>
      </c>
      <c r="S138" s="793">
        <v>55</v>
      </c>
      <c r="T138" s="1430" t="s">
        <v>302</v>
      </c>
      <c r="U138" s="1430"/>
      <c r="V138" s="793"/>
      <c r="W138" s="793"/>
      <c r="X138" s="793"/>
      <c r="Y138" s="793">
        <f>+R138+1028.25+1841.16+1542.38</f>
        <v>467522.24</v>
      </c>
      <c r="Z138" s="1405" t="s">
        <v>303</v>
      </c>
      <c r="AB138" s="1413"/>
      <c r="AC138" s="1413"/>
      <c r="AE138" s="1414"/>
      <c r="AF138" s="1510">
        <f t="shared" ref="AF138:AF151" si="26">(AE138*$AF$136)/$AF$135</f>
        <v>0</v>
      </c>
      <c r="AG138" s="1414">
        <f t="shared" ref="AG138:AG151" si="27">$AG$136*AF138</f>
        <v>0</v>
      </c>
      <c r="AJ138" s="1414"/>
      <c r="AK138" s="1439" t="s">
        <v>6870</v>
      </c>
      <c r="AL138" s="1440" t="s">
        <v>5703</v>
      </c>
      <c r="AM138" s="1502" t="s">
        <v>5678</v>
      </c>
      <c r="AN138" s="1443" t="s">
        <v>5704</v>
      </c>
      <c r="AO138" s="1443" t="s">
        <v>5704</v>
      </c>
      <c r="AP138" s="1442" t="s">
        <v>5621</v>
      </c>
      <c r="AQ138" s="1443">
        <v>8420.19</v>
      </c>
      <c r="AR138" s="1444" t="s">
        <v>5705</v>
      </c>
      <c r="AS138" s="1444" t="s">
        <v>5706</v>
      </c>
      <c r="AT138" s="1444" t="s">
        <v>5609</v>
      </c>
    </row>
    <row r="139" spans="1:46" ht="14.25" customHeight="1">
      <c r="A139" s="1430">
        <v>5</v>
      </c>
      <c r="B139" s="1431">
        <v>9</v>
      </c>
      <c r="C139" s="1430" t="s">
        <v>385</v>
      </c>
      <c r="D139" s="1430"/>
      <c r="E139" s="1430"/>
      <c r="F139" s="1430"/>
      <c r="G139" s="1430"/>
      <c r="H139" s="1430"/>
      <c r="I139" s="1430"/>
      <c r="J139" s="1430"/>
      <c r="K139" s="1430" t="s">
        <v>429</v>
      </c>
      <c r="L139" s="1433">
        <v>8427.31</v>
      </c>
      <c r="M139" s="794"/>
      <c r="N139" s="1433">
        <v>8427.31</v>
      </c>
      <c r="O139" s="1433"/>
      <c r="P139" s="1433"/>
      <c r="Q139" s="1433"/>
      <c r="R139" s="793">
        <f t="shared" si="25"/>
        <v>463502.05</v>
      </c>
      <c r="S139" s="793">
        <v>55</v>
      </c>
      <c r="T139" s="1430" t="s">
        <v>302</v>
      </c>
      <c r="U139" s="1430"/>
      <c r="V139" s="793"/>
      <c r="W139" s="793"/>
      <c r="X139" s="793"/>
      <c r="Y139" s="793">
        <f>+R139+1029.12+1842.72+1543.68</f>
        <v>467917.56999999995</v>
      </c>
      <c r="Z139" s="1405" t="s">
        <v>303</v>
      </c>
      <c r="AB139" s="1413"/>
      <c r="AC139" s="1413"/>
      <c r="AE139" s="1414"/>
      <c r="AF139" s="1510">
        <f t="shared" si="26"/>
        <v>0</v>
      </c>
      <c r="AG139" s="1414">
        <f t="shared" si="27"/>
        <v>0</v>
      </c>
      <c r="AJ139" s="1414"/>
      <c r="AK139" s="1439" t="s">
        <v>6871</v>
      </c>
      <c r="AL139" s="1440" t="s">
        <v>5703</v>
      </c>
      <c r="AM139" s="1502" t="s">
        <v>5679</v>
      </c>
      <c r="AN139" s="1443" t="s">
        <v>5704</v>
      </c>
      <c r="AO139" s="1443" t="s">
        <v>5704</v>
      </c>
      <c r="AP139" s="1442" t="s">
        <v>5621</v>
      </c>
      <c r="AQ139" s="1443">
        <v>8427.31</v>
      </c>
      <c r="AR139" s="1444" t="s">
        <v>5705</v>
      </c>
      <c r="AS139" s="1444" t="s">
        <v>5706</v>
      </c>
      <c r="AT139" s="1444" t="s">
        <v>5609</v>
      </c>
    </row>
    <row r="140" spans="1:46" ht="14.25" customHeight="1">
      <c r="A140" s="1430">
        <v>5</v>
      </c>
      <c r="B140" s="1431">
        <v>10</v>
      </c>
      <c r="C140" s="1430" t="s">
        <v>385</v>
      </c>
      <c r="D140" s="1430"/>
      <c r="E140" s="1430"/>
      <c r="F140" s="1430"/>
      <c r="G140" s="1430"/>
      <c r="H140" s="1430"/>
      <c r="I140" s="1430"/>
      <c r="J140" s="1430"/>
      <c r="K140" s="1430" t="s">
        <v>429</v>
      </c>
      <c r="L140" s="1433">
        <v>9493.6</v>
      </c>
      <c r="M140" s="794"/>
      <c r="N140" s="1433">
        <v>9493.6</v>
      </c>
      <c r="O140" s="1433"/>
      <c r="P140" s="1433"/>
      <c r="Q140" s="1433"/>
      <c r="R140" s="793">
        <f t="shared" si="25"/>
        <v>522148</v>
      </c>
      <c r="S140" s="793">
        <v>55</v>
      </c>
      <c r="T140" s="1430" t="s">
        <v>302</v>
      </c>
      <c r="U140" s="1430"/>
      <c r="V140" s="793"/>
      <c r="W140" s="793"/>
      <c r="X140" s="793"/>
      <c r="Y140" s="793">
        <f>+R140+1159.33+2075.88+1739</f>
        <v>527122.21</v>
      </c>
      <c r="Z140" s="1405" t="s">
        <v>303</v>
      </c>
      <c r="AB140" s="1413"/>
      <c r="AC140" s="1413"/>
      <c r="AE140" s="1414"/>
      <c r="AF140" s="1510">
        <f t="shared" si="26"/>
        <v>0</v>
      </c>
      <c r="AG140" s="1414">
        <f t="shared" si="27"/>
        <v>0</v>
      </c>
      <c r="AJ140" s="1414"/>
      <c r="AK140" s="1439" t="s">
        <v>6872</v>
      </c>
      <c r="AL140" s="1440" t="s">
        <v>5703</v>
      </c>
      <c r="AM140" s="1502" t="s">
        <v>5707</v>
      </c>
      <c r="AN140" s="1443" t="s">
        <v>5704</v>
      </c>
      <c r="AO140" s="1443" t="s">
        <v>5704</v>
      </c>
      <c r="AP140" s="1442" t="s">
        <v>5621</v>
      </c>
      <c r="AQ140" s="1443">
        <v>9493.6</v>
      </c>
      <c r="AR140" s="1444" t="s">
        <v>5705</v>
      </c>
      <c r="AS140" s="1444" t="s">
        <v>5706</v>
      </c>
      <c r="AT140" s="1444" t="s">
        <v>5609</v>
      </c>
    </row>
    <row r="141" spans="1:46" ht="14.25" hidden="1" customHeight="1">
      <c r="A141" s="1430">
        <v>5</v>
      </c>
      <c r="B141" s="1431">
        <v>11</v>
      </c>
      <c r="C141" s="1430" t="s">
        <v>430</v>
      </c>
      <c r="D141" s="1430"/>
      <c r="E141" s="1430"/>
      <c r="F141" s="1430"/>
      <c r="G141" s="1430"/>
      <c r="H141" s="1430"/>
      <c r="I141" s="1430"/>
      <c r="J141" s="1430"/>
      <c r="K141" s="1430" t="s">
        <v>429</v>
      </c>
      <c r="L141" s="1433">
        <v>10068.92</v>
      </c>
      <c r="M141" s="794"/>
      <c r="N141" s="1433"/>
      <c r="O141" s="1433">
        <f>+L141-10068.92</f>
        <v>0</v>
      </c>
      <c r="P141" s="1433"/>
      <c r="Q141" s="1433"/>
      <c r="R141" s="793">
        <f t="shared" si="25"/>
        <v>251723</v>
      </c>
      <c r="S141" s="793">
        <v>25</v>
      </c>
      <c r="T141" s="1430" t="s">
        <v>342</v>
      </c>
      <c r="U141" s="1430"/>
      <c r="V141" s="793"/>
      <c r="W141" s="793">
        <f>+R141-251723</f>
        <v>0</v>
      </c>
      <c r="X141" s="793"/>
      <c r="Y141" s="793"/>
      <c r="Z141" s="1405" t="s">
        <v>303</v>
      </c>
      <c r="AB141" s="1413"/>
      <c r="AC141" s="1413"/>
      <c r="AE141" s="1414"/>
      <c r="AF141" s="1510">
        <f t="shared" si="26"/>
        <v>0</v>
      </c>
      <c r="AG141" s="1414">
        <f t="shared" si="27"/>
        <v>0</v>
      </c>
      <c r="AJ141" s="1414"/>
      <c r="AK141" s="1439"/>
      <c r="AL141" s="1440"/>
      <c r="AM141" s="1502"/>
      <c r="AN141" s="1443"/>
      <c r="AO141" s="1443"/>
      <c r="AP141" s="1442"/>
      <c r="AQ141" s="1443"/>
      <c r="AR141" s="1444"/>
      <c r="AS141" s="1444"/>
      <c r="AT141" s="1444"/>
    </row>
    <row r="142" spans="1:46" ht="14.25" customHeight="1">
      <c r="A142" s="1430">
        <v>6</v>
      </c>
      <c r="B142" s="1431">
        <v>1</v>
      </c>
      <c r="C142" s="1430" t="s">
        <v>385</v>
      </c>
      <c r="D142" s="1430"/>
      <c r="E142" s="1430"/>
      <c r="F142" s="1430"/>
      <c r="G142" s="1430"/>
      <c r="H142" s="1430"/>
      <c r="I142" s="1430"/>
      <c r="J142" s="1430"/>
      <c r="K142" s="1430" t="s">
        <v>429</v>
      </c>
      <c r="L142" s="1433">
        <v>59402.67</v>
      </c>
      <c r="M142" s="794"/>
      <c r="N142" s="1433"/>
      <c r="O142" s="1433">
        <f>59402.67-40000</f>
        <v>19402.669999999998</v>
      </c>
      <c r="P142" s="1433"/>
      <c r="Q142" s="1433"/>
      <c r="R142" s="793">
        <f t="shared" si="25"/>
        <v>1485066.75</v>
      </c>
      <c r="S142" s="793">
        <v>25</v>
      </c>
      <c r="T142" s="1430" t="s">
        <v>342</v>
      </c>
      <c r="U142" s="1430"/>
      <c r="V142" s="793"/>
      <c r="W142" s="793">
        <f>+R142+7254.09+12989.03+39513.9+10881.14-1047565.65</f>
        <v>508139.25999999989</v>
      </c>
      <c r="X142" s="793"/>
      <c r="Y142" s="793"/>
      <c r="Z142" s="1405" t="s">
        <v>303</v>
      </c>
      <c r="AB142" s="1413"/>
      <c r="AC142" s="1413"/>
      <c r="AE142" s="1414">
        <f>O142</f>
        <v>19402.669999999998</v>
      </c>
      <c r="AF142" s="1510">
        <f t="shared" si="26"/>
        <v>5.8965778631536084E-2</v>
      </c>
      <c r="AG142" s="1414">
        <f t="shared" si="27"/>
        <v>20428.941073508144</v>
      </c>
      <c r="AJ142" s="1414"/>
      <c r="AK142" s="1439" t="s">
        <v>6873</v>
      </c>
      <c r="AL142" s="1440" t="s">
        <v>5682</v>
      </c>
      <c r="AM142" s="1502" t="s">
        <v>5691</v>
      </c>
      <c r="AN142" s="1443" t="s">
        <v>5704</v>
      </c>
      <c r="AO142" s="1443" t="s">
        <v>5704</v>
      </c>
      <c r="AP142" s="1442" t="s">
        <v>5621</v>
      </c>
      <c r="AQ142" s="1443">
        <v>19402.669999999998</v>
      </c>
      <c r="AR142" s="1444" t="s">
        <v>5705</v>
      </c>
      <c r="AS142" s="1444" t="s">
        <v>5706</v>
      </c>
      <c r="AT142" s="1444" t="s">
        <v>5609</v>
      </c>
    </row>
    <row r="143" spans="1:46" ht="14.25" customHeight="1">
      <c r="A143" s="1430">
        <v>7</v>
      </c>
      <c r="B143" s="1431" t="s">
        <v>431</v>
      </c>
      <c r="C143" s="1430" t="s">
        <v>432</v>
      </c>
      <c r="D143" s="1430"/>
      <c r="E143" s="1430"/>
      <c r="F143" s="1430"/>
      <c r="G143" s="1430"/>
      <c r="H143" s="1430"/>
      <c r="I143" s="1430"/>
      <c r="J143" s="1430"/>
      <c r="K143" s="1430" t="s">
        <v>429</v>
      </c>
      <c r="L143" s="1433"/>
      <c r="M143" s="794">
        <v>2927.61</v>
      </c>
      <c r="N143" s="794">
        <v>2927.61</v>
      </c>
      <c r="O143" s="1433"/>
      <c r="P143" s="1433">
        <v>161018.54999999999</v>
      </c>
      <c r="Q143" s="1433">
        <v>2927.61</v>
      </c>
      <c r="R143" s="793">
        <f>+P143</f>
        <v>161018.54999999999</v>
      </c>
      <c r="S143" s="1435">
        <f>+P143/Q143</f>
        <v>54.999999999999993</v>
      </c>
      <c r="T143" s="1436" t="s">
        <v>291</v>
      </c>
      <c r="U143" s="1437">
        <v>38581</v>
      </c>
      <c r="V143" s="793">
        <f>+R143+357.51+590.15+536.27</f>
        <v>162502.47999999998</v>
      </c>
      <c r="W143" s="793"/>
      <c r="X143" s="793"/>
      <c r="Y143" s="793"/>
      <c r="Z143" s="1405" t="s">
        <v>292</v>
      </c>
      <c r="AA143" s="1405" t="s">
        <v>433</v>
      </c>
      <c r="AB143" s="1413"/>
      <c r="AC143" s="1413"/>
      <c r="AE143" s="1414"/>
      <c r="AF143" s="1510">
        <f t="shared" si="26"/>
        <v>0</v>
      </c>
      <c r="AG143" s="1414">
        <f t="shared" si="27"/>
        <v>0</v>
      </c>
      <c r="AJ143" s="1414"/>
      <c r="AK143" s="1439" t="s">
        <v>6874</v>
      </c>
      <c r="AL143" s="1440" t="s">
        <v>5597</v>
      </c>
      <c r="AM143" s="1502" t="s">
        <v>5708</v>
      </c>
      <c r="AN143" s="1443" t="s">
        <v>5704</v>
      </c>
      <c r="AO143" s="1443" t="s">
        <v>5704</v>
      </c>
      <c r="AP143" s="1442" t="s">
        <v>5593</v>
      </c>
      <c r="AQ143" s="1443">
        <v>2927.61</v>
      </c>
      <c r="AR143" s="1444" t="s">
        <v>5705</v>
      </c>
      <c r="AS143" s="1444" t="s">
        <v>5706</v>
      </c>
      <c r="AT143" s="1444" t="s">
        <v>5609</v>
      </c>
    </row>
    <row r="144" spans="1:46" ht="14.25" customHeight="1">
      <c r="A144" s="1405">
        <v>7</v>
      </c>
      <c r="B144" s="1431">
        <v>4</v>
      </c>
      <c r="C144" s="1405" t="s">
        <v>385</v>
      </c>
      <c r="K144" s="1430" t="s">
        <v>429</v>
      </c>
      <c r="L144" s="1433">
        <v>12109.5</v>
      </c>
      <c r="N144" s="1433">
        <v>12109.5</v>
      </c>
      <c r="O144" s="1430"/>
      <c r="P144" s="1433"/>
      <c r="Q144" s="1433"/>
      <c r="R144" s="793">
        <f t="shared" si="25"/>
        <v>666022.5</v>
      </c>
      <c r="S144" s="793">
        <v>55</v>
      </c>
      <c r="T144" s="1430" t="s">
        <v>302</v>
      </c>
      <c r="U144" s="1430"/>
      <c r="V144" s="793"/>
      <c r="W144" s="793"/>
      <c r="X144" s="793"/>
      <c r="Y144" s="793">
        <f>+R144+1478.78+2647.87+2218.17</f>
        <v>672367.32000000007</v>
      </c>
      <c r="Z144" s="1405" t="s">
        <v>303</v>
      </c>
      <c r="AB144" s="1413"/>
      <c r="AC144" s="1413"/>
      <c r="AE144" s="1414"/>
      <c r="AF144" s="1510">
        <f t="shared" si="26"/>
        <v>0</v>
      </c>
      <c r="AG144" s="1414">
        <f t="shared" si="27"/>
        <v>0</v>
      </c>
      <c r="AJ144" s="1414"/>
      <c r="AK144" s="1439" t="s">
        <v>6875</v>
      </c>
      <c r="AL144" s="1440" t="s">
        <v>5649</v>
      </c>
      <c r="AM144" s="1502" t="s">
        <v>5685</v>
      </c>
      <c r="AN144" s="1443" t="s">
        <v>5704</v>
      </c>
      <c r="AO144" s="1443" t="s">
        <v>5704</v>
      </c>
      <c r="AP144" s="1442" t="s">
        <v>5621</v>
      </c>
      <c r="AQ144" s="1443">
        <v>12109.5</v>
      </c>
      <c r="AR144" s="1444" t="s">
        <v>5705</v>
      </c>
      <c r="AS144" s="1444" t="s">
        <v>5706</v>
      </c>
      <c r="AT144" s="1444" t="s">
        <v>5609</v>
      </c>
    </row>
    <row r="145" spans="1:46" ht="14.25" customHeight="1">
      <c r="A145" s="1430">
        <v>7</v>
      </c>
      <c r="B145" s="1431">
        <v>6</v>
      </c>
      <c r="C145" s="1430" t="s">
        <v>385</v>
      </c>
      <c r="D145" s="1430"/>
      <c r="E145" s="1430"/>
      <c r="F145" s="1430"/>
      <c r="G145" s="1430"/>
      <c r="H145" s="1430"/>
      <c r="I145" s="1430"/>
      <c r="J145" s="1430"/>
      <c r="K145" s="1430" t="s">
        <v>429</v>
      </c>
      <c r="L145" s="1433">
        <v>12335.46</v>
      </c>
      <c r="M145" s="794"/>
      <c r="N145" s="1433">
        <v>12335.46</v>
      </c>
      <c r="O145" s="1446"/>
      <c r="P145" s="1433"/>
      <c r="Q145" s="1433"/>
      <c r="R145" s="793">
        <f t="shared" si="25"/>
        <v>678450.29999999993</v>
      </c>
      <c r="S145" s="793">
        <v>55</v>
      </c>
      <c r="T145" s="1430" t="s">
        <v>302</v>
      </c>
      <c r="U145" s="1430"/>
      <c r="V145" s="793"/>
      <c r="W145" s="793"/>
      <c r="X145" s="793"/>
      <c r="Y145" s="793">
        <f>+R145+1506.37+2697.28+2259.56</f>
        <v>684913.51</v>
      </c>
      <c r="Z145" s="1405" t="s">
        <v>303</v>
      </c>
      <c r="AB145" s="1413"/>
      <c r="AC145" s="1413"/>
      <c r="AE145" s="1414"/>
      <c r="AF145" s="1510">
        <f t="shared" si="26"/>
        <v>0</v>
      </c>
      <c r="AG145" s="1414">
        <f t="shared" si="27"/>
        <v>0</v>
      </c>
      <c r="AJ145" s="1414"/>
      <c r="AK145" s="1439" t="s">
        <v>6876</v>
      </c>
      <c r="AL145" s="1440" t="s">
        <v>5709</v>
      </c>
      <c r="AM145" s="1502" t="s">
        <v>5677</v>
      </c>
      <c r="AN145" s="1443" t="s">
        <v>5704</v>
      </c>
      <c r="AO145" s="1443" t="s">
        <v>5704</v>
      </c>
      <c r="AP145" s="1442" t="s">
        <v>5621</v>
      </c>
      <c r="AQ145" s="1443">
        <v>12335.46</v>
      </c>
      <c r="AR145" s="1444" t="s">
        <v>5705</v>
      </c>
      <c r="AS145" s="1444" t="s">
        <v>5706</v>
      </c>
      <c r="AT145" s="1444" t="s">
        <v>5609</v>
      </c>
    </row>
    <row r="146" spans="1:46" ht="14.25" customHeight="1">
      <c r="A146" s="1430">
        <v>7</v>
      </c>
      <c r="B146" s="1431">
        <v>7</v>
      </c>
      <c r="C146" s="1430" t="s">
        <v>385</v>
      </c>
      <c r="D146" s="1430"/>
      <c r="E146" s="1430"/>
      <c r="F146" s="1430"/>
      <c r="G146" s="1430"/>
      <c r="H146" s="1430"/>
      <c r="I146" s="1430"/>
      <c r="J146" s="1430"/>
      <c r="K146" s="1430" t="s">
        <v>429</v>
      </c>
      <c r="L146" s="1433">
        <v>7725.93</v>
      </c>
      <c r="M146" s="794"/>
      <c r="N146" s="1433">
        <v>7725.93</v>
      </c>
      <c r="O146" s="1433"/>
      <c r="P146" s="1433"/>
      <c r="Q146" s="1433"/>
      <c r="R146" s="793">
        <f t="shared" si="25"/>
        <v>193148.25</v>
      </c>
      <c r="S146" s="793">
        <v>25</v>
      </c>
      <c r="T146" s="1430" t="s">
        <v>342</v>
      </c>
      <c r="U146" s="1430"/>
      <c r="V146" s="793"/>
      <c r="W146" s="793">
        <f>+R146+943.47+1689.36+5139.19+1415.2</f>
        <v>202335.47</v>
      </c>
      <c r="X146" s="793"/>
      <c r="Y146" s="793"/>
      <c r="Z146" s="1405" t="s">
        <v>303</v>
      </c>
      <c r="AB146" s="1413"/>
      <c r="AC146" s="1413"/>
      <c r="AE146" s="1414">
        <f>O146</f>
        <v>0</v>
      </c>
      <c r="AF146" s="1510">
        <f t="shared" si="26"/>
        <v>0</v>
      </c>
      <c r="AG146" s="1414">
        <f t="shared" si="27"/>
        <v>0</v>
      </c>
      <c r="AJ146" s="1414"/>
      <c r="AK146" s="1439" t="s">
        <v>6877</v>
      </c>
      <c r="AL146" s="1440" t="s">
        <v>5597</v>
      </c>
      <c r="AM146" s="1502" t="s">
        <v>5672</v>
      </c>
      <c r="AN146" s="1443" t="s">
        <v>5704</v>
      </c>
      <c r="AO146" s="1443" t="s">
        <v>5704</v>
      </c>
      <c r="AP146" s="1442" t="s">
        <v>5621</v>
      </c>
      <c r="AQ146" s="1443">
        <v>7725.93</v>
      </c>
      <c r="AR146" s="1444" t="s">
        <v>5705</v>
      </c>
      <c r="AS146" s="1444" t="s">
        <v>5706</v>
      </c>
      <c r="AT146" s="1444" t="s">
        <v>5609</v>
      </c>
    </row>
    <row r="147" spans="1:46" ht="14.25" customHeight="1">
      <c r="A147" s="1430">
        <v>7</v>
      </c>
      <c r="B147" s="1431">
        <v>8</v>
      </c>
      <c r="C147" s="1430" t="s">
        <v>385</v>
      </c>
      <c r="D147" s="1430"/>
      <c r="E147" s="1430"/>
      <c r="F147" s="1430"/>
      <c r="G147" s="1430"/>
      <c r="H147" s="1430"/>
      <c r="I147" s="1430"/>
      <c r="J147" s="1430"/>
      <c r="K147" s="1430" t="s">
        <v>429</v>
      </c>
      <c r="L147" s="1433">
        <v>6335.51</v>
      </c>
      <c r="M147" s="1433"/>
      <c r="N147" s="1433">
        <v>6335.51</v>
      </c>
      <c r="O147" s="1433"/>
      <c r="P147" s="1433"/>
      <c r="Q147" s="1433"/>
      <c r="R147" s="793">
        <f t="shared" si="25"/>
        <v>158387.75</v>
      </c>
      <c r="S147" s="793">
        <v>25</v>
      </c>
      <c r="T147" s="1430" t="s">
        <v>342</v>
      </c>
      <c r="U147" s="1430"/>
      <c r="V147" s="793"/>
      <c r="W147" s="793">
        <f>+R147+773.68+1385.33+4214.3+1160.51</f>
        <v>165921.56999999998</v>
      </c>
      <c r="X147" s="793"/>
      <c r="Y147" s="793"/>
      <c r="Z147" s="1405" t="s">
        <v>303</v>
      </c>
      <c r="AB147" s="1413"/>
      <c r="AC147" s="1413"/>
      <c r="AE147" s="1414">
        <f>O147</f>
        <v>0</v>
      </c>
      <c r="AF147" s="1510">
        <f t="shared" si="26"/>
        <v>0</v>
      </c>
      <c r="AG147" s="1414">
        <f t="shared" si="27"/>
        <v>0</v>
      </c>
      <c r="AJ147" s="1414"/>
      <c r="AK147" s="1439" t="s">
        <v>6878</v>
      </c>
      <c r="AL147" s="1440" t="s">
        <v>5597</v>
      </c>
      <c r="AM147" s="1502" t="s">
        <v>5678</v>
      </c>
      <c r="AN147" s="1443" t="s">
        <v>5704</v>
      </c>
      <c r="AO147" s="1443" t="s">
        <v>5704</v>
      </c>
      <c r="AP147" s="1442" t="s">
        <v>5621</v>
      </c>
      <c r="AQ147" s="1443">
        <v>6335.51</v>
      </c>
      <c r="AR147" s="1444" t="s">
        <v>5705</v>
      </c>
      <c r="AS147" s="1444" t="s">
        <v>5706</v>
      </c>
      <c r="AT147" s="1444" t="s">
        <v>5609</v>
      </c>
    </row>
    <row r="148" spans="1:46" ht="14.25" customHeight="1">
      <c r="A148" s="1430">
        <v>7</v>
      </c>
      <c r="B148" s="1431">
        <v>9</v>
      </c>
      <c r="C148" s="1430" t="s">
        <v>385</v>
      </c>
      <c r="D148" s="1430"/>
      <c r="E148" s="1430"/>
      <c r="F148" s="1430"/>
      <c r="G148" s="1430"/>
      <c r="H148" s="1430"/>
      <c r="I148" s="1430"/>
      <c r="J148" s="1430"/>
      <c r="K148" s="1430" t="s">
        <v>429</v>
      </c>
      <c r="L148" s="1433">
        <v>7725.93</v>
      </c>
      <c r="M148" s="1433"/>
      <c r="N148" s="1433">
        <v>7725.93</v>
      </c>
      <c r="O148" s="1433"/>
      <c r="P148" s="1433"/>
      <c r="Q148" s="1433"/>
      <c r="R148" s="793">
        <f t="shared" si="25"/>
        <v>193148.25</v>
      </c>
      <c r="S148" s="793">
        <v>25</v>
      </c>
      <c r="T148" s="1430" t="s">
        <v>342</v>
      </c>
      <c r="U148" s="1430"/>
      <c r="V148" s="793"/>
      <c r="W148" s="793">
        <f>+R148+943.47+1689.36+5139.19+1415.2</f>
        <v>202335.47</v>
      </c>
      <c r="X148" s="793"/>
      <c r="Y148" s="793"/>
      <c r="Z148" s="1405" t="s">
        <v>303</v>
      </c>
      <c r="AB148" s="1413"/>
      <c r="AC148" s="1413"/>
      <c r="AE148" s="1414">
        <f>O148</f>
        <v>0</v>
      </c>
      <c r="AF148" s="1510">
        <f t="shared" si="26"/>
        <v>0</v>
      </c>
      <c r="AG148" s="1414">
        <f t="shared" si="27"/>
        <v>0</v>
      </c>
      <c r="AJ148" s="1414"/>
      <c r="AK148" s="1439" t="s">
        <v>6879</v>
      </c>
      <c r="AL148" s="1440" t="s">
        <v>5597</v>
      </c>
      <c r="AM148" s="1502" t="s">
        <v>5679</v>
      </c>
      <c r="AN148" s="1443" t="s">
        <v>5704</v>
      </c>
      <c r="AO148" s="1443" t="s">
        <v>5704</v>
      </c>
      <c r="AP148" s="1442" t="s">
        <v>5621</v>
      </c>
      <c r="AQ148" s="1443">
        <v>7725.93</v>
      </c>
      <c r="AR148" s="1444" t="s">
        <v>5705</v>
      </c>
      <c r="AS148" s="1444" t="s">
        <v>5706</v>
      </c>
      <c r="AT148" s="1444" t="s">
        <v>5609</v>
      </c>
    </row>
    <row r="149" spans="1:46" ht="14.25" customHeight="1">
      <c r="A149" s="1430"/>
      <c r="B149" s="1431"/>
      <c r="C149" s="1461" t="s">
        <v>429</v>
      </c>
      <c r="D149" s="1461"/>
      <c r="E149" s="1461"/>
      <c r="F149" s="1461"/>
      <c r="G149" s="1461"/>
      <c r="H149" s="1461"/>
      <c r="I149" s="1461"/>
      <c r="J149" s="1461"/>
      <c r="K149" s="1463" t="s">
        <v>98</v>
      </c>
      <c r="L149" s="1446">
        <f t="shared" ref="L149:Q149" si="28">SUM(L137:L148)</f>
        <v>154591.44999999998</v>
      </c>
      <c r="M149" s="1446">
        <f t="shared" si="28"/>
        <v>2927.61</v>
      </c>
      <c r="N149" s="1446">
        <f t="shared" si="28"/>
        <v>78047.47</v>
      </c>
      <c r="O149" s="1446">
        <f t="shared" si="28"/>
        <v>19402.669999999998</v>
      </c>
      <c r="P149" s="1446">
        <f t="shared" si="28"/>
        <v>161018.54999999999</v>
      </c>
      <c r="Q149" s="1446">
        <f t="shared" si="28"/>
        <v>2927.61</v>
      </c>
      <c r="R149" s="1446">
        <f>SUM(R137:R148)</f>
        <v>5925779.5</v>
      </c>
      <c r="S149" s="1430"/>
      <c r="T149" s="1430"/>
      <c r="U149" s="1430"/>
      <c r="V149" s="796">
        <f>SUM(V137:V148)</f>
        <v>162502.47999999998</v>
      </c>
      <c r="W149" s="796">
        <f>SUM(W137:W148)</f>
        <v>1078731.7699999998</v>
      </c>
      <c r="X149" s="796">
        <f>SUM(X137:X148)</f>
        <v>0</v>
      </c>
      <c r="Y149" s="796">
        <f>SUM(Y137:Y148)</f>
        <v>2961230.71</v>
      </c>
      <c r="AB149" s="1413"/>
      <c r="AC149" s="1413"/>
      <c r="AE149" s="1414"/>
      <c r="AF149" s="1510">
        <f t="shared" si="26"/>
        <v>0</v>
      </c>
      <c r="AG149" s="1414">
        <f t="shared" si="27"/>
        <v>0</v>
      </c>
      <c r="AK149" s="1439"/>
      <c r="AL149" s="1440"/>
      <c r="AM149" s="1502"/>
      <c r="AN149" s="1443"/>
      <c r="AO149" s="1443"/>
      <c r="AP149" s="1442"/>
      <c r="AQ149" s="1443"/>
      <c r="AR149" s="1444"/>
      <c r="AS149" s="1444"/>
      <c r="AT149" s="1444"/>
    </row>
    <row r="150" spans="1:46" ht="13.5" customHeight="1">
      <c r="A150" s="1512"/>
      <c r="B150" s="1429" t="s">
        <v>376</v>
      </c>
      <c r="C150" s="1449" t="s">
        <v>434</v>
      </c>
      <c r="D150" s="1449"/>
      <c r="E150" s="1449"/>
      <c r="F150" s="1449"/>
      <c r="G150" s="1449"/>
      <c r="H150" s="1449"/>
      <c r="I150" s="1449"/>
      <c r="J150" s="1449"/>
      <c r="K150" s="1430" t="s">
        <v>435</v>
      </c>
      <c r="L150" s="1428"/>
      <c r="M150" s="810">
        <v>2500</v>
      </c>
      <c r="N150" s="1513"/>
      <c r="O150" s="810">
        <v>2500</v>
      </c>
      <c r="P150" s="1433">
        <v>25000</v>
      </c>
      <c r="Q150" s="1433">
        <v>2500</v>
      </c>
      <c r="R150" s="793">
        <f>+P150</f>
        <v>25000</v>
      </c>
      <c r="S150" s="1435">
        <f>+P150/Q150</f>
        <v>10</v>
      </c>
      <c r="T150" s="1436" t="s">
        <v>291</v>
      </c>
      <c r="U150" s="1437">
        <v>38581</v>
      </c>
      <c r="V150" s="793">
        <f>+R150+305.29+596.65+457.93</f>
        <v>26359.870000000003</v>
      </c>
      <c r="W150" s="793"/>
      <c r="X150" s="793"/>
      <c r="Y150" s="793"/>
      <c r="Z150" s="1479" t="s">
        <v>292</v>
      </c>
      <c r="AA150" s="1479" t="s">
        <v>436</v>
      </c>
      <c r="AB150" s="1478"/>
      <c r="AC150" s="1413"/>
      <c r="AE150" s="1414"/>
      <c r="AF150" s="1510">
        <f t="shared" si="26"/>
        <v>0</v>
      </c>
      <c r="AG150" s="1414">
        <f t="shared" si="27"/>
        <v>0</v>
      </c>
      <c r="AJ150" s="1422"/>
      <c r="AK150" s="1439" t="s">
        <v>6880</v>
      </c>
      <c r="AL150" s="1482" t="s">
        <v>376</v>
      </c>
      <c r="AM150" s="1440" t="s">
        <v>376</v>
      </c>
      <c r="AN150" s="1443" t="s">
        <v>5710</v>
      </c>
      <c r="AO150" s="1443" t="s">
        <v>5710</v>
      </c>
      <c r="AP150" s="1442" t="s">
        <v>5593</v>
      </c>
      <c r="AQ150" s="1443">
        <v>2500</v>
      </c>
      <c r="AR150" s="1444" t="s">
        <v>5711</v>
      </c>
      <c r="AS150" s="1444" t="s">
        <v>5706</v>
      </c>
      <c r="AT150" s="1444" t="s">
        <v>5609</v>
      </c>
    </row>
    <row r="151" spans="1:46" ht="13.5" customHeight="1">
      <c r="A151" s="1427"/>
      <c r="B151" s="1421" t="s">
        <v>376</v>
      </c>
      <c r="C151" s="1514" t="s">
        <v>437</v>
      </c>
      <c r="D151" s="1514"/>
      <c r="E151" s="1514"/>
      <c r="F151" s="1514"/>
      <c r="G151" s="1514"/>
      <c r="H151" s="1514"/>
      <c r="I151" s="1514"/>
      <c r="J151" s="1514"/>
      <c r="K151" s="1430" t="s">
        <v>435</v>
      </c>
      <c r="L151" s="1515">
        <f>439647</f>
        <v>439647</v>
      </c>
      <c r="M151" s="1515"/>
      <c r="N151" s="1419"/>
      <c r="O151" s="1515">
        <f>+L151-130000</f>
        <v>309647</v>
      </c>
      <c r="P151" s="1433">
        <v>11384496.25</v>
      </c>
      <c r="Q151" s="1433">
        <v>455379.85</v>
      </c>
      <c r="R151" s="793">
        <f>+P151/Q151*L151</f>
        <v>10991175</v>
      </c>
      <c r="S151" s="1435">
        <f>+P151/Q151</f>
        <v>25</v>
      </c>
      <c r="T151" s="1436" t="s">
        <v>335</v>
      </c>
      <c r="U151" s="1437">
        <v>38406</v>
      </c>
      <c r="V151" s="793"/>
      <c r="W151" s="793">
        <f>+R151+53668.5+96153.53+292447.61+80532.73-3404588.36</f>
        <v>8109389.0099999998</v>
      </c>
      <c r="X151" s="793"/>
      <c r="Y151" s="793"/>
      <c r="Z151" s="1405" t="s">
        <v>292</v>
      </c>
      <c r="AA151" s="1405" t="s">
        <v>438</v>
      </c>
      <c r="AB151" s="1465" t="s">
        <v>439</v>
      </c>
      <c r="AC151" s="1413"/>
      <c r="AE151" s="1414">
        <f>O151</f>
        <v>309647</v>
      </c>
      <c r="AF151" s="1510">
        <f t="shared" si="26"/>
        <v>0.94103422136846393</v>
      </c>
      <c r="AG151" s="1414">
        <f t="shared" si="27"/>
        <v>326025.24892649188</v>
      </c>
      <c r="AJ151" s="1422"/>
      <c r="AK151" s="1439" t="s">
        <v>6881</v>
      </c>
      <c r="AL151" s="1482" t="s">
        <v>376</v>
      </c>
      <c r="AM151" s="1440" t="s">
        <v>376</v>
      </c>
      <c r="AN151" s="1443" t="s">
        <v>5710</v>
      </c>
      <c r="AO151" s="1443" t="s">
        <v>5710</v>
      </c>
      <c r="AP151" s="1442" t="s">
        <v>5621</v>
      </c>
      <c r="AQ151" s="1443">
        <v>309647</v>
      </c>
      <c r="AR151" s="1444" t="s">
        <v>5712</v>
      </c>
      <c r="AS151" s="1444" t="s">
        <v>5706</v>
      </c>
      <c r="AT151" s="1444" t="s">
        <v>5609</v>
      </c>
    </row>
    <row r="152" spans="1:46" ht="13.5" customHeight="1">
      <c r="A152" s="1427"/>
      <c r="B152" s="1421"/>
      <c r="C152" s="1461" t="s">
        <v>440</v>
      </c>
      <c r="D152" s="1514"/>
      <c r="E152" s="1514"/>
      <c r="F152" s="1514"/>
      <c r="G152" s="1514"/>
      <c r="H152" s="1514"/>
      <c r="I152" s="1514"/>
      <c r="J152" s="1514"/>
      <c r="K152" s="1430"/>
      <c r="L152" s="1515"/>
      <c r="M152" s="1515"/>
      <c r="N152" s="1420">
        <f>SUM(N150:N151)</f>
        <v>0</v>
      </c>
      <c r="O152" s="1515"/>
      <c r="P152" s="1433"/>
      <c r="Q152" s="1433"/>
      <c r="R152" s="793"/>
      <c r="S152" s="1435"/>
      <c r="T152" s="1436"/>
      <c r="U152" s="1437"/>
      <c r="V152" s="793"/>
      <c r="W152" s="793"/>
      <c r="X152" s="793"/>
      <c r="Y152" s="793"/>
      <c r="AB152" s="1465"/>
      <c r="AC152" s="1413"/>
      <c r="AE152" s="1414"/>
      <c r="AF152" s="1510"/>
      <c r="AG152" s="1414"/>
      <c r="AK152" s="1439"/>
      <c r="AL152" s="1482"/>
      <c r="AM152" s="1440"/>
      <c r="AN152" s="1443"/>
      <c r="AO152" s="1443"/>
      <c r="AP152" s="1442"/>
      <c r="AQ152" s="1443"/>
      <c r="AR152" s="1444"/>
      <c r="AS152" s="1444"/>
      <c r="AT152" s="1444"/>
    </row>
    <row r="153" spans="1:46" ht="13.5" customHeight="1">
      <c r="A153" s="1514" t="s">
        <v>441</v>
      </c>
      <c r="B153" s="1516" t="s">
        <v>442</v>
      </c>
      <c r="C153" s="1514" t="s">
        <v>443</v>
      </c>
      <c r="D153" s="1466">
        <v>7641325</v>
      </c>
      <c r="E153" s="1447">
        <v>41060</v>
      </c>
      <c r="F153" s="1447">
        <v>41060</v>
      </c>
      <c r="G153" s="1514"/>
      <c r="H153" s="1514"/>
      <c r="I153" s="1514"/>
      <c r="J153" s="1514"/>
      <c r="K153" s="1430" t="s">
        <v>444</v>
      </c>
      <c r="L153" s="1515"/>
      <c r="M153" s="1515"/>
      <c r="N153" s="1515">
        <f>65093.54+253893.1-65093.54</f>
        <v>253893.1</v>
      </c>
      <c r="O153" s="1515"/>
      <c r="P153" s="1433"/>
      <c r="Q153" s="1433"/>
      <c r="R153" s="793"/>
      <c r="S153" s="1435"/>
      <c r="T153" s="1436"/>
      <c r="U153" s="1437"/>
      <c r="V153" s="793"/>
      <c r="W153" s="793">
        <f>7641325+475851.5+70000+17241.38-1674222.48</f>
        <v>6530195.4000000004</v>
      </c>
      <c r="X153" s="793"/>
      <c r="Y153" s="793"/>
      <c r="AB153" s="1465"/>
      <c r="AC153" s="1413"/>
      <c r="AE153" s="1414"/>
      <c r="AF153" s="1510"/>
      <c r="AG153" s="1414"/>
      <c r="AJ153" s="1414"/>
      <c r="AK153" s="1439" t="s">
        <v>5713</v>
      </c>
      <c r="AL153" s="1440" t="s">
        <v>5714</v>
      </c>
      <c r="AM153" s="1502" t="s">
        <v>5715</v>
      </c>
      <c r="AN153" s="1443" t="s">
        <v>5716</v>
      </c>
      <c r="AO153" s="1443" t="s">
        <v>5716</v>
      </c>
      <c r="AP153" s="1442" t="s">
        <v>5717</v>
      </c>
      <c r="AQ153" s="1443">
        <v>253893.1</v>
      </c>
      <c r="AR153" s="1444" t="s">
        <v>5718</v>
      </c>
      <c r="AS153" s="1444" t="s">
        <v>5719</v>
      </c>
      <c r="AT153" s="1444" t="s">
        <v>5609</v>
      </c>
    </row>
    <row r="154" spans="1:46" ht="13.5" customHeight="1">
      <c r="A154" s="1514"/>
      <c r="B154" s="1516"/>
      <c r="C154" s="1514" t="s">
        <v>445</v>
      </c>
      <c r="D154" s="1466"/>
      <c r="E154" s="1447">
        <v>41306</v>
      </c>
      <c r="F154" s="1447">
        <v>41244</v>
      </c>
      <c r="G154" s="1514"/>
      <c r="H154" s="1514"/>
      <c r="I154" s="1514"/>
      <c r="J154" s="1514"/>
      <c r="K154" s="1430" t="s">
        <v>446</v>
      </c>
      <c r="L154" s="1515"/>
      <c r="M154" s="1515"/>
      <c r="N154" s="1515">
        <v>400</v>
      </c>
      <c r="O154" s="1515"/>
      <c r="P154" s="1433"/>
      <c r="Q154" s="1433"/>
      <c r="R154" s="793"/>
      <c r="S154" s="1435"/>
      <c r="T154" s="1436"/>
      <c r="U154" s="1437"/>
      <c r="V154" s="793"/>
      <c r="W154" s="793"/>
      <c r="X154" s="793"/>
      <c r="Y154" s="793">
        <f>480000+18280</f>
        <v>498280</v>
      </c>
      <c r="AB154" s="1465"/>
      <c r="AC154" s="1413"/>
      <c r="AE154" s="1414"/>
      <c r="AF154" s="1510"/>
      <c r="AG154" s="1414"/>
      <c r="AJ154" s="1414"/>
      <c r="AK154" s="1439" t="s">
        <v>6882</v>
      </c>
      <c r="AL154" s="1443" t="s">
        <v>5720</v>
      </c>
      <c r="AM154" s="1444" t="s">
        <v>376</v>
      </c>
      <c r="AN154" s="1442" t="s">
        <v>2</v>
      </c>
      <c r="AO154" s="1442" t="s">
        <v>2</v>
      </c>
      <c r="AP154" s="1517" t="s">
        <v>5627</v>
      </c>
      <c r="AQ154" s="1443">
        <v>400</v>
      </c>
      <c r="AR154" s="1444" t="s">
        <v>5721</v>
      </c>
      <c r="AS154" s="1444" t="s">
        <v>5722</v>
      </c>
      <c r="AT154" s="1444" t="s">
        <v>5609</v>
      </c>
    </row>
    <row r="155" spans="1:46" ht="13.5" customHeight="1">
      <c r="A155" s="1461"/>
      <c r="B155" s="1462"/>
      <c r="C155" s="1463" t="s">
        <v>435</v>
      </c>
      <c r="D155" s="1463"/>
      <c r="E155" s="1463"/>
      <c r="F155" s="1463"/>
      <c r="G155" s="1463"/>
      <c r="H155" s="1463"/>
      <c r="I155" s="1463"/>
      <c r="J155" s="1463"/>
      <c r="K155" s="1463" t="s">
        <v>98</v>
      </c>
      <c r="L155" s="1446">
        <f t="shared" ref="L155:Q155" si="29">SUM(L150:L151)</f>
        <v>439647</v>
      </c>
      <c r="M155" s="1446">
        <f t="shared" si="29"/>
        <v>2500</v>
      </c>
      <c r="N155" s="1446">
        <f>SUM(N152:N154)</f>
        <v>254293.1</v>
      </c>
      <c r="O155" s="1446">
        <f>SUM(O150:O154)</f>
        <v>312147</v>
      </c>
      <c r="P155" s="1446">
        <f t="shared" si="29"/>
        <v>11409496.25</v>
      </c>
      <c r="Q155" s="1446">
        <f t="shared" si="29"/>
        <v>457879.85</v>
      </c>
      <c r="R155" s="1446">
        <f>SUM(R150:R151)</f>
        <v>11016175</v>
      </c>
      <c r="S155" s="1430"/>
      <c r="T155" s="1430"/>
      <c r="U155" s="1430"/>
      <c r="V155" s="796">
        <f>SUM(V150:V154)</f>
        <v>26359.870000000003</v>
      </c>
      <c r="W155" s="796">
        <f>SUM(W150:W154)</f>
        <v>14639584.41</v>
      </c>
      <c r="X155" s="796">
        <f>SUM(X150:X154)</f>
        <v>0</v>
      </c>
      <c r="Y155" s="796">
        <f>SUM(Y150:Y154)</f>
        <v>498280</v>
      </c>
      <c r="AB155" s="1413"/>
      <c r="AC155" s="1413"/>
      <c r="AE155" s="1414"/>
      <c r="AK155" s="1439"/>
      <c r="AL155" s="1443"/>
      <c r="AM155" s="1444"/>
      <c r="AN155" s="1442"/>
      <c r="AO155" s="1442"/>
      <c r="AP155" s="1517"/>
      <c r="AQ155" s="1443"/>
      <c r="AR155" s="1444"/>
      <c r="AS155" s="1444"/>
      <c r="AT155" s="1444"/>
    </row>
    <row r="156" spans="1:46" ht="13.5" customHeight="1">
      <c r="A156" s="1490"/>
      <c r="B156" s="1490"/>
      <c r="K156" s="1459" t="s">
        <v>365</v>
      </c>
      <c r="L156" s="1490">
        <f>+L155+L149</f>
        <v>594238.44999999995</v>
      </c>
      <c r="M156" s="1490">
        <f>+M155+M149</f>
        <v>5427.6100000000006</v>
      </c>
      <c r="N156" s="1490">
        <f>+N155+N149</f>
        <v>332340.57</v>
      </c>
      <c r="O156" s="1490">
        <f>+O155+O149</f>
        <v>331549.67</v>
      </c>
      <c r="P156" s="1490"/>
      <c r="Q156" s="1490"/>
      <c r="R156" s="1490"/>
      <c r="V156" s="801">
        <f>+V149+V155</f>
        <v>188862.34999999998</v>
      </c>
      <c r="W156" s="801">
        <f>+W149+W155</f>
        <v>15718316.18</v>
      </c>
      <c r="X156" s="801">
        <f>+X149+X155</f>
        <v>0</v>
      </c>
      <c r="Y156" s="801">
        <f>+Y149+Y155</f>
        <v>3459510.71</v>
      </c>
      <c r="AB156" s="1413"/>
      <c r="AC156" s="1413"/>
      <c r="AK156" s="1439"/>
      <c r="AL156" s="1443"/>
      <c r="AM156" s="1444"/>
      <c r="AN156" s="1442"/>
      <c r="AO156" s="1442"/>
      <c r="AP156" s="1517"/>
      <c r="AQ156" s="1443"/>
      <c r="AR156" s="1444"/>
      <c r="AS156" s="1444"/>
      <c r="AT156" s="1444"/>
    </row>
    <row r="157" spans="1:46" ht="10.15" customHeight="1">
      <c r="B157" s="1406"/>
      <c r="C157" s="1407"/>
      <c r="D157" s="1407"/>
      <c r="E157" s="1407"/>
      <c r="F157" s="1407"/>
      <c r="G157" s="1407"/>
      <c r="H157" s="1407"/>
      <c r="I157" s="1407"/>
      <c r="J157" s="1407"/>
      <c r="K157" s="1490"/>
      <c r="L157" s="1490"/>
      <c r="M157" s="1490"/>
      <c r="N157" s="1422"/>
      <c r="O157" s="1490"/>
      <c r="R157" s="1422"/>
      <c r="S157" s="799"/>
      <c r="AB157" s="1413"/>
      <c r="AC157" s="1413"/>
      <c r="AK157" s="1439"/>
      <c r="AL157" s="1443"/>
      <c r="AM157" s="1444"/>
      <c r="AN157" s="1442"/>
      <c r="AO157" s="1442"/>
      <c r="AP157" s="1517"/>
      <c r="AQ157" s="1443"/>
      <c r="AR157" s="1444"/>
      <c r="AS157" s="1444"/>
      <c r="AT157" s="1444"/>
    </row>
    <row r="158" spans="1:46" ht="10.15" customHeight="1">
      <c r="AB158" s="1413"/>
      <c r="AC158" s="1413"/>
      <c r="AK158" s="1439"/>
      <c r="AL158" s="1443"/>
      <c r="AM158" s="1444"/>
      <c r="AN158" s="1442"/>
      <c r="AO158" s="1442"/>
      <c r="AP158" s="1517"/>
      <c r="AQ158" s="1443"/>
      <c r="AR158" s="1444"/>
      <c r="AS158" s="1444"/>
      <c r="AT158" s="1444"/>
    </row>
    <row r="159" spans="1:46" ht="10.15" customHeight="1">
      <c r="AB159" s="1413"/>
      <c r="AC159" s="1413"/>
      <c r="AK159" s="1439"/>
      <c r="AL159" s="1443"/>
      <c r="AM159" s="1444"/>
      <c r="AN159" s="1442"/>
      <c r="AO159" s="1442"/>
      <c r="AP159" s="1517"/>
      <c r="AQ159" s="1443"/>
      <c r="AR159" s="1444"/>
      <c r="AS159" s="1444"/>
      <c r="AT159" s="1444"/>
    </row>
    <row r="160" spans="1:46" ht="10.15" customHeight="1">
      <c r="AB160" s="1413"/>
      <c r="AC160" s="1413"/>
      <c r="AK160" s="1439"/>
      <c r="AL160" s="1443"/>
      <c r="AM160" s="1444"/>
      <c r="AN160" s="1442"/>
      <c r="AO160" s="1442"/>
      <c r="AP160" s="1517"/>
      <c r="AQ160" s="1443"/>
      <c r="AR160" s="1444"/>
      <c r="AS160" s="1444"/>
      <c r="AT160" s="1444"/>
    </row>
    <row r="161" spans="1:46" ht="12" customHeight="1">
      <c r="A161" s="1960" t="s">
        <v>447</v>
      </c>
      <c r="B161" s="1961"/>
      <c r="C161" s="1961"/>
      <c r="D161" s="1961"/>
      <c r="E161" s="1961"/>
      <c r="F161" s="1961"/>
      <c r="G161" s="1961"/>
      <c r="H161" s="1961"/>
      <c r="I161" s="1961"/>
      <c r="J161" s="1961"/>
      <c r="K161" s="1961"/>
      <c r="L161" s="1961"/>
      <c r="M161" s="1961"/>
      <c r="N161" s="1961"/>
      <c r="O161" s="1962"/>
      <c r="P161" s="1408"/>
      <c r="Q161" s="1409"/>
      <c r="R161" s="1410"/>
      <c r="S161" s="1411"/>
      <c r="T161" s="1412"/>
      <c r="U161" s="1410"/>
      <c r="V161" s="789"/>
      <c r="W161" s="790"/>
      <c r="X161" s="790"/>
      <c r="Y161" s="791"/>
      <c r="AB161" s="1413"/>
      <c r="AC161" s="1413"/>
      <c r="AF161" s="1414">
        <f>SUM(AE164:AE191)</f>
        <v>507079.2900000001</v>
      </c>
      <c r="AG161" s="1414">
        <v>283232.43</v>
      </c>
      <c r="AK161" s="1439"/>
      <c r="AL161" s="1443"/>
      <c r="AM161" s="1444"/>
      <c r="AN161" s="1442"/>
      <c r="AO161" s="1442"/>
      <c r="AP161" s="1517"/>
      <c r="AQ161" s="1443"/>
      <c r="AR161" s="1444"/>
      <c r="AS161" s="1444"/>
      <c r="AT161" s="1444"/>
    </row>
    <row r="162" spans="1:46" ht="12.75" customHeight="1">
      <c r="A162" s="1518" t="s">
        <v>448</v>
      </c>
      <c r="B162" s="1416"/>
      <c r="C162" s="1519"/>
      <c r="D162" s="1417" t="s">
        <v>257</v>
      </c>
      <c r="E162" s="1418" t="s">
        <v>258</v>
      </c>
      <c r="F162" s="1418" t="s">
        <v>259</v>
      </c>
      <c r="G162" s="1418" t="s">
        <v>260</v>
      </c>
      <c r="H162" s="1418" t="s">
        <v>261</v>
      </c>
      <c r="I162" s="1418" t="s">
        <v>262</v>
      </c>
      <c r="J162" s="1418" t="s">
        <v>263</v>
      </c>
      <c r="K162" s="1963" t="s">
        <v>264</v>
      </c>
      <c r="L162" s="1964"/>
      <c r="M162" s="1964"/>
      <c r="N162" s="1964" t="s">
        <v>265</v>
      </c>
      <c r="O162" s="1965"/>
      <c r="P162" s="1466"/>
      <c r="Q162" s="1466"/>
      <c r="R162" s="1421" t="s">
        <v>367</v>
      </c>
      <c r="S162" s="1421" t="s">
        <v>267</v>
      </c>
      <c r="T162" s="1421"/>
      <c r="U162" s="1421"/>
      <c r="V162" s="1966" t="s">
        <v>268</v>
      </c>
      <c r="W162" s="1967"/>
      <c r="X162" s="1967"/>
      <c r="Y162" s="1968"/>
      <c r="AB162" s="1413"/>
      <c r="AC162" s="1413"/>
      <c r="AF162" s="1423">
        <v>1</v>
      </c>
      <c r="AK162" s="1439"/>
      <c r="AL162" s="1443"/>
      <c r="AM162" s="1444"/>
      <c r="AN162" s="1442"/>
      <c r="AO162" s="1442"/>
      <c r="AP162" s="1517"/>
      <c r="AQ162" s="1443"/>
      <c r="AR162" s="1444"/>
      <c r="AS162" s="1444"/>
      <c r="AT162" s="1444"/>
    </row>
    <row r="163" spans="1:46" ht="12.75" customHeight="1">
      <c r="A163" s="1461" t="s">
        <v>269</v>
      </c>
      <c r="B163" s="1462" t="s">
        <v>270</v>
      </c>
      <c r="C163" s="1461" t="s">
        <v>271</v>
      </c>
      <c r="D163" s="1427"/>
      <c r="E163" s="1427"/>
      <c r="F163" s="1427"/>
      <c r="G163" s="1427"/>
      <c r="H163" s="1427"/>
      <c r="I163" s="1427"/>
      <c r="J163" s="1427"/>
      <c r="K163" s="1427" t="s">
        <v>272</v>
      </c>
      <c r="L163" s="1487" t="s">
        <v>370</v>
      </c>
      <c r="M163" s="1462" t="s">
        <v>274</v>
      </c>
      <c r="N163" s="1462" t="s">
        <v>371</v>
      </c>
      <c r="O163" s="1462" t="s">
        <v>276</v>
      </c>
      <c r="P163" s="1428" t="s">
        <v>277</v>
      </c>
      <c r="Q163" s="1460" t="s">
        <v>278</v>
      </c>
      <c r="R163" s="1429" t="s">
        <v>279</v>
      </c>
      <c r="S163" s="1429" t="s">
        <v>280</v>
      </c>
      <c r="T163" s="1429" t="s">
        <v>281</v>
      </c>
      <c r="U163" s="1429" t="s">
        <v>282</v>
      </c>
      <c r="V163" s="792" t="s">
        <v>283</v>
      </c>
      <c r="W163" s="792" t="s">
        <v>284</v>
      </c>
      <c r="X163" s="792" t="s">
        <v>285</v>
      </c>
      <c r="Y163" s="792" t="s">
        <v>286</v>
      </c>
      <c r="AB163" s="1413"/>
      <c r="AC163" s="1413"/>
      <c r="AK163" s="1439"/>
      <c r="AL163" s="1443"/>
      <c r="AM163" s="1444"/>
      <c r="AN163" s="1442"/>
      <c r="AO163" s="1442"/>
      <c r="AP163" s="1517"/>
      <c r="AQ163" s="1443"/>
      <c r="AR163" s="1444"/>
      <c r="AS163" s="1444"/>
      <c r="AT163" s="1444"/>
    </row>
    <row r="164" spans="1:46" ht="12.75" customHeight="1">
      <c r="A164" s="1430">
        <v>2</v>
      </c>
      <c r="B164" s="1431" t="s">
        <v>449</v>
      </c>
      <c r="C164" s="1430" t="s">
        <v>450</v>
      </c>
      <c r="D164" s="1430"/>
      <c r="E164" s="1430"/>
      <c r="F164" s="1430"/>
      <c r="G164" s="1430"/>
      <c r="H164" s="1430"/>
      <c r="I164" s="1430"/>
      <c r="J164" s="1430"/>
      <c r="K164" s="1433" t="s">
        <v>451</v>
      </c>
      <c r="L164" s="1433"/>
      <c r="M164" s="794">
        <v>5147.29</v>
      </c>
      <c r="N164" s="1433"/>
      <c r="O164" s="811">
        <v>5147.29</v>
      </c>
      <c r="P164" s="1433">
        <v>1029458</v>
      </c>
      <c r="Q164" s="1433">
        <v>5147.29</v>
      </c>
      <c r="R164" s="1433">
        <f>+P164</f>
        <v>1029458</v>
      </c>
      <c r="S164" s="1435">
        <f>+P164/Q164</f>
        <v>200</v>
      </c>
      <c r="T164" s="1436" t="s">
        <v>291</v>
      </c>
      <c r="U164" s="1437">
        <v>38581</v>
      </c>
      <c r="V164" s="793">
        <f>+R164+3804.37+2875.05</f>
        <v>1036137.42</v>
      </c>
      <c r="W164" s="793"/>
      <c r="X164" s="793"/>
      <c r="Y164" s="793"/>
      <c r="Z164" s="1405" t="s">
        <v>292</v>
      </c>
      <c r="AA164" s="1405" t="s">
        <v>452</v>
      </c>
      <c r="AB164" s="1413"/>
      <c r="AC164" s="1413"/>
      <c r="AD164" s="1414"/>
      <c r="AE164" s="1414">
        <f>O164</f>
        <v>5147.29</v>
      </c>
      <c r="AF164" s="1510">
        <f>AE164/$AF$161</f>
        <v>1.0150858261239577E-2</v>
      </c>
      <c r="AG164" s="1414">
        <f>$AG$161*AF164</f>
        <v>2875.0522519164601</v>
      </c>
      <c r="AJ164" s="1414"/>
      <c r="AK164" s="1439" t="s">
        <v>6883</v>
      </c>
      <c r="AL164" s="1440" t="s">
        <v>5591</v>
      </c>
      <c r="AM164" s="1502" t="s">
        <v>5723</v>
      </c>
      <c r="AN164" s="1500" t="s">
        <v>451</v>
      </c>
      <c r="AO164" s="1500" t="s">
        <v>451</v>
      </c>
      <c r="AP164" s="1442" t="s">
        <v>5593</v>
      </c>
      <c r="AQ164" s="1443">
        <v>5147.29</v>
      </c>
      <c r="AR164" s="1444" t="s">
        <v>5724</v>
      </c>
      <c r="AS164" s="1444" t="s">
        <v>5725</v>
      </c>
      <c r="AT164" s="1444" t="s">
        <v>5609</v>
      </c>
    </row>
    <row r="165" spans="1:46" ht="12.75" customHeight="1">
      <c r="A165" s="1430">
        <v>3</v>
      </c>
      <c r="B165" s="1431">
        <v>1</v>
      </c>
      <c r="C165" s="1430" t="s">
        <v>385</v>
      </c>
      <c r="D165" s="1430"/>
      <c r="E165" s="1430"/>
      <c r="F165" s="1430"/>
      <c r="G165" s="1430"/>
      <c r="H165" s="1430"/>
      <c r="I165" s="1430"/>
      <c r="J165" s="1430"/>
      <c r="K165" s="1433" t="s">
        <v>451</v>
      </c>
      <c r="L165" s="794">
        <v>9223.2800000000007</v>
      </c>
      <c r="M165" s="1430"/>
      <c r="N165" s="794">
        <f>9223.28-2503.35</f>
        <v>6719.93</v>
      </c>
      <c r="O165" s="1508"/>
      <c r="P165" s="1433">
        <v>904455.93</v>
      </c>
      <c r="Q165" s="1433">
        <v>9243.2900000000009</v>
      </c>
      <c r="R165" s="793">
        <f>+P165/Q165*L165</f>
        <v>902497.95149242319</v>
      </c>
      <c r="S165" s="1435">
        <f>+P165/Q165</f>
        <v>97.85000037865305</v>
      </c>
      <c r="T165" s="1436" t="s">
        <v>335</v>
      </c>
      <c r="U165" s="1437">
        <v>38412</v>
      </c>
      <c r="V165" s="793"/>
      <c r="W165" s="793"/>
      <c r="X165" s="793"/>
      <c r="Y165" s="793">
        <f>+R165-244952.8+4966.71+3753.46</f>
        <v>666265.32149242307</v>
      </c>
      <c r="Z165" s="1405" t="s">
        <v>292</v>
      </c>
      <c r="AA165" s="1405" t="s">
        <v>453</v>
      </c>
      <c r="AB165" s="1413" t="s">
        <v>454</v>
      </c>
      <c r="AC165" s="1413"/>
      <c r="AD165" s="1414"/>
      <c r="AE165" s="1414">
        <f>N165</f>
        <v>6719.93</v>
      </c>
      <c r="AF165" s="1510">
        <f t="shared" ref="AF165:AF190" si="30">AE165/$AF$161</f>
        <v>1.325222727987964E-2</v>
      </c>
      <c r="AG165" s="1414">
        <f t="shared" ref="AG165:AG191" si="31">$AG$161*AF165</f>
        <v>3753.4605353926004</v>
      </c>
      <c r="AJ165" s="1414"/>
      <c r="AK165" s="1439" t="s">
        <v>6884</v>
      </c>
      <c r="AL165" s="1440" t="s">
        <v>5674</v>
      </c>
      <c r="AM165" s="1502" t="s">
        <v>5691</v>
      </c>
      <c r="AN165" s="1443" t="s">
        <v>451</v>
      </c>
      <c r="AO165" s="1443" t="s">
        <v>451</v>
      </c>
      <c r="AP165" s="1442" t="s">
        <v>5621</v>
      </c>
      <c r="AQ165" s="1443">
        <v>6719.93</v>
      </c>
      <c r="AR165" s="1444" t="s">
        <v>5726</v>
      </c>
      <c r="AS165" s="1444" t="s">
        <v>5725</v>
      </c>
      <c r="AT165" s="1444" t="s">
        <v>5609</v>
      </c>
    </row>
    <row r="166" spans="1:46" ht="12.75" customHeight="1">
      <c r="A166" s="1430">
        <v>3</v>
      </c>
      <c r="B166" s="1431">
        <v>6</v>
      </c>
      <c r="C166" s="1430" t="s">
        <v>385</v>
      </c>
      <c r="D166" s="1430"/>
      <c r="E166" s="1430"/>
      <c r="F166" s="1430"/>
      <c r="G166" s="1430"/>
      <c r="H166" s="1430"/>
      <c r="I166" s="1430"/>
      <c r="J166" s="1430"/>
      <c r="K166" s="1433" t="s">
        <v>451</v>
      </c>
      <c r="L166" s="1433">
        <v>9265</v>
      </c>
      <c r="M166" s="794"/>
      <c r="N166" s="1433">
        <v>9265</v>
      </c>
      <c r="O166" s="1508"/>
      <c r="P166" s="1433">
        <v>880175</v>
      </c>
      <c r="Q166" s="1433">
        <f>+L166</f>
        <v>9265</v>
      </c>
      <c r="R166" s="793">
        <f>+P166</f>
        <v>880175</v>
      </c>
      <c r="S166" s="1435">
        <f>+P166/Q166</f>
        <v>95</v>
      </c>
      <c r="T166" s="1436" t="s">
        <v>335</v>
      </c>
      <c r="U166" s="1437">
        <v>38412</v>
      </c>
      <c r="V166" s="793"/>
      <c r="W166" s="793"/>
      <c r="X166" s="793"/>
      <c r="Y166" s="793">
        <f>+R166+6847.77+5175.03</f>
        <v>892197.8</v>
      </c>
      <c r="Z166" s="1405" t="s">
        <v>292</v>
      </c>
      <c r="AA166" s="1405" t="s">
        <v>453</v>
      </c>
      <c r="AB166" s="1413"/>
      <c r="AC166" s="1413"/>
      <c r="AD166" s="1414"/>
      <c r="AE166" s="1414">
        <f>N166</f>
        <v>9265</v>
      </c>
      <c r="AF166" s="1510">
        <f t="shared" si="30"/>
        <v>1.8271304276694083E-2</v>
      </c>
      <c r="AG166" s="1414">
        <f t="shared" si="31"/>
        <v>5175.0259095574575</v>
      </c>
      <c r="AJ166" s="1414"/>
      <c r="AK166" s="1439" t="s">
        <v>6885</v>
      </c>
      <c r="AL166" s="1440" t="s">
        <v>5674</v>
      </c>
      <c r="AM166" s="1502" t="s">
        <v>5677</v>
      </c>
      <c r="AN166" s="1443" t="s">
        <v>451</v>
      </c>
      <c r="AO166" s="1443" t="s">
        <v>451</v>
      </c>
      <c r="AP166" s="1442" t="s">
        <v>5621</v>
      </c>
      <c r="AQ166" s="1443">
        <v>9265</v>
      </c>
      <c r="AR166" s="1444" t="s">
        <v>5726</v>
      </c>
      <c r="AS166" s="1444" t="s">
        <v>5725</v>
      </c>
      <c r="AT166" s="1444" t="s">
        <v>5609</v>
      </c>
    </row>
    <row r="167" spans="1:46" ht="12.75" customHeight="1">
      <c r="A167" s="1430">
        <v>3</v>
      </c>
      <c r="B167" s="1431">
        <v>7</v>
      </c>
      <c r="C167" s="1430" t="s">
        <v>385</v>
      </c>
      <c r="D167" s="1430"/>
      <c r="E167" s="1430"/>
      <c r="F167" s="1430"/>
      <c r="G167" s="1430"/>
      <c r="H167" s="1430"/>
      <c r="I167" s="1430"/>
      <c r="J167" s="1430"/>
      <c r="K167" s="1433" t="s">
        <v>451</v>
      </c>
      <c r="L167" s="1433">
        <v>9265</v>
      </c>
      <c r="M167" s="794"/>
      <c r="N167" s="1433">
        <v>9265</v>
      </c>
      <c r="O167" s="1508"/>
      <c r="P167" s="1433">
        <v>880175</v>
      </c>
      <c r="Q167" s="1433">
        <f>+L167</f>
        <v>9265</v>
      </c>
      <c r="R167" s="793">
        <f>+P167</f>
        <v>880175</v>
      </c>
      <c r="S167" s="1435">
        <f t="shared" ref="S167:S191" si="32">+P167/Q167</f>
        <v>95</v>
      </c>
      <c r="T167" s="1436" t="s">
        <v>335</v>
      </c>
      <c r="U167" s="1437">
        <v>38412</v>
      </c>
      <c r="V167" s="793"/>
      <c r="W167" s="793"/>
      <c r="X167" s="793"/>
      <c r="Y167" s="793">
        <f>+R167+6847.77+5175.03</f>
        <v>892197.8</v>
      </c>
      <c r="Z167" s="1405" t="s">
        <v>292</v>
      </c>
      <c r="AA167" s="1405" t="s">
        <v>453</v>
      </c>
      <c r="AB167" s="1413"/>
      <c r="AC167" s="1413"/>
      <c r="AD167" s="1414"/>
      <c r="AE167" s="1414">
        <f>N167</f>
        <v>9265</v>
      </c>
      <c r="AF167" s="1510">
        <f t="shared" si="30"/>
        <v>1.8271304276694083E-2</v>
      </c>
      <c r="AG167" s="1414">
        <f t="shared" si="31"/>
        <v>5175.0259095574575</v>
      </c>
      <c r="AJ167" s="1414"/>
      <c r="AK167" s="1439" t="s">
        <v>6886</v>
      </c>
      <c r="AL167" s="1440" t="s">
        <v>5674</v>
      </c>
      <c r="AM167" s="1502" t="s">
        <v>5672</v>
      </c>
      <c r="AN167" s="1443" t="s">
        <v>451</v>
      </c>
      <c r="AO167" s="1443" t="s">
        <v>451</v>
      </c>
      <c r="AP167" s="1442" t="s">
        <v>5621</v>
      </c>
      <c r="AQ167" s="1443">
        <v>9265</v>
      </c>
      <c r="AR167" s="1444" t="s">
        <v>5726</v>
      </c>
      <c r="AS167" s="1444" t="s">
        <v>5725</v>
      </c>
      <c r="AT167" s="1444" t="s">
        <v>5609</v>
      </c>
    </row>
    <row r="168" spans="1:46" ht="12.75" customHeight="1">
      <c r="A168" s="1430">
        <v>3</v>
      </c>
      <c r="B168" s="1431">
        <v>8</v>
      </c>
      <c r="C168" s="1430" t="s">
        <v>385</v>
      </c>
      <c r="D168" s="1430"/>
      <c r="E168" s="1430"/>
      <c r="F168" s="1430"/>
      <c r="G168" s="1430"/>
      <c r="H168" s="1430"/>
      <c r="I168" s="1430"/>
      <c r="J168" s="1430"/>
      <c r="K168" s="1433" t="s">
        <v>451</v>
      </c>
      <c r="L168" s="1433">
        <v>9265</v>
      </c>
      <c r="M168" s="794"/>
      <c r="N168" s="1433"/>
      <c r="O168" s="1508">
        <v>9265</v>
      </c>
      <c r="P168" s="1433">
        <v>660131.25</v>
      </c>
      <c r="Q168" s="1433">
        <f>+L168</f>
        <v>9265</v>
      </c>
      <c r="R168" s="793">
        <f>+P168</f>
        <v>660131.25</v>
      </c>
      <c r="S168" s="1435">
        <f t="shared" si="32"/>
        <v>71.25</v>
      </c>
      <c r="T168" s="1436" t="s">
        <v>335</v>
      </c>
      <c r="U168" s="1437">
        <v>38412</v>
      </c>
      <c r="V168" s="793"/>
      <c r="W168" s="793">
        <f>+R168+6847.77+5175.03</f>
        <v>672154.05</v>
      </c>
      <c r="X168" s="793"/>
      <c r="Y168" s="793"/>
      <c r="Z168" s="1405" t="s">
        <v>292</v>
      </c>
      <c r="AA168" s="1405" t="s">
        <v>453</v>
      </c>
      <c r="AB168" s="1413"/>
      <c r="AC168" s="1413"/>
      <c r="AD168" s="1414"/>
      <c r="AE168" s="1414">
        <f>O168</f>
        <v>9265</v>
      </c>
      <c r="AF168" s="1510">
        <f t="shared" si="30"/>
        <v>1.8271304276694083E-2</v>
      </c>
      <c r="AG168" s="1414">
        <f t="shared" si="31"/>
        <v>5175.0259095574575</v>
      </c>
      <c r="AJ168" s="1414"/>
      <c r="AK168" s="1439" t="s">
        <v>6887</v>
      </c>
      <c r="AL168" s="1440" t="s">
        <v>5674</v>
      </c>
      <c r="AM168" s="1502" t="s">
        <v>5678</v>
      </c>
      <c r="AN168" s="1443" t="s">
        <v>451</v>
      </c>
      <c r="AO168" s="1443" t="s">
        <v>451</v>
      </c>
      <c r="AP168" s="1442" t="s">
        <v>5621</v>
      </c>
      <c r="AQ168" s="1443">
        <v>9265</v>
      </c>
      <c r="AR168" s="1444" t="s">
        <v>5726</v>
      </c>
      <c r="AS168" s="1444" t="s">
        <v>5725</v>
      </c>
      <c r="AT168" s="1444" t="s">
        <v>5609</v>
      </c>
    </row>
    <row r="169" spans="1:46" ht="12.75" customHeight="1">
      <c r="A169" s="1430">
        <v>3</v>
      </c>
      <c r="B169" s="1431">
        <v>9</v>
      </c>
      <c r="C169" s="1430" t="s">
        <v>385</v>
      </c>
      <c r="D169" s="1430"/>
      <c r="E169" s="1430"/>
      <c r="F169" s="1430"/>
      <c r="G169" s="1430"/>
      <c r="H169" s="1430"/>
      <c r="I169" s="1430"/>
      <c r="J169" s="1430"/>
      <c r="K169" s="1433" t="s">
        <v>451</v>
      </c>
      <c r="L169" s="1433">
        <v>9179.16</v>
      </c>
      <c r="M169" s="794"/>
      <c r="N169" s="1414"/>
      <c r="O169" s="1508">
        <v>9179.16</v>
      </c>
      <c r="P169" s="1433">
        <v>660390.63</v>
      </c>
      <c r="Q169" s="1433">
        <v>8998.68</v>
      </c>
      <c r="R169" s="793">
        <f t="shared" ref="R169:R191" si="33">+P169/Q169*L169</f>
        <v>673635.60603008443</v>
      </c>
      <c r="S169" s="1435">
        <f t="shared" si="32"/>
        <v>73.387500166691112</v>
      </c>
      <c r="T169" s="1436" t="s">
        <v>335</v>
      </c>
      <c r="U169" s="1437">
        <v>38412</v>
      </c>
      <c r="V169" s="793"/>
      <c r="W169" s="793">
        <f>+R169+6784.32+5127.08</f>
        <v>685547.00603008433</v>
      </c>
      <c r="X169" s="793"/>
      <c r="Y169" s="793"/>
      <c r="Z169" s="1405" t="s">
        <v>292</v>
      </c>
      <c r="AA169" s="1405" t="s">
        <v>453</v>
      </c>
      <c r="AB169" s="1413"/>
      <c r="AC169" s="1413"/>
      <c r="AD169" s="1414"/>
      <c r="AE169" s="1414">
        <f>O169</f>
        <v>9179.16</v>
      </c>
      <c r="AF169" s="1510">
        <f t="shared" si="30"/>
        <v>1.8102021086288098E-2</v>
      </c>
      <c r="AG169" s="1414">
        <f t="shared" si="31"/>
        <v>5127.0794201806175</v>
      </c>
      <c r="AJ169" s="1414"/>
      <c r="AK169" s="1439" t="s">
        <v>6888</v>
      </c>
      <c r="AL169" s="1440" t="s">
        <v>5674</v>
      </c>
      <c r="AM169" s="1502" t="s">
        <v>5679</v>
      </c>
      <c r="AN169" s="1443" t="s">
        <v>451</v>
      </c>
      <c r="AO169" s="1443" t="s">
        <v>451</v>
      </c>
      <c r="AP169" s="1442" t="s">
        <v>5621</v>
      </c>
      <c r="AQ169" s="1443">
        <v>9179.16</v>
      </c>
      <c r="AR169" s="1444" t="s">
        <v>5726</v>
      </c>
      <c r="AS169" s="1444" t="s">
        <v>5725</v>
      </c>
      <c r="AT169" s="1444" t="s">
        <v>5609</v>
      </c>
    </row>
    <row r="170" spans="1:46" ht="12.75" customHeight="1">
      <c r="A170" s="1430">
        <v>4</v>
      </c>
      <c r="B170" s="1431">
        <v>3</v>
      </c>
      <c r="C170" s="1430" t="s">
        <v>385</v>
      </c>
      <c r="D170" s="1430"/>
      <c r="E170" s="1430"/>
      <c r="F170" s="1430"/>
      <c r="G170" s="1430"/>
      <c r="H170" s="1430"/>
      <c r="I170" s="1430"/>
      <c r="J170" s="1430"/>
      <c r="K170" s="1433" t="s">
        <v>451</v>
      </c>
      <c r="L170" s="1433">
        <v>17746.759999999998</v>
      </c>
      <c r="M170" s="794"/>
      <c r="N170" s="1433"/>
      <c r="O170" s="1508">
        <v>17746.759999999998</v>
      </c>
      <c r="P170" s="1433">
        <v>993866.5</v>
      </c>
      <c r="Q170" s="1433">
        <v>18724.5</v>
      </c>
      <c r="R170" s="793">
        <f t="shared" si="33"/>
        <v>941969.62522577366</v>
      </c>
      <c r="S170" s="1435">
        <f t="shared" si="32"/>
        <v>53.078399957275231</v>
      </c>
      <c r="T170" s="1436" t="s">
        <v>335</v>
      </c>
      <c r="U170" s="1437">
        <v>38412</v>
      </c>
      <c r="V170" s="793"/>
      <c r="W170" s="793">
        <f>+R170+13116.64+9912.57</f>
        <v>964998.83522577363</v>
      </c>
      <c r="X170" s="793"/>
      <c r="Y170" s="793"/>
      <c r="Z170" s="1405" t="s">
        <v>292</v>
      </c>
      <c r="AA170" s="1405" t="s">
        <v>453</v>
      </c>
      <c r="AB170" s="1413"/>
      <c r="AC170" s="1413"/>
      <c r="AD170" s="1414"/>
      <c r="AE170" s="1414">
        <f>O170</f>
        <v>17746.759999999998</v>
      </c>
      <c r="AF170" s="1510">
        <f t="shared" si="30"/>
        <v>3.499799804484225E-2</v>
      </c>
      <c r="AG170" s="1414">
        <f t="shared" si="31"/>
        <v>9912.5680313759185</v>
      </c>
      <c r="AJ170" s="1414"/>
      <c r="AK170" s="1439" t="s">
        <v>6889</v>
      </c>
      <c r="AL170" s="1440" t="s">
        <v>5645</v>
      </c>
      <c r="AM170" s="1502" t="s">
        <v>5646</v>
      </c>
      <c r="AN170" s="1443" t="s">
        <v>451</v>
      </c>
      <c r="AO170" s="1443" t="s">
        <v>451</v>
      </c>
      <c r="AP170" s="1442" t="s">
        <v>5621</v>
      </c>
      <c r="AQ170" s="1443">
        <v>17746.759999999998</v>
      </c>
      <c r="AR170" s="1444" t="s">
        <v>5727</v>
      </c>
      <c r="AS170" s="1444" t="s">
        <v>5725</v>
      </c>
      <c r="AT170" s="1444" t="s">
        <v>5609</v>
      </c>
    </row>
    <row r="171" spans="1:46" ht="12.75" customHeight="1">
      <c r="A171" s="1430">
        <v>4</v>
      </c>
      <c r="B171" s="1431">
        <v>4</v>
      </c>
      <c r="C171" s="1430" t="s">
        <v>385</v>
      </c>
      <c r="D171" s="1430"/>
      <c r="E171" s="1430"/>
      <c r="F171" s="1430"/>
      <c r="G171" s="1430"/>
      <c r="H171" s="1430"/>
      <c r="I171" s="1430"/>
      <c r="J171" s="1430"/>
      <c r="K171" s="1433" t="s">
        <v>451</v>
      </c>
      <c r="L171" s="1433">
        <v>17877.490000000002</v>
      </c>
      <c r="M171" s="794"/>
      <c r="N171" s="1433"/>
      <c r="O171" s="1508">
        <v>17877.490000000002</v>
      </c>
      <c r="P171" s="1433">
        <v>993866.5</v>
      </c>
      <c r="Q171" s="1433">
        <v>18724.5</v>
      </c>
      <c r="R171" s="793">
        <f t="shared" si="33"/>
        <v>948908.56445218844</v>
      </c>
      <c r="S171" s="1435">
        <f t="shared" si="32"/>
        <v>53.078399957275231</v>
      </c>
      <c r="T171" s="1436" t="s">
        <v>335</v>
      </c>
      <c r="U171" s="1437">
        <v>38412</v>
      </c>
      <c r="V171" s="793"/>
      <c r="W171" s="793">
        <f>+R171+13213.27+9985.59</f>
        <v>972107.42445218842</v>
      </c>
      <c r="X171" s="793"/>
      <c r="Y171" s="793"/>
      <c r="Z171" s="1405" t="s">
        <v>292</v>
      </c>
      <c r="AA171" s="1405" t="s">
        <v>453</v>
      </c>
      <c r="AB171" s="1413"/>
      <c r="AC171" s="1413"/>
      <c r="AD171" s="1414"/>
      <c r="AE171" s="1414">
        <f>O171</f>
        <v>17877.490000000002</v>
      </c>
      <c r="AF171" s="1510">
        <f t="shared" si="30"/>
        <v>3.5255807824452853E-2</v>
      </c>
      <c r="AG171" s="1414">
        <f t="shared" si="31"/>
        <v>9985.5881217327951</v>
      </c>
      <c r="AJ171" s="1414"/>
      <c r="AK171" s="1439" t="s">
        <v>6890</v>
      </c>
      <c r="AL171" s="1440" t="s">
        <v>5645</v>
      </c>
      <c r="AM171" s="1502" t="s">
        <v>5685</v>
      </c>
      <c r="AN171" s="1443" t="s">
        <v>451</v>
      </c>
      <c r="AO171" s="1443" t="s">
        <v>451</v>
      </c>
      <c r="AP171" s="1442" t="s">
        <v>5621</v>
      </c>
      <c r="AQ171" s="1443">
        <v>17877.490000000002</v>
      </c>
      <c r="AR171" s="1444" t="s">
        <v>5727</v>
      </c>
      <c r="AS171" s="1444" t="s">
        <v>5725</v>
      </c>
      <c r="AT171" s="1444" t="s">
        <v>5609</v>
      </c>
    </row>
    <row r="172" spans="1:46" ht="12.75" customHeight="1">
      <c r="A172" s="1430">
        <v>4</v>
      </c>
      <c r="B172" s="1431">
        <v>5</v>
      </c>
      <c r="C172" s="1430" t="s">
        <v>385</v>
      </c>
      <c r="D172" s="1430"/>
      <c r="E172" s="1430"/>
      <c r="F172" s="1430"/>
      <c r="G172" s="1430"/>
      <c r="H172" s="1430"/>
      <c r="I172" s="1430"/>
      <c r="J172" s="1430"/>
      <c r="K172" s="1433" t="s">
        <v>451</v>
      </c>
      <c r="L172" s="1433">
        <v>17691.8</v>
      </c>
      <c r="M172" s="794"/>
      <c r="N172" s="1433">
        <v>17691.8</v>
      </c>
      <c r="O172" s="1508"/>
      <c r="P172" s="1433">
        <v>1634036.78</v>
      </c>
      <c r="Q172" s="1433">
        <v>17917.07</v>
      </c>
      <c r="R172" s="793">
        <f t="shared" si="33"/>
        <v>1613492.1560502916</v>
      </c>
      <c r="S172" s="1435">
        <f t="shared" si="32"/>
        <v>91.199999776749209</v>
      </c>
      <c r="T172" s="1436" t="s">
        <v>335</v>
      </c>
      <c r="U172" s="1437">
        <v>38412</v>
      </c>
      <c r="V172" s="793"/>
      <c r="W172" s="793"/>
      <c r="X172" s="793"/>
      <c r="Y172" s="793">
        <f>+R172+13076.02+9881.87</f>
        <v>1636450.0460502917</v>
      </c>
      <c r="Z172" s="1405" t="s">
        <v>292</v>
      </c>
      <c r="AA172" s="1405" t="s">
        <v>453</v>
      </c>
      <c r="AB172" s="1413"/>
      <c r="AC172" s="1413"/>
      <c r="AD172" s="1414"/>
      <c r="AE172" s="1414">
        <f>N172</f>
        <v>17691.8</v>
      </c>
      <c r="AF172" s="1510">
        <f t="shared" si="30"/>
        <v>3.4889612628431335E-2</v>
      </c>
      <c r="AG172" s="1414">
        <f t="shared" si="31"/>
        <v>9881.8697665092932</v>
      </c>
      <c r="AJ172" s="1414"/>
      <c r="AK172" s="1439" t="s">
        <v>6891</v>
      </c>
      <c r="AL172" s="1440" t="s">
        <v>5645</v>
      </c>
      <c r="AM172" s="1502" t="s">
        <v>5675</v>
      </c>
      <c r="AN172" s="1443" t="s">
        <v>451</v>
      </c>
      <c r="AO172" s="1443" t="s">
        <v>451</v>
      </c>
      <c r="AP172" s="1442" t="s">
        <v>5621</v>
      </c>
      <c r="AQ172" s="1443">
        <v>17691.8</v>
      </c>
      <c r="AR172" s="1444" t="s">
        <v>5727</v>
      </c>
      <c r="AS172" s="1444" t="s">
        <v>5725</v>
      </c>
      <c r="AT172" s="1444" t="s">
        <v>5609</v>
      </c>
    </row>
    <row r="173" spans="1:46" ht="12.75" customHeight="1">
      <c r="A173" s="1430">
        <v>4</v>
      </c>
      <c r="B173" s="1488" t="s">
        <v>407</v>
      </c>
      <c r="C173" s="1430" t="s">
        <v>385</v>
      </c>
      <c r="D173" s="1430"/>
      <c r="E173" s="1430"/>
      <c r="F173" s="1430"/>
      <c r="G173" s="1430"/>
      <c r="H173" s="1430"/>
      <c r="I173" s="1430"/>
      <c r="J173" s="1430"/>
      <c r="K173" s="1433" t="s">
        <v>451</v>
      </c>
      <c r="L173" s="1433">
        <v>12043.25</v>
      </c>
      <c r="M173" s="794"/>
      <c r="N173" s="1430"/>
      <c r="O173" s="1508">
        <v>12043.25</v>
      </c>
      <c r="P173" s="1433">
        <f>1071637.06/24000.66*L173</f>
        <v>537734.921574865</v>
      </c>
      <c r="Q173" s="1433">
        <f>+L173</f>
        <v>12043.25</v>
      </c>
      <c r="R173" s="793">
        <f>+P173</f>
        <v>537734.921574865</v>
      </c>
      <c r="S173" s="1435">
        <f t="shared" si="32"/>
        <v>44.65031628296888</v>
      </c>
      <c r="T173" s="1436" t="s">
        <v>335</v>
      </c>
      <c r="U173" s="1437">
        <v>38412</v>
      </c>
      <c r="V173" s="793"/>
      <c r="W173" s="793">
        <f>+R173+8901.18+6726.84</f>
        <v>553362.94157486502</v>
      </c>
      <c r="X173" s="793"/>
      <c r="Y173" s="793"/>
      <c r="Z173" s="1405" t="s">
        <v>292</v>
      </c>
      <c r="AA173" s="1405" t="s">
        <v>453</v>
      </c>
      <c r="AB173" s="1413"/>
      <c r="AC173" s="1413"/>
      <c r="AD173" s="1414"/>
      <c r="AE173" s="1414">
        <f>O173</f>
        <v>12043.25</v>
      </c>
      <c r="AF173" s="1510">
        <f t="shared" si="30"/>
        <v>2.3750230461985537E-2</v>
      </c>
      <c r="AG173" s="1414">
        <f t="shared" si="31"/>
        <v>6726.835486808186</v>
      </c>
      <c r="AJ173" s="1414"/>
      <c r="AK173" s="1439" t="s">
        <v>6892</v>
      </c>
      <c r="AL173" s="1440" t="s">
        <v>5645</v>
      </c>
      <c r="AM173" s="1502" t="s">
        <v>5671</v>
      </c>
      <c r="AN173" s="1443" t="s">
        <v>451</v>
      </c>
      <c r="AO173" s="1443" t="s">
        <v>451</v>
      </c>
      <c r="AP173" s="1442" t="s">
        <v>5621</v>
      </c>
      <c r="AQ173" s="1443">
        <v>12043.25</v>
      </c>
      <c r="AR173" s="1444" t="s">
        <v>5727</v>
      </c>
      <c r="AS173" s="1444" t="s">
        <v>5725</v>
      </c>
      <c r="AT173" s="1444" t="s">
        <v>5609</v>
      </c>
    </row>
    <row r="174" spans="1:46" ht="12.75" customHeight="1">
      <c r="A174" s="1430">
        <v>4</v>
      </c>
      <c r="B174" s="1431" t="s">
        <v>455</v>
      </c>
      <c r="C174" s="1430" t="s">
        <v>385</v>
      </c>
      <c r="D174" s="1430"/>
      <c r="E174" s="1430"/>
      <c r="F174" s="1430"/>
      <c r="G174" s="1430"/>
      <c r="H174" s="1430"/>
      <c r="I174" s="1430"/>
      <c r="J174" s="1430"/>
      <c r="K174" s="1433" t="s">
        <v>451</v>
      </c>
      <c r="L174" s="1433">
        <v>11957.41</v>
      </c>
      <c r="M174" s="794"/>
      <c r="N174" s="1433"/>
      <c r="O174" s="1508">
        <v>11957.41</v>
      </c>
      <c r="P174" s="1433">
        <f>1071637.06/24000.66*L174</f>
        <v>533902.13842513505</v>
      </c>
      <c r="Q174" s="1433">
        <f>+L174</f>
        <v>11957.41</v>
      </c>
      <c r="R174" s="793">
        <f>+P174</f>
        <v>533902.13842513505</v>
      </c>
      <c r="S174" s="1435">
        <f t="shared" si="32"/>
        <v>44.650316282968895</v>
      </c>
      <c r="T174" s="1436" t="s">
        <v>335</v>
      </c>
      <c r="U174" s="1437">
        <v>38412</v>
      </c>
      <c r="V174" s="793"/>
      <c r="W174" s="793">
        <f>+R174+8837.73+6678.89</f>
        <v>549418.75842513505</v>
      </c>
      <c r="X174" s="793"/>
      <c r="Y174" s="793"/>
      <c r="Z174" s="1405" t="s">
        <v>292</v>
      </c>
      <c r="AA174" s="1405" t="s">
        <v>453</v>
      </c>
      <c r="AB174" s="1413"/>
      <c r="AC174" s="1413"/>
      <c r="AD174" s="1414"/>
      <c r="AE174" s="1414">
        <f t="shared" ref="AE174:AE191" si="34">O174</f>
        <v>11957.41</v>
      </c>
      <c r="AF174" s="1510">
        <f>AE174/$AF$161</f>
        <v>2.3580947271579555E-2</v>
      </c>
      <c r="AG174" s="1414">
        <f t="shared" si="31"/>
        <v>6678.888997431347</v>
      </c>
      <c r="AJ174" s="1414"/>
      <c r="AK174" s="1439" t="s">
        <v>6893</v>
      </c>
      <c r="AL174" s="1440" t="s">
        <v>5645</v>
      </c>
      <c r="AM174" s="1502" t="s">
        <v>5728</v>
      </c>
      <c r="AN174" s="1443" t="s">
        <v>451</v>
      </c>
      <c r="AO174" s="1443" t="s">
        <v>451</v>
      </c>
      <c r="AP174" s="1442" t="s">
        <v>5621</v>
      </c>
      <c r="AQ174" s="1443">
        <v>11957.41</v>
      </c>
      <c r="AR174" s="1444" t="s">
        <v>5727</v>
      </c>
      <c r="AS174" s="1444" t="s">
        <v>5725</v>
      </c>
      <c r="AT174" s="1444" t="s">
        <v>5609</v>
      </c>
    </row>
    <row r="175" spans="1:46" ht="12.75" customHeight="1">
      <c r="A175" s="1430">
        <v>5</v>
      </c>
      <c r="B175" s="1431" t="s">
        <v>456</v>
      </c>
      <c r="C175" s="1430" t="s">
        <v>457</v>
      </c>
      <c r="D175" s="1430"/>
      <c r="E175" s="1430"/>
      <c r="F175" s="1430"/>
      <c r="G175" s="1430"/>
      <c r="H175" s="1430"/>
      <c r="I175" s="1430"/>
      <c r="J175" s="1430"/>
      <c r="K175" s="1433" t="s">
        <v>451</v>
      </c>
      <c r="L175" s="1433">
        <v>68755.289999999994</v>
      </c>
      <c r="M175" s="794"/>
      <c r="N175" s="1433"/>
      <c r="O175" s="1508">
        <v>68755.289999999994</v>
      </c>
      <c r="P175" s="1433">
        <f>443365.76+480784.15+480784.15+400653.46+400653.46+400653.46+400653.46+459020.53</f>
        <v>3466568.4299999997</v>
      </c>
      <c r="Q175" s="1433">
        <f>7625.83+8695.68+8695.68+8695.68+8695.68+8695.68+8695.68+9663.59</f>
        <v>69463.5</v>
      </c>
      <c r="R175" s="793">
        <f t="shared" si="33"/>
        <v>3431225.2867980259</v>
      </c>
      <c r="S175" s="1435">
        <f t="shared" si="32"/>
        <v>49.904891489775203</v>
      </c>
      <c r="T175" s="1436" t="s">
        <v>335</v>
      </c>
      <c r="U175" s="1437">
        <v>38412</v>
      </c>
      <c r="V175" s="793"/>
      <c r="W175" s="793">
        <f>+R175+50817.09+38403.7</f>
        <v>3520446.076798026</v>
      </c>
      <c r="X175" s="793"/>
      <c r="Y175" s="793"/>
      <c r="Z175" s="1405" t="s">
        <v>292</v>
      </c>
      <c r="AA175" s="1405" t="s">
        <v>453</v>
      </c>
      <c r="AB175" s="1413"/>
      <c r="AC175" s="1413"/>
      <c r="AD175" s="1414"/>
      <c r="AE175" s="1414">
        <f t="shared" si="34"/>
        <v>68755.289999999994</v>
      </c>
      <c r="AF175" s="1510">
        <f t="shared" si="30"/>
        <v>0.13559080671584908</v>
      </c>
      <c r="AG175" s="1414">
        <f t="shared" si="31"/>
        <v>38403.713671790254</v>
      </c>
      <c r="AH175" s="1414"/>
      <c r="AJ175" s="1414"/>
      <c r="AK175" s="1439" t="s">
        <v>6894</v>
      </c>
      <c r="AL175" s="1440" t="s">
        <v>5703</v>
      </c>
      <c r="AM175" s="1502" t="s">
        <v>5729</v>
      </c>
      <c r="AN175" s="1443" t="s">
        <v>451</v>
      </c>
      <c r="AO175" s="1443" t="s">
        <v>451</v>
      </c>
      <c r="AP175" s="1442" t="s">
        <v>5621</v>
      </c>
      <c r="AQ175" s="1443">
        <v>68755.289999999994</v>
      </c>
      <c r="AR175" s="1444" t="s">
        <v>5730</v>
      </c>
      <c r="AS175" s="1444" t="s">
        <v>5725</v>
      </c>
      <c r="AT175" s="1444" t="s">
        <v>5609</v>
      </c>
    </row>
    <row r="176" spans="1:46" ht="12.75" customHeight="1">
      <c r="A176" s="1430">
        <v>6</v>
      </c>
      <c r="B176" s="1431">
        <v>1</v>
      </c>
      <c r="C176" s="1430" t="s">
        <v>385</v>
      </c>
      <c r="D176" s="1430"/>
      <c r="E176" s="1430"/>
      <c r="F176" s="1430"/>
      <c r="G176" s="1430"/>
      <c r="H176" s="1430"/>
      <c r="I176" s="1430"/>
      <c r="J176" s="1430"/>
      <c r="K176" s="1433" t="s">
        <v>451</v>
      </c>
      <c r="L176" s="1433">
        <v>11895.72</v>
      </c>
      <c r="M176" s="794"/>
      <c r="N176" s="1433"/>
      <c r="O176" s="1508">
        <v>11895.72</v>
      </c>
      <c r="P176" s="1433">
        <v>797859.36</v>
      </c>
      <c r="Q176" s="1433">
        <v>10871.87</v>
      </c>
      <c r="R176" s="793">
        <f t="shared" si="33"/>
        <v>872997.15191031515</v>
      </c>
      <c r="S176" s="1435">
        <f t="shared" si="32"/>
        <v>73.387500034492675</v>
      </c>
      <c r="T176" s="1436" t="s">
        <v>335</v>
      </c>
      <c r="U176" s="1437">
        <v>38412</v>
      </c>
      <c r="V176" s="793"/>
      <c r="W176" s="793">
        <f>+R176+8792.14+6644.43</f>
        <v>888433.72191031522</v>
      </c>
      <c r="X176" s="793"/>
      <c r="Y176" s="793"/>
      <c r="Z176" s="1405" t="s">
        <v>292</v>
      </c>
      <c r="AA176" s="1405" t="s">
        <v>453</v>
      </c>
      <c r="AB176" s="1413"/>
      <c r="AC176" s="1413"/>
      <c r="AD176" s="1414"/>
      <c r="AE176" s="1414">
        <f t="shared" si="34"/>
        <v>11895.72</v>
      </c>
      <c r="AF176" s="1510">
        <f t="shared" si="30"/>
        <v>2.3459289769061555E-2</v>
      </c>
      <c r="AG176" s="1414">
        <f t="shared" si="31"/>
        <v>6644.4316473654426</v>
      </c>
      <c r="AJ176" s="1414"/>
      <c r="AK176" s="1439" t="s">
        <v>6895</v>
      </c>
      <c r="AL176" s="1440" t="s">
        <v>5682</v>
      </c>
      <c r="AM176" s="1502" t="s">
        <v>5691</v>
      </c>
      <c r="AN176" s="1443" t="s">
        <v>451</v>
      </c>
      <c r="AO176" s="1443" t="s">
        <v>451</v>
      </c>
      <c r="AP176" s="1442" t="s">
        <v>5621</v>
      </c>
      <c r="AQ176" s="1443">
        <v>11895.72</v>
      </c>
      <c r="AR176" s="1444" t="s">
        <v>5731</v>
      </c>
      <c r="AS176" s="1444" t="s">
        <v>5725</v>
      </c>
      <c r="AT176" s="1440" t="s">
        <v>5609</v>
      </c>
    </row>
    <row r="177" spans="1:46" ht="12.75" customHeight="1">
      <c r="A177" s="1430">
        <v>6</v>
      </c>
      <c r="B177" s="1431">
        <v>2</v>
      </c>
      <c r="C177" s="1430" t="s">
        <v>385</v>
      </c>
      <c r="D177" s="1430"/>
      <c r="E177" s="1430"/>
      <c r="F177" s="1430"/>
      <c r="G177" s="1430"/>
      <c r="H177" s="1430"/>
      <c r="I177" s="1430"/>
      <c r="J177" s="1430"/>
      <c r="K177" s="1433" t="s">
        <v>451</v>
      </c>
      <c r="L177" s="1433">
        <v>10081</v>
      </c>
      <c r="M177" s="1433"/>
      <c r="N177" s="1433"/>
      <c r="O177" s="1508">
        <v>10081</v>
      </c>
      <c r="P177" s="1433">
        <v>717011.55</v>
      </c>
      <c r="Q177" s="1433">
        <v>10063.32</v>
      </c>
      <c r="R177" s="793">
        <f t="shared" si="33"/>
        <v>718271.25</v>
      </c>
      <c r="S177" s="1435">
        <f t="shared" si="32"/>
        <v>71.25</v>
      </c>
      <c r="T177" s="1436" t="s">
        <v>335</v>
      </c>
      <c r="U177" s="1437">
        <v>38412</v>
      </c>
      <c r="V177" s="793"/>
      <c r="W177" s="793">
        <f>+R177+7450.88+5630.81</f>
        <v>731352.94000000006</v>
      </c>
      <c r="X177" s="793"/>
      <c r="Y177" s="793"/>
      <c r="Z177" s="1405" t="s">
        <v>292</v>
      </c>
      <c r="AA177" s="1405" t="s">
        <v>453</v>
      </c>
      <c r="AB177" s="1413"/>
      <c r="AC177" s="1413"/>
      <c r="AD177" s="1414"/>
      <c r="AE177" s="1414">
        <f t="shared" si="34"/>
        <v>10081</v>
      </c>
      <c r="AF177" s="1510">
        <f t="shared" si="30"/>
        <v>1.9880520066201082E-2</v>
      </c>
      <c r="AG177" s="1414">
        <f t="shared" si="31"/>
        <v>5630.8080080138934</v>
      </c>
      <c r="AJ177" s="1414"/>
      <c r="AK177" s="1439" t="s">
        <v>6896</v>
      </c>
      <c r="AL177" s="1440" t="s">
        <v>5682</v>
      </c>
      <c r="AM177" s="1502" t="s">
        <v>5694</v>
      </c>
      <c r="AN177" s="1443" t="s">
        <v>451</v>
      </c>
      <c r="AO177" s="1443" t="s">
        <v>451</v>
      </c>
      <c r="AP177" s="1442" t="s">
        <v>5621</v>
      </c>
      <c r="AQ177" s="1443">
        <v>10081</v>
      </c>
      <c r="AR177" s="1444" t="s">
        <v>5731</v>
      </c>
      <c r="AS177" s="1444" t="s">
        <v>5725</v>
      </c>
      <c r="AT177" s="1440" t="s">
        <v>5609</v>
      </c>
    </row>
    <row r="178" spans="1:46" ht="12.75" customHeight="1">
      <c r="A178" s="1430">
        <v>6</v>
      </c>
      <c r="B178" s="1431">
        <v>3</v>
      </c>
      <c r="C178" s="1430" t="s">
        <v>385</v>
      </c>
      <c r="D178" s="1430"/>
      <c r="E178" s="1430"/>
      <c r="F178" s="1430"/>
      <c r="G178" s="1430"/>
      <c r="H178" s="1430"/>
      <c r="I178" s="1430"/>
      <c r="J178" s="1430"/>
      <c r="K178" s="1433" t="s">
        <v>451</v>
      </c>
      <c r="L178" s="1433">
        <v>12540.47</v>
      </c>
      <c r="M178" s="1433"/>
      <c r="N178" s="1433"/>
      <c r="O178" s="1508">
        <v>12540.47</v>
      </c>
      <c r="P178" s="1433">
        <v>883001.83</v>
      </c>
      <c r="Q178" s="1433">
        <v>12518.19</v>
      </c>
      <c r="R178" s="793">
        <f t="shared" si="33"/>
        <v>884573.4055051168</v>
      </c>
      <c r="S178" s="1435">
        <f t="shared" si="32"/>
        <v>70.537500229665781</v>
      </c>
      <c r="T178" s="1436" t="s">
        <v>335</v>
      </c>
      <c r="U178" s="1437">
        <v>38412</v>
      </c>
      <c r="V178" s="793"/>
      <c r="W178" s="793">
        <f>+R178+9268.67+7004.56</f>
        <v>900846.63550511689</v>
      </c>
      <c r="X178" s="793"/>
      <c r="Y178" s="793"/>
      <c r="Z178" s="1405" t="s">
        <v>292</v>
      </c>
      <c r="AA178" s="1405" t="s">
        <v>453</v>
      </c>
      <c r="AB178" s="1413"/>
      <c r="AC178" s="1413"/>
      <c r="AD178" s="1414"/>
      <c r="AE178" s="1414">
        <f t="shared" si="34"/>
        <v>12540.47</v>
      </c>
      <c r="AF178" s="1510">
        <f t="shared" si="30"/>
        <v>2.4730787171371161E-2</v>
      </c>
      <c r="AG178" s="1414">
        <f t="shared" si="31"/>
        <v>7004.5609463602805</v>
      </c>
      <c r="AJ178" s="1414"/>
      <c r="AK178" s="1439" t="s">
        <v>6897</v>
      </c>
      <c r="AL178" s="1440" t="s">
        <v>5732</v>
      </c>
      <c r="AM178" s="1502" t="s">
        <v>5646</v>
      </c>
      <c r="AN178" s="1443" t="s">
        <v>451</v>
      </c>
      <c r="AO178" s="1443" t="s">
        <v>451</v>
      </c>
      <c r="AP178" s="1442" t="s">
        <v>5621</v>
      </c>
      <c r="AQ178" s="1443">
        <v>12540.47</v>
      </c>
      <c r="AR178" s="1444" t="s">
        <v>5731</v>
      </c>
      <c r="AS178" s="1444" t="s">
        <v>5725</v>
      </c>
      <c r="AT178" s="1440" t="s">
        <v>5609</v>
      </c>
    </row>
    <row r="179" spans="1:46" ht="12.75" customHeight="1">
      <c r="A179" s="1430">
        <v>7</v>
      </c>
      <c r="B179" s="1431">
        <v>1</v>
      </c>
      <c r="C179" s="1430" t="s">
        <v>385</v>
      </c>
      <c r="D179" s="1430"/>
      <c r="E179" s="1430"/>
      <c r="F179" s="1430"/>
      <c r="G179" s="1430"/>
      <c r="H179" s="1430"/>
      <c r="I179" s="1430"/>
      <c r="J179" s="1430"/>
      <c r="K179" s="1433" t="s">
        <v>451</v>
      </c>
      <c r="L179" s="1433">
        <v>18322.03</v>
      </c>
      <c r="M179" s="1433"/>
      <c r="N179" s="1433"/>
      <c r="O179" s="1508">
        <v>18322.03</v>
      </c>
      <c r="P179" s="1433">
        <v>1338628.56</v>
      </c>
      <c r="Q179" s="1433">
        <v>18638.66</v>
      </c>
      <c r="R179" s="793">
        <f t="shared" si="33"/>
        <v>1315888.1934203852</v>
      </c>
      <c r="S179" s="1435">
        <f t="shared" si="32"/>
        <v>71.819999935617687</v>
      </c>
      <c r="T179" s="1436" t="s">
        <v>335</v>
      </c>
      <c r="U179" s="1437">
        <v>38412</v>
      </c>
      <c r="V179" s="793"/>
      <c r="W179" s="793">
        <f>+R179+13541.83+10233.88</f>
        <v>1339663.9034203852</v>
      </c>
      <c r="X179" s="793"/>
      <c r="Y179" s="793"/>
      <c r="Z179" s="1405" t="s">
        <v>292</v>
      </c>
      <c r="AA179" s="1405" t="s">
        <v>453</v>
      </c>
      <c r="AB179" s="1413"/>
      <c r="AC179" s="1413"/>
      <c r="AD179" s="1414"/>
      <c r="AE179" s="1414">
        <f t="shared" si="34"/>
        <v>18322.03</v>
      </c>
      <c r="AF179" s="1510">
        <f t="shared" si="30"/>
        <v>3.6132475455662949E-2</v>
      </c>
      <c r="AG179" s="1414">
        <f t="shared" si="31"/>
        <v>10233.888825222773</v>
      </c>
      <c r="AJ179" s="1414"/>
      <c r="AK179" s="1439" t="s">
        <v>6898</v>
      </c>
      <c r="AL179" s="1440" t="s">
        <v>5597</v>
      </c>
      <c r="AM179" s="1502" t="s">
        <v>5691</v>
      </c>
      <c r="AN179" s="1443" t="s">
        <v>451</v>
      </c>
      <c r="AO179" s="1443" t="s">
        <v>451</v>
      </c>
      <c r="AP179" s="1442" t="s">
        <v>5621</v>
      </c>
      <c r="AQ179" s="1443">
        <v>18322.03</v>
      </c>
      <c r="AR179" s="1444" t="s">
        <v>5733</v>
      </c>
      <c r="AS179" s="1444" t="s">
        <v>5725</v>
      </c>
      <c r="AT179" s="1440" t="s">
        <v>5609</v>
      </c>
    </row>
    <row r="180" spans="1:46" ht="12.75" customHeight="1">
      <c r="A180" s="1430">
        <v>7</v>
      </c>
      <c r="B180" s="1431">
        <v>2</v>
      </c>
      <c r="C180" s="1430" t="s">
        <v>385</v>
      </c>
      <c r="D180" s="1430"/>
      <c r="E180" s="1430"/>
      <c r="F180" s="1430"/>
      <c r="G180" s="1430"/>
      <c r="H180" s="1430"/>
      <c r="I180" s="1430"/>
      <c r="J180" s="1430"/>
      <c r="K180" s="1433" t="s">
        <v>451</v>
      </c>
      <c r="L180" s="1433">
        <v>18407.87</v>
      </c>
      <c r="M180" s="794"/>
      <c r="N180" s="1433"/>
      <c r="O180" s="1508">
        <v>18407.87</v>
      </c>
      <c r="P180" s="1433">
        <v>1280755.8</v>
      </c>
      <c r="Q180" s="1433">
        <v>18724.5</v>
      </c>
      <c r="R180" s="793">
        <f t="shared" si="33"/>
        <v>1259098.308</v>
      </c>
      <c r="S180" s="1435">
        <f t="shared" si="32"/>
        <v>68.400000000000006</v>
      </c>
      <c r="T180" s="1436" t="s">
        <v>335</v>
      </c>
      <c r="U180" s="1437">
        <v>38412</v>
      </c>
      <c r="V180" s="793"/>
      <c r="W180" s="793">
        <f>+R180+13605.27+10281.84</f>
        <v>1282985.4180000001</v>
      </c>
      <c r="X180" s="793"/>
      <c r="Y180" s="793"/>
      <c r="Z180" s="1405" t="s">
        <v>292</v>
      </c>
      <c r="AA180" s="1405" t="s">
        <v>453</v>
      </c>
      <c r="AB180" s="1413"/>
      <c r="AC180" s="1413"/>
      <c r="AD180" s="1414"/>
      <c r="AE180" s="1414">
        <f t="shared" si="34"/>
        <v>18407.87</v>
      </c>
      <c r="AF180" s="1510">
        <f t="shared" si="30"/>
        <v>3.6301758646068931E-2</v>
      </c>
      <c r="AG180" s="1414">
        <f t="shared" si="31"/>
        <v>10281.835314599613</v>
      </c>
      <c r="AJ180" s="1414"/>
      <c r="AK180" s="1439" t="s">
        <v>6899</v>
      </c>
      <c r="AL180" s="1440" t="s">
        <v>5597</v>
      </c>
      <c r="AM180" s="1502" t="s">
        <v>5694</v>
      </c>
      <c r="AN180" s="1443" t="s">
        <v>451</v>
      </c>
      <c r="AO180" s="1443" t="s">
        <v>451</v>
      </c>
      <c r="AP180" s="1442" t="s">
        <v>5621</v>
      </c>
      <c r="AQ180" s="1443">
        <v>18407.87</v>
      </c>
      <c r="AR180" s="1444" t="s">
        <v>5733</v>
      </c>
      <c r="AS180" s="1444" t="s">
        <v>5725</v>
      </c>
      <c r="AT180" s="1440" t="s">
        <v>5609</v>
      </c>
    </row>
    <row r="181" spans="1:46" ht="12.75" customHeight="1">
      <c r="A181" s="1430">
        <v>7</v>
      </c>
      <c r="B181" s="1431">
        <v>3</v>
      </c>
      <c r="C181" s="1430" t="s">
        <v>385</v>
      </c>
      <c r="D181" s="1430"/>
      <c r="E181" s="1430"/>
      <c r="F181" s="1430"/>
      <c r="G181" s="1430"/>
      <c r="H181" s="1430"/>
      <c r="I181" s="1430"/>
      <c r="J181" s="1430"/>
      <c r="K181" s="1433" t="s">
        <v>451</v>
      </c>
      <c r="L181" s="1433">
        <v>18407.87</v>
      </c>
      <c r="M181" s="794"/>
      <c r="N181" s="1499"/>
      <c r="O181" s="1508">
        <v>18407.87</v>
      </c>
      <c r="P181" s="1433">
        <v>1280755.8</v>
      </c>
      <c r="Q181" s="1433">
        <v>18724.5</v>
      </c>
      <c r="R181" s="793">
        <f t="shared" si="33"/>
        <v>1259098.308</v>
      </c>
      <c r="S181" s="1435">
        <f t="shared" si="32"/>
        <v>68.400000000000006</v>
      </c>
      <c r="T181" s="1436" t="s">
        <v>335</v>
      </c>
      <c r="U181" s="1437">
        <v>38412</v>
      </c>
      <c r="V181" s="793"/>
      <c r="W181" s="793">
        <f>+R181+13605.27+10281.84</f>
        <v>1282985.4180000001</v>
      </c>
      <c r="X181" s="793"/>
      <c r="Y181" s="793"/>
      <c r="Z181" s="1405" t="s">
        <v>292</v>
      </c>
      <c r="AA181" s="1405" t="s">
        <v>453</v>
      </c>
      <c r="AB181" s="1413"/>
      <c r="AC181" s="1413"/>
      <c r="AD181" s="1414"/>
      <c r="AE181" s="1414">
        <f t="shared" si="34"/>
        <v>18407.87</v>
      </c>
      <c r="AF181" s="1510">
        <f>AE181/$AF$161</f>
        <v>3.6301758646068931E-2</v>
      </c>
      <c r="AG181" s="1414">
        <f t="shared" si="31"/>
        <v>10281.835314599613</v>
      </c>
      <c r="AJ181" s="1414"/>
      <c r="AK181" s="1439" t="s">
        <v>6900</v>
      </c>
      <c r="AL181" s="1440" t="s">
        <v>5597</v>
      </c>
      <c r="AM181" s="1502" t="s">
        <v>5646</v>
      </c>
      <c r="AN181" s="1443" t="s">
        <v>451</v>
      </c>
      <c r="AO181" s="1443" t="s">
        <v>451</v>
      </c>
      <c r="AP181" s="1442" t="s">
        <v>5621</v>
      </c>
      <c r="AQ181" s="1443">
        <v>18407.87</v>
      </c>
      <c r="AR181" s="1444" t="s">
        <v>5733</v>
      </c>
      <c r="AS181" s="1444" t="s">
        <v>5725</v>
      </c>
      <c r="AT181" s="1440" t="s">
        <v>5609</v>
      </c>
    </row>
    <row r="182" spans="1:46" ht="12.75" customHeight="1">
      <c r="A182" s="1430">
        <v>7</v>
      </c>
      <c r="B182" s="1431">
        <v>4</v>
      </c>
      <c r="C182" s="1430" t="s">
        <v>385</v>
      </c>
      <c r="D182" s="1430"/>
      <c r="E182" s="1430"/>
      <c r="F182" s="1430"/>
      <c r="G182" s="1430"/>
      <c r="H182" s="1430"/>
      <c r="I182" s="1430"/>
      <c r="J182" s="1430"/>
      <c r="K182" s="1433" t="s">
        <v>451</v>
      </c>
      <c r="L182" s="1433">
        <v>27725.01</v>
      </c>
      <c r="M182" s="794"/>
      <c r="N182" s="1433"/>
      <c r="O182" s="1508">
        <v>27725.01</v>
      </c>
      <c r="P182" s="1433">
        <v>1865550.55</v>
      </c>
      <c r="Q182" s="1433">
        <v>26528.03</v>
      </c>
      <c r="R182" s="793">
        <f t="shared" si="33"/>
        <v>1949726.6722879724</v>
      </c>
      <c r="S182" s="1435">
        <f t="shared" si="32"/>
        <v>70.3237500108376</v>
      </c>
      <c r="T182" s="1436" t="s">
        <v>335</v>
      </c>
      <c r="U182" s="1437">
        <v>38412</v>
      </c>
      <c r="V182" s="793"/>
      <c r="W182" s="793">
        <f>+R182+20491.58+15485.98</f>
        <v>1985704.2322879725</v>
      </c>
      <c r="X182" s="793"/>
      <c r="Y182" s="793"/>
      <c r="Z182" s="1405" t="s">
        <v>292</v>
      </c>
      <c r="AA182" s="1405" t="s">
        <v>453</v>
      </c>
      <c r="AB182" s="1413"/>
      <c r="AC182" s="1413"/>
      <c r="AD182" s="1414"/>
      <c r="AE182" s="1414">
        <f t="shared" si="34"/>
        <v>27725.01</v>
      </c>
      <c r="AF182" s="1510">
        <f t="shared" si="30"/>
        <v>5.4675887078724894E-2</v>
      </c>
      <c r="AG182" s="1414">
        <f t="shared" si="31"/>
        <v>15485.984359712853</v>
      </c>
      <c r="AJ182" s="1414"/>
      <c r="AK182" s="1439" t="s">
        <v>6901</v>
      </c>
      <c r="AL182" s="1440" t="s">
        <v>5597</v>
      </c>
      <c r="AM182" s="1502" t="s">
        <v>5685</v>
      </c>
      <c r="AN182" s="1443" t="s">
        <v>451</v>
      </c>
      <c r="AO182" s="1443" t="s">
        <v>451</v>
      </c>
      <c r="AP182" s="1442" t="s">
        <v>5621</v>
      </c>
      <c r="AQ182" s="1443">
        <v>27725.01</v>
      </c>
      <c r="AR182" s="1444" t="s">
        <v>5733</v>
      </c>
      <c r="AS182" s="1444" t="s">
        <v>5725</v>
      </c>
      <c r="AT182" s="1444" t="s">
        <v>5609</v>
      </c>
    </row>
    <row r="183" spans="1:46" ht="12.75" customHeight="1">
      <c r="A183" s="1430">
        <v>8</v>
      </c>
      <c r="B183" s="1431">
        <v>1</v>
      </c>
      <c r="C183" s="1430" t="s">
        <v>385</v>
      </c>
      <c r="D183" s="1430"/>
      <c r="E183" s="1430"/>
      <c r="F183" s="1430"/>
      <c r="G183" s="1430"/>
      <c r="H183" s="1430"/>
      <c r="I183" s="1430"/>
      <c r="J183" s="1430"/>
      <c r="K183" s="1433" t="s">
        <v>451</v>
      </c>
      <c r="L183" s="1433">
        <v>87714.79</v>
      </c>
      <c r="M183" s="794"/>
      <c r="N183" s="1433"/>
      <c r="O183" s="1508">
        <v>87714.79</v>
      </c>
      <c r="P183" s="1433">
        <v>3733558.11</v>
      </c>
      <c r="Q183" s="1433">
        <f>+L183</f>
        <v>87714.79</v>
      </c>
      <c r="R183" s="793">
        <f>+P183</f>
        <v>3733558.11</v>
      </c>
      <c r="S183" s="1435">
        <f t="shared" si="32"/>
        <v>42.56475002676288</v>
      </c>
      <c r="T183" s="1436" t="s">
        <v>335</v>
      </c>
      <c r="U183" s="1437">
        <v>38412</v>
      </c>
      <c r="V183" s="793"/>
      <c r="W183" s="793">
        <f>+R183+64830.06+48993.67</f>
        <v>3847381.84</v>
      </c>
      <c r="X183" s="793"/>
      <c r="Y183" s="793"/>
      <c r="Z183" s="1405" t="s">
        <v>292</v>
      </c>
      <c r="AA183" s="1405" t="s">
        <v>453</v>
      </c>
      <c r="AB183" s="1413"/>
      <c r="AC183" s="1413"/>
      <c r="AD183" s="1414"/>
      <c r="AE183" s="1414">
        <f t="shared" si="34"/>
        <v>87714.79</v>
      </c>
      <c r="AF183" s="1510">
        <f t="shared" si="30"/>
        <v>0.17298042284471918</v>
      </c>
      <c r="AG183" s="1414">
        <f t="shared" si="31"/>
        <v>48993.665504737328</v>
      </c>
      <c r="AJ183" s="1414"/>
      <c r="AK183" s="1439" t="s">
        <v>6902</v>
      </c>
      <c r="AL183" s="1440" t="s">
        <v>5690</v>
      </c>
      <c r="AM183" s="1502" t="s">
        <v>5691</v>
      </c>
      <c r="AN183" s="1443" t="s">
        <v>451</v>
      </c>
      <c r="AO183" s="1443" t="s">
        <v>451</v>
      </c>
      <c r="AP183" s="1442" t="s">
        <v>5621</v>
      </c>
      <c r="AQ183" s="1443">
        <v>87714.79</v>
      </c>
      <c r="AR183" s="1444" t="s">
        <v>5734</v>
      </c>
      <c r="AS183" s="1444" t="s">
        <v>5725</v>
      </c>
      <c r="AT183" s="1444" t="s">
        <v>5609</v>
      </c>
    </row>
    <row r="184" spans="1:46" ht="12.75" customHeight="1">
      <c r="A184" s="1430">
        <v>9</v>
      </c>
      <c r="B184" s="1431">
        <v>1</v>
      </c>
      <c r="C184" s="1430" t="s">
        <v>385</v>
      </c>
      <c r="D184" s="1430"/>
      <c r="E184" s="1430"/>
      <c r="F184" s="1430"/>
      <c r="G184" s="1430"/>
      <c r="H184" s="1430"/>
      <c r="I184" s="1430"/>
      <c r="J184" s="1430"/>
      <c r="K184" s="1433" t="s">
        <v>451</v>
      </c>
      <c r="L184" s="1433">
        <v>12550.25</v>
      </c>
      <c r="M184" s="794"/>
      <c r="N184" s="1433"/>
      <c r="O184" s="1508">
        <v>12550.25</v>
      </c>
      <c r="P184" s="1433">
        <v>500300.88</v>
      </c>
      <c r="Q184" s="1433">
        <v>10532.65</v>
      </c>
      <c r="R184" s="793">
        <f t="shared" si="33"/>
        <v>596136.88095778367</v>
      </c>
      <c r="S184" s="1435">
        <f t="shared" si="32"/>
        <v>47.500000474714341</v>
      </c>
      <c r="T184" s="1436" t="s">
        <v>335</v>
      </c>
      <c r="U184" s="1437">
        <v>38412</v>
      </c>
      <c r="V184" s="793"/>
      <c r="W184" s="793">
        <f>+R184+9275.9+7010.01</f>
        <v>612422.7909577837</v>
      </c>
      <c r="X184" s="793"/>
      <c r="Y184" s="793"/>
      <c r="Z184" s="1405" t="s">
        <v>292</v>
      </c>
      <c r="AA184" s="1405" t="s">
        <v>453</v>
      </c>
      <c r="AB184" s="1413"/>
      <c r="AC184" s="1413"/>
      <c r="AD184" s="1414"/>
      <c r="AE184" s="1414">
        <f t="shared" si="34"/>
        <v>12550.25</v>
      </c>
      <c r="AF184" s="1510">
        <f t="shared" si="30"/>
        <v>2.4750074095907165E-2</v>
      </c>
      <c r="AG184" s="1414">
        <f t="shared" si="31"/>
        <v>7010.0236288638389</v>
      </c>
      <c r="AJ184" s="1414"/>
      <c r="AK184" s="1439" t="s">
        <v>6903</v>
      </c>
      <c r="AL184" s="1440" t="s">
        <v>5600</v>
      </c>
      <c r="AM184" s="1502" t="s">
        <v>5691</v>
      </c>
      <c r="AN184" s="1443" t="s">
        <v>451</v>
      </c>
      <c r="AO184" s="1443" t="s">
        <v>451</v>
      </c>
      <c r="AP184" s="1442" t="s">
        <v>5621</v>
      </c>
      <c r="AQ184" s="1443">
        <v>12550.25</v>
      </c>
      <c r="AR184" s="1444" t="s">
        <v>5735</v>
      </c>
      <c r="AS184" s="1444" t="s">
        <v>5725</v>
      </c>
      <c r="AT184" s="1444" t="s">
        <v>5609</v>
      </c>
    </row>
    <row r="185" spans="1:46" ht="12.75" customHeight="1">
      <c r="A185" s="1430">
        <v>9</v>
      </c>
      <c r="B185" s="1431">
        <v>2</v>
      </c>
      <c r="C185" s="1430" t="s">
        <v>385</v>
      </c>
      <c r="D185" s="1430"/>
      <c r="E185" s="1430"/>
      <c r="F185" s="1430"/>
      <c r="G185" s="1430"/>
      <c r="H185" s="1430"/>
      <c r="I185" s="1430"/>
      <c r="J185" s="1430"/>
      <c r="K185" s="1433" t="s">
        <v>451</v>
      </c>
      <c r="L185" s="1433">
        <v>10040.200000000001</v>
      </c>
      <c r="M185" s="794"/>
      <c r="N185" s="1433"/>
      <c r="O185" s="1508">
        <v>10040.200000000001</v>
      </c>
      <c r="P185" s="1433">
        <v>453370.88</v>
      </c>
      <c r="Q185" s="1433">
        <v>10047</v>
      </c>
      <c r="R185" s="793">
        <f t="shared" si="33"/>
        <v>453064.02999661589</v>
      </c>
      <c r="S185" s="1435">
        <f t="shared" si="32"/>
        <v>45.125000497660992</v>
      </c>
      <c r="T185" s="1436" t="s">
        <v>335</v>
      </c>
      <c r="U185" s="1437">
        <v>38412</v>
      </c>
      <c r="V185" s="793"/>
      <c r="W185" s="793">
        <f t="shared" ref="W185:W190" si="35">+R185+7420.72+5608.02</f>
        <v>466092.76999661588</v>
      </c>
      <c r="X185" s="793"/>
      <c r="Y185" s="793"/>
      <c r="Z185" s="1405" t="s">
        <v>292</v>
      </c>
      <c r="AA185" s="1405" t="s">
        <v>453</v>
      </c>
      <c r="AB185" s="1413"/>
      <c r="AC185" s="1413"/>
      <c r="AD185" s="1414"/>
      <c r="AE185" s="1414">
        <f t="shared" si="34"/>
        <v>10040.200000000001</v>
      </c>
      <c r="AF185" s="1510">
        <f t="shared" si="30"/>
        <v>1.9800059276725734E-2</v>
      </c>
      <c r="AG185" s="1414">
        <f t="shared" si="31"/>
        <v>5608.0189030910724</v>
      </c>
      <c r="AJ185" s="1414"/>
      <c r="AK185" s="1439" t="s">
        <v>6904</v>
      </c>
      <c r="AL185" s="1440" t="s">
        <v>5600</v>
      </c>
      <c r="AM185" s="1502" t="s">
        <v>5694</v>
      </c>
      <c r="AN185" s="1443" t="s">
        <v>451</v>
      </c>
      <c r="AO185" s="1443" t="s">
        <v>451</v>
      </c>
      <c r="AP185" s="1442" t="s">
        <v>5621</v>
      </c>
      <c r="AQ185" s="1443">
        <v>10040.200000000001</v>
      </c>
      <c r="AR185" s="1444" t="s">
        <v>5735</v>
      </c>
      <c r="AS185" s="1444" t="s">
        <v>5725</v>
      </c>
      <c r="AT185" s="1440" t="s">
        <v>5609</v>
      </c>
    </row>
    <row r="186" spans="1:46" ht="12.75" customHeight="1">
      <c r="A186" s="1430">
        <v>9</v>
      </c>
      <c r="B186" s="1431">
        <v>3</v>
      </c>
      <c r="C186" s="1430" t="s">
        <v>385</v>
      </c>
      <c r="D186" s="1430"/>
      <c r="E186" s="1430"/>
      <c r="F186" s="1430"/>
      <c r="G186" s="1430"/>
      <c r="H186" s="1430"/>
      <c r="I186" s="1430"/>
      <c r="J186" s="1430"/>
      <c r="K186" s="1433" t="s">
        <v>451</v>
      </c>
      <c r="L186" s="1433">
        <v>10040.200000000001</v>
      </c>
      <c r="M186" s="794"/>
      <c r="N186" s="1433"/>
      <c r="O186" s="1508">
        <v>10040.200000000001</v>
      </c>
      <c r="P186" s="1433">
        <v>453370.88</v>
      </c>
      <c r="Q186" s="1433">
        <v>10047</v>
      </c>
      <c r="R186" s="793">
        <f t="shared" si="33"/>
        <v>453064.02999661589</v>
      </c>
      <c r="S186" s="1435">
        <f t="shared" si="32"/>
        <v>45.125000497660992</v>
      </c>
      <c r="T186" s="1436" t="s">
        <v>335</v>
      </c>
      <c r="U186" s="1437">
        <v>38412</v>
      </c>
      <c r="V186" s="793"/>
      <c r="W186" s="793">
        <f t="shared" si="35"/>
        <v>466092.76999661588</v>
      </c>
      <c r="X186" s="793"/>
      <c r="Y186" s="793"/>
      <c r="Z186" s="1405" t="s">
        <v>292</v>
      </c>
      <c r="AA186" s="1405" t="s">
        <v>453</v>
      </c>
      <c r="AB186" s="1413"/>
      <c r="AC186" s="1413"/>
      <c r="AD186" s="1414"/>
      <c r="AE186" s="1414">
        <f t="shared" si="34"/>
        <v>10040.200000000001</v>
      </c>
      <c r="AF186" s="1510">
        <f t="shared" si="30"/>
        <v>1.9800059276725734E-2</v>
      </c>
      <c r="AG186" s="1414">
        <f t="shared" si="31"/>
        <v>5608.0189030910724</v>
      </c>
      <c r="AJ186" s="1414"/>
      <c r="AK186" s="1439" t="s">
        <v>6905</v>
      </c>
      <c r="AL186" s="1440" t="s">
        <v>5600</v>
      </c>
      <c r="AM186" s="1502" t="s">
        <v>5646</v>
      </c>
      <c r="AN186" s="1443" t="s">
        <v>451</v>
      </c>
      <c r="AO186" s="1443" t="s">
        <v>451</v>
      </c>
      <c r="AP186" s="1442" t="s">
        <v>5621</v>
      </c>
      <c r="AQ186" s="1443">
        <v>10040.200000000001</v>
      </c>
      <c r="AR186" s="1444" t="s">
        <v>5735</v>
      </c>
      <c r="AS186" s="1444" t="s">
        <v>5725</v>
      </c>
      <c r="AT186" s="1444" t="s">
        <v>5609</v>
      </c>
    </row>
    <row r="187" spans="1:46" ht="12.75" customHeight="1">
      <c r="A187" s="1430">
        <v>9</v>
      </c>
      <c r="B187" s="1431">
        <v>4</v>
      </c>
      <c r="C187" s="1430" t="s">
        <v>385</v>
      </c>
      <c r="D187" s="1430"/>
      <c r="E187" s="1430"/>
      <c r="F187" s="1430"/>
      <c r="G187" s="1430"/>
      <c r="H187" s="1430"/>
      <c r="I187" s="1430"/>
      <c r="J187" s="1430"/>
      <c r="K187" s="1433" t="s">
        <v>451</v>
      </c>
      <c r="L187" s="1433">
        <v>10040.200000000001</v>
      </c>
      <c r="M187" s="794"/>
      <c r="N187" s="1433"/>
      <c r="O187" s="1508">
        <v>10040.200000000001</v>
      </c>
      <c r="P187" s="1433">
        <v>453370.88</v>
      </c>
      <c r="Q187" s="1433">
        <v>10047</v>
      </c>
      <c r="R187" s="793">
        <f t="shared" si="33"/>
        <v>453064.02999661589</v>
      </c>
      <c r="S187" s="1435">
        <f t="shared" si="32"/>
        <v>45.125000497660992</v>
      </c>
      <c r="T187" s="1436" t="s">
        <v>335</v>
      </c>
      <c r="U187" s="1437">
        <v>38412</v>
      </c>
      <c r="V187" s="793"/>
      <c r="W187" s="793">
        <f t="shared" si="35"/>
        <v>466092.76999661588</v>
      </c>
      <c r="X187" s="793"/>
      <c r="Y187" s="793"/>
      <c r="Z187" s="1405" t="s">
        <v>292</v>
      </c>
      <c r="AA187" s="1405" t="s">
        <v>453</v>
      </c>
      <c r="AB187" s="1413"/>
      <c r="AC187" s="1413"/>
      <c r="AD187" s="1414"/>
      <c r="AE187" s="1414">
        <f t="shared" si="34"/>
        <v>10040.200000000001</v>
      </c>
      <c r="AF187" s="1510">
        <f t="shared" si="30"/>
        <v>1.9800059276725734E-2</v>
      </c>
      <c r="AG187" s="1414">
        <f t="shared" si="31"/>
        <v>5608.0189030910724</v>
      </c>
      <c r="AJ187" s="1414"/>
      <c r="AK187" s="1439" t="s">
        <v>6906</v>
      </c>
      <c r="AL187" s="1440" t="s">
        <v>5600</v>
      </c>
      <c r="AM187" s="1502" t="s">
        <v>5685</v>
      </c>
      <c r="AN187" s="1443" t="s">
        <v>451</v>
      </c>
      <c r="AO187" s="1443" t="s">
        <v>451</v>
      </c>
      <c r="AP187" s="1442" t="s">
        <v>5621</v>
      </c>
      <c r="AQ187" s="1443">
        <v>10040.200000000001</v>
      </c>
      <c r="AR187" s="1444" t="s">
        <v>5735</v>
      </c>
      <c r="AS187" s="1444" t="s">
        <v>5725</v>
      </c>
      <c r="AT187" s="1444" t="s">
        <v>5609</v>
      </c>
    </row>
    <row r="188" spans="1:46" ht="12.75" customHeight="1">
      <c r="A188" s="1430">
        <v>9</v>
      </c>
      <c r="B188" s="1431">
        <v>5</v>
      </c>
      <c r="C188" s="1430" t="s">
        <v>385</v>
      </c>
      <c r="D188" s="1430"/>
      <c r="E188" s="1430"/>
      <c r="F188" s="1430"/>
      <c r="G188" s="1430"/>
      <c r="H188" s="1430"/>
      <c r="I188" s="1430"/>
      <c r="J188" s="1430"/>
      <c r="K188" s="1433" t="s">
        <v>451</v>
      </c>
      <c r="L188" s="1433">
        <v>10040.200000000001</v>
      </c>
      <c r="M188" s="794"/>
      <c r="N188" s="1433"/>
      <c r="O188" s="1508">
        <v>10040.200000000001</v>
      </c>
      <c r="P188" s="1433">
        <v>453370.88</v>
      </c>
      <c r="Q188" s="1433">
        <v>10047</v>
      </c>
      <c r="R188" s="793">
        <f t="shared" si="33"/>
        <v>453064.02999661589</v>
      </c>
      <c r="S188" s="1435">
        <f t="shared" si="32"/>
        <v>45.125000497660992</v>
      </c>
      <c r="T188" s="1436" t="s">
        <v>335</v>
      </c>
      <c r="U188" s="1437">
        <v>38412</v>
      </c>
      <c r="V188" s="793"/>
      <c r="W188" s="793">
        <f t="shared" si="35"/>
        <v>466092.76999661588</v>
      </c>
      <c r="X188" s="793"/>
      <c r="Y188" s="793"/>
      <c r="Z188" s="1405" t="s">
        <v>292</v>
      </c>
      <c r="AA188" s="1405" t="s">
        <v>453</v>
      </c>
      <c r="AB188" s="1413"/>
      <c r="AC188" s="1413"/>
      <c r="AD188" s="1414"/>
      <c r="AE188" s="1414">
        <f t="shared" si="34"/>
        <v>10040.200000000001</v>
      </c>
      <c r="AF188" s="1510">
        <f t="shared" si="30"/>
        <v>1.9800059276725734E-2</v>
      </c>
      <c r="AG188" s="1414">
        <f t="shared" si="31"/>
        <v>5608.0189030910724</v>
      </c>
      <c r="AJ188" s="1414"/>
      <c r="AK188" s="1439" t="s">
        <v>6907</v>
      </c>
      <c r="AL188" s="1440" t="s">
        <v>5600</v>
      </c>
      <c r="AM188" s="1502" t="s">
        <v>5675</v>
      </c>
      <c r="AN188" s="1443" t="s">
        <v>451</v>
      </c>
      <c r="AO188" s="1443" t="s">
        <v>451</v>
      </c>
      <c r="AP188" s="1442" t="s">
        <v>5621</v>
      </c>
      <c r="AQ188" s="1443">
        <v>10040.200000000001</v>
      </c>
      <c r="AR188" s="1444" t="s">
        <v>5735</v>
      </c>
      <c r="AS188" s="1444" t="s">
        <v>5725</v>
      </c>
      <c r="AT188" s="1444" t="s">
        <v>5609</v>
      </c>
    </row>
    <row r="189" spans="1:46" ht="12.75" customHeight="1">
      <c r="A189" s="1430">
        <v>9</v>
      </c>
      <c r="B189" s="1431">
        <v>6</v>
      </c>
      <c r="C189" s="1430" t="s">
        <v>385</v>
      </c>
      <c r="D189" s="1430"/>
      <c r="E189" s="1430"/>
      <c r="F189" s="1430"/>
      <c r="G189" s="1430"/>
      <c r="H189" s="1430"/>
      <c r="I189" s="1430"/>
      <c r="J189" s="1430"/>
      <c r="K189" s="1433" t="s">
        <v>451</v>
      </c>
      <c r="L189" s="1433">
        <v>10040.200000000001</v>
      </c>
      <c r="M189" s="794"/>
      <c r="N189" s="1433"/>
      <c r="O189" s="1508">
        <v>10040.200000000001</v>
      </c>
      <c r="P189" s="1433">
        <v>453370.88</v>
      </c>
      <c r="Q189" s="1433">
        <v>10047</v>
      </c>
      <c r="R189" s="793">
        <f t="shared" si="33"/>
        <v>453064.02999661589</v>
      </c>
      <c r="S189" s="1435">
        <f t="shared" si="32"/>
        <v>45.125000497660992</v>
      </c>
      <c r="T189" s="1436" t="s">
        <v>335</v>
      </c>
      <c r="U189" s="1437">
        <v>38412</v>
      </c>
      <c r="V189" s="793"/>
      <c r="W189" s="793">
        <f t="shared" si="35"/>
        <v>466092.76999661588</v>
      </c>
      <c r="X189" s="793"/>
      <c r="Y189" s="793"/>
      <c r="Z189" s="1405" t="s">
        <v>292</v>
      </c>
      <c r="AA189" s="1405" t="s">
        <v>453</v>
      </c>
      <c r="AB189" s="1413"/>
      <c r="AC189" s="1413"/>
      <c r="AD189" s="1414"/>
      <c r="AE189" s="1414">
        <f t="shared" si="34"/>
        <v>10040.200000000001</v>
      </c>
      <c r="AF189" s="1510">
        <f t="shared" si="30"/>
        <v>1.9800059276725734E-2</v>
      </c>
      <c r="AG189" s="1414">
        <f t="shared" si="31"/>
        <v>5608.0189030910724</v>
      </c>
      <c r="AJ189" s="1414"/>
      <c r="AK189" s="1439" t="s">
        <v>6908</v>
      </c>
      <c r="AL189" s="1440" t="s">
        <v>5600</v>
      </c>
      <c r="AM189" s="1502" t="s">
        <v>5677</v>
      </c>
      <c r="AN189" s="1443" t="s">
        <v>451</v>
      </c>
      <c r="AO189" s="1443" t="s">
        <v>451</v>
      </c>
      <c r="AP189" s="1442" t="s">
        <v>5621</v>
      </c>
      <c r="AQ189" s="1443">
        <v>10040.200000000001</v>
      </c>
      <c r="AR189" s="1444" t="s">
        <v>5735</v>
      </c>
      <c r="AS189" s="1444" t="s">
        <v>5725</v>
      </c>
      <c r="AT189" s="1444" t="s">
        <v>5609</v>
      </c>
    </row>
    <row r="190" spans="1:46" ht="12.75" customHeight="1">
      <c r="A190" s="1430">
        <v>9</v>
      </c>
      <c r="B190" s="1431">
        <v>7</v>
      </c>
      <c r="C190" s="1430" t="s">
        <v>385</v>
      </c>
      <c r="D190" s="1430"/>
      <c r="E190" s="1430"/>
      <c r="F190" s="1430"/>
      <c r="G190" s="1430"/>
      <c r="H190" s="1430"/>
      <c r="I190" s="1430"/>
      <c r="J190" s="1430"/>
      <c r="K190" s="1433" t="s">
        <v>451</v>
      </c>
      <c r="L190" s="1433">
        <v>10040.200000000001</v>
      </c>
      <c r="M190" s="794"/>
      <c r="N190" s="1433"/>
      <c r="O190" s="1508">
        <v>10040.200000000001</v>
      </c>
      <c r="P190" s="1433">
        <v>453370.88</v>
      </c>
      <c r="Q190" s="1433">
        <v>10047</v>
      </c>
      <c r="R190" s="793">
        <f t="shared" si="33"/>
        <v>453064.02999661589</v>
      </c>
      <c r="S190" s="1435">
        <f t="shared" si="32"/>
        <v>45.125000497660992</v>
      </c>
      <c r="T190" s="1436" t="s">
        <v>335</v>
      </c>
      <c r="U190" s="1437">
        <v>38412</v>
      </c>
      <c r="V190" s="793"/>
      <c r="W190" s="793">
        <f t="shared" si="35"/>
        <v>466092.76999661588</v>
      </c>
      <c r="X190" s="793"/>
      <c r="Y190" s="793"/>
      <c r="Z190" s="1405" t="s">
        <v>292</v>
      </c>
      <c r="AA190" s="1405" t="s">
        <v>453</v>
      </c>
      <c r="AB190" s="1413"/>
      <c r="AC190" s="1413"/>
      <c r="AD190" s="1414"/>
      <c r="AE190" s="1414">
        <f t="shared" si="34"/>
        <v>10040.200000000001</v>
      </c>
      <c r="AF190" s="1510">
        <f t="shared" si="30"/>
        <v>1.9800059276725734E-2</v>
      </c>
      <c r="AG190" s="1414">
        <f t="shared" si="31"/>
        <v>5608.0189030910724</v>
      </c>
      <c r="AJ190" s="1414"/>
      <c r="AK190" s="1439" t="s">
        <v>6909</v>
      </c>
      <c r="AL190" s="1440" t="s">
        <v>5600</v>
      </c>
      <c r="AM190" s="1502" t="s">
        <v>5672</v>
      </c>
      <c r="AN190" s="1443" t="s">
        <v>451</v>
      </c>
      <c r="AO190" s="1443" t="s">
        <v>451</v>
      </c>
      <c r="AP190" s="1442" t="s">
        <v>5621</v>
      </c>
      <c r="AQ190" s="1443">
        <v>10040.200000000001</v>
      </c>
      <c r="AR190" s="1444" t="s">
        <v>5735</v>
      </c>
      <c r="AS190" s="1444" t="s">
        <v>5725</v>
      </c>
      <c r="AT190" s="1444" t="s">
        <v>5609</v>
      </c>
    </row>
    <row r="191" spans="1:46" ht="12.75" customHeight="1">
      <c r="A191" s="1430">
        <v>9</v>
      </c>
      <c r="B191" s="1431">
        <v>8</v>
      </c>
      <c r="C191" s="1430" t="s">
        <v>385</v>
      </c>
      <c r="D191" s="1430"/>
      <c r="E191" s="1430"/>
      <c r="F191" s="1430"/>
      <c r="G191" s="1430"/>
      <c r="H191" s="1430"/>
      <c r="I191" s="1430"/>
      <c r="J191" s="1430"/>
      <c r="K191" s="1433" t="s">
        <v>451</v>
      </c>
      <c r="L191" s="1433">
        <f>64279.7-30000</f>
        <v>34279.699999999997</v>
      </c>
      <c r="M191" s="794"/>
      <c r="N191" s="1433"/>
      <c r="O191" s="1508">
        <f>64279.7-30000</f>
        <v>34279.699999999997</v>
      </c>
      <c r="P191" s="1433">
        <v>2736347.36</v>
      </c>
      <c r="Q191" s="1433">
        <v>67487.48</v>
      </c>
      <c r="R191" s="793">
        <f t="shared" si="33"/>
        <v>1389904.7141275981</v>
      </c>
      <c r="S191" s="1435">
        <f t="shared" si="32"/>
        <v>40.545999939544345</v>
      </c>
      <c r="T191" s="1436" t="s">
        <v>335</v>
      </c>
      <c r="U191" s="1437">
        <v>38412</v>
      </c>
      <c r="V191" s="793"/>
      <c r="W191" s="793">
        <f>2606284.71-1216380+25336.15+19147.15</f>
        <v>1434388.0099999998</v>
      </c>
      <c r="X191" s="793"/>
      <c r="Y191" s="793"/>
      <c r="Z191" s="1405" t="s">
        <v>292</v>
      </c>
      <c r="AA191" s="1405" t="s">
        <v>453</v>
      </c>
      <c r="AB191" s="1413"/>
      <c r="AC191" s="1413"/>
      <c r="AD191" s="1414"/>
      <c r="AE191" s="1414">
        <f t="shared" si="34"/>
        <v>34279.699999999997</v>
      </c>
      <c r="AF191" s="1510">
        <f>AE191/$AF$161</f>
        <v>6.7602248161229367E-2</v>
      </c>
      <c r="AG191" s="1414">
        <f t="shared" si="31"/>
        <v>19147.149020168024</v>
      </c>
      <c r="AJ191" s="1414"/>
      <c r="AK191" s="1439" t="s">
        <v>6910</v>
      </c>
      <c r="AL191" s="1440" t="s">
        <v>5600</v>
      </c>
      <c r="AM191" s="1502" t="s">
        <v>5678</v>
      </c>
      <c r="AN191" s="1443" t="s">
        <v>451</v>
      </c>
      <c r="AO191" s="1443" t="s">
        <v>451</v>
      </c>
      <c r="AP191" s="1442" t="s">
        <v>5621</v>
      </c>
      <c r="AQ191" s="1443">
        <v>34279.699999999997</v>
      </c>
      <c r="AR191" s="1444" t="s">
        <v>5735</v>
      </c>
      <c r="AS191" s="1444" t="s">
        <v>5725</v>
      </c>
      <c r="AT191" s="1444" t="s">
        <v>5609</v>
      </c>
    </row>
    <row r="192" spans="1:46" ht="12.75" customHeight="1">
      <c r="A192" s="1430"/>
      <c r="B192" s="1431"/>
      <c r="C192" s="1499" t="s">
        <v>451</v>
      </c>
      <c r="D192" s="1499"/>
      <c r="E192" s="1499"/>
      <c r="F192" s="1499"/>
      <c r="G192" s="1499"/>
      <c r="H192" s="1499"/>
      <c r="I192" s="1499"/>
      <c r="J192" s="1499"/>
      <c r="K192" s="1463" t="s">
        <v>98</v>
      </c>
      <c r="L192" s="1446">
        <f t="shared" ref="L192:Q192" si="36">SUM(L164:L191)</f>
        <v>504435.35000000009</v>
      </c>
      <c r="M192" s="1446">
        <f t="shared" si="36"/>
        <v>5147.29</v>
      </c>
      <c r="N192" s="1446">
        <f t="shared" si="36"/>
        <v>42941.729999999996</v>
      </c>
      <c r="O192" s="1446">
        <f t="shared" si="36"/>
        <v>464137.56000000006</v>
      </c>
      <c r="P192" s="1446">
        <f t="shared" si="36"/>
        <v>31028756.159999993</v>
      </c>
      <c r="Q192" s="1446">
        <f t="shared" si="36"/>
        <v>542100.4800000001</v>
      </c>
      <c r="R192" s="1446">
        <f>SUM(R164:R191)</f>
        <v>29730942.674237639</v>
      </c>
      <c r="S192" s="1430"/>
      <c r="T192" s="1430"/>
      <c r="U192" s="1430"/>
      <c r="V192" s="796">
        <f>SUM(V164:V191)</f>
        <v>1036137.42</v>
      </c>
      <c r="W192" s="796">
        <f>SUM(W164:W191)</f>
        <v>25020756.622567348</v>
      </c>
      <c r="X192" s="796">
        <f>SUM(X164:X191)</f>
        <v>0</v>
      </c>
      <c r="Y192" s="796">
        <f>SUM(Y164:Y191)</f>
        <v>4087110.9675427144</v>
      </c>
      <c r="AB192" s="1413"/>
      <c r="AC192" s="1413"/>
      <c r="AD192" s="1414"/>
      <c r="AK192" s="1439"/>
      <c r="AL192" s="1440"/>
      <c r="AM192" s="1502"/>
      <c r="AN192" s="1443"/>
      <c r="AO192" s="1443"/>
      <c r="AP192" s="1442"/>
      <c r="AQ192" s="1443"/>
      <c r="AR192" s="1444"/>
      <c r="AS192" s="1444"/>
      <c r="AT192" s="1444"/>
    </row>
    <row r="193" spans="1:46" ht="10.5" customHeight="1">
      <c r="A193" s="1971" t="s">
        <v>458</v>
      </c>
      <c r="B193" s="1972"/>
      <c r="C193" s="1972"/>
      <c r="D193" s="1972"/>
      <c r="E193" s="1972"/>
      <c r="F193" s="1972"/>
      <c r="G193" s="1972"/>
      <c r="H193" s="1972"/>
      <c r="I193" s="1972"/>
      <c r="J193" s="1972"/>
      <c r="K193" s="1972"/>
      <c r="L193" s="1972"/>
      <c r="M193" s="1972"/>
      <c r="N193" s="1972"/>
      <c r="O193" s="1973"/>
      <c r="P193" s="1483"/>
      <c r="Q193" s="1520"/>
      <c r="R193" s="1521"/>
      <c r="S193" s="1491"/>
      <c r="T193" s="1522"/>
      <c r="U193" s="1521"/>
      <c r="V193" s="812"/>
      <c r="W193" s="813"/>
      <c r="X193" s="813"/>
      <c r="Y193" s="814"/>
      <c r="AB193" s="1413"/>
      <c r="AC193" s="1413"/>
      <c r="AK193" s="1439"/>
      <c r="AL193" s="1440"/>
      <c r="AM193" s="1502"/>
      <c r="AN193" s="1443"/>
      <c r="AO193" s="1443"/>
      <c r="AP193" s="1442"/>
      <c r="AQ193" s="1443"/>
      <c r="AR193" s="1444"/>
      <c r="AS193" s="1444"/>
      <c r="AT193" s="1444"/>
    </row>
    <row r="194" spans="1:46" ht="12.75" customHeight="1">
      <c r="A194" s="1415"/>
      <c r="B194" s="1416"/>
      <c r="C194" s="1417" t="s">
        <v>256</v>
      </c>
      <c r="D194" s="1417" t="s">
        <v>257</v>
      </c>
      <c r="E194" s="1418" t="s">
        <v>258</v>
      </c>
      <c r="F194" s="1418" t="s">
        <v>259</v>
      </c>
      <c r="G194" s="1418" t="s">
        <v>260</v>
      </c>
      <c r="H194" s="1418" t="s">
        <v>261</v>
      </c>
      <c r="I194" s="1418" t="s">
        <v>262</v>
      </c>
      <c r="J194" s="1418" t="s">
        <v>263</v>
      </c>
      <c r="K194" s="1963" t="s">
        <v>264</v>
      </c>
      <c r="L194" s="1964"/>
      <c r="M194" s="1964"/>
      <c r="N194" s="1964" t="s">
        <v>265</v>
      </c>
      <c r="O194" s="1965"/>
      <c r="P194" s="1466"/>
      <c r="Q194" s="1466"/>
      <c r="R194" s="1421" t="s">
        <v>367</v>
      </c>
      <c r="S194" s="1421" t="s">
        <v>267</v>
      </c>
      <c r="T194" s="1421"/>
      <c r="U194" s="1421"/>
      <c r="V194" s="1966" t="s">
        <v>268</v>
      </c>
      <c r="W194" s="1967"/>
      <c r="X194" s="1967"/>
      <c r="Y194" s="1968"/>
      <c r="AB194" s="1413"/>
      <c r="AC194" s="1413"/>
      <c r="AK194" s="1439"/>
      <c r="AL194" s="1440"/>
      <c r="AM194" s="1502"/>
      <c r="AN194" s="1443"/>
      <c r="AO194" s="1443"/>
      <c r="AP194" s="1442"/>
      <c r="AQ194" s="1443"/>
      <c r="AR194" s="1444"/>
      <c r="AS194" s="1444"/>
      <c r="AT194" s="1444"/>
    </row>
    <row r="195" spans="1:46" ht="11.25">
      <c r="A195" s="1461" t="s">
        <v>269</v>
      </c>
      <c r="B195" s="1462" t="s">
        <v>270</v>
      </c>
      <c r="C195" s="1461" t="s">
        <v>271</v>
      </c>
      <c r="D195" s="1427"/>
      <c r="E195" s="1427"/>
      <c r="F195" s="1427"/>
      <c r="G195" s="1427"/>
      <c r="H195" s="1427"/>
      <c r="I195" s="1427"/>
      <c r="J195" s="1427"/>
      <c r="K195" s="1427" t="s">
        <v>272</v>
      </c>
      <c r="L195" s="1487" t="s">
        <v>370</v>
      </c>
      <c r="M195" s="1462" t="s">
        <v>274</v>
      </c>
      <c r="N195" s="1462" t="s">
        <v>371</v>
      </c>
      <c r="O195" s="1462" t="s">
        <v>276</v>
      </c>
      <c r="P195" s="1428" t="s">
        <v>277</v>
      </c>
      <c r="Q195" s="1460" t="s">
        <v>278</v>
      </c>
      <c r="R195" s="1429" t="s">
        <v>279</v>
      </c>
      <c r="S195" s="1429" t="s">
        <v>280</v>
      </c>
      <c r="T195" s="1429" t="s">
        <v>281</v>
      </c>
      <c r="U195" s="1429" t="s">
        <v>282</v>
      </c>
      <c r="V195" s="792" t="s">
        <v>283</v>
      </c>
      <c r="W195" s="792" t="s">
        <v>284</v>
      </c>
      <c r="X195" s="792" t="s">
        <v>285</v>
      </c>
      <c r="Y195" s="792" t="s">
        <v>286</v>
      </c>
      <c r="AB195" s="1413"/>
      <c r="AC195" s="1413"/>
      <c r="AK195" s="1439"/>
      <c r="AL195" s="1440"/>
      <c r="AM195" s="1502"/>
      <c r="AN195" s="1443"/>
      <c r="AO195" s="1443"/>
      <c r="AP195" s="1442"/>
      <c r="AQ195" s="1443"/>
      <c r="AR195" s="1444"/>
      <c r="AS195" s="1444"/>
      <c r="AT195" s="1444"/>
    </row>
    <row r="196" spans="1:46" ht="14.25" customHeight="1">
      <c r="A196" s="1430">
        <v>11</v>
      </c>
      <c r="B196" s="1431">
        <v>1</v>
      </c>
      <c r="C196" s="1468" t="s">
        <v>385</v>
      </c>
      <c r="D196" s="1468"/>
      <c r="E196" s="1523"/>
      <c r="F196" s="1523">
        <v>35921</v>
      </c>
      <c r="G196" s="1468">
        <v>406</v>
      </c>
      <c r="H196" s="1468" t="s">
        <v>313</v>
      </c>
      <c r="I196" s="1468">
        <v>116</v>
      </c>
      <c r="J196" s="1468" t="s">
        <v>459</v>
      </c>
      <c r="K196" s="1433" t="s">
        <v>460</v>
      </c>
      <c r="L196" s="1433">
        <v>5424.27</v>
      </c>
      <c r="M196" s="1433"/>
      <c r="N196" s="1433"/>
      <c r="O196" s="1433">
        <v>5424.27</v>
      </c>
      <c r="P196" s="1433">
        <v>803876.81</v>
      </c>
      <c r="Q196" s="1433">
        <f>+L196</f>
        <v>5424.27</v>
      </c>
      <c r="R196" s="1433">
        <f>+P196</f>
        <v>803876.81</v>
      </c>
      <c r="S196" s="1435">
        <f>+P196/Q196</f>
        <v>148.19999926257358</v>
      </c>
      <c r="T196" s="1436" t="s">
        <v>335</v>
      </c>
      <c r="U196" s="1437">
        <v>38412</v>
      </c>
      <c r="V196" s="793"/>
      <c r="W196" s="793">
        <f>+R196</f>
        <v>803876.81</v>
      </c>
      <c r="X196" s="793"/>
      <c r="Y196" s="793"/>
      <c r="Z196" s="1405" t="s">
        <v>292</v>
      </c>
      <c r="AA196" s="1405" t="s">
        <v>453</v>
      </c>
      <c r="AB196" s="1413"/>
      <c r="AC196" s="1413"/>
      <c r="AJ196" s="1414"/>
      <c r="AK196" s="1439" t="s">
        <v>6911</v>
      </c>
      <c r="AL196" s="1440" t="s">
        <v>5736</v>
      </c>
      <c r="AM196" s="1502" t="s">
        <v>5691</v>
      </c>
      <c r="AN196" s="1441" t="s">
        <v>5737</v>
      </c>
      <c r="AO196" s="1441" t="s">
        <v>5737</v>
      </c>
      <c r="AP196" s="1442" t="s">
        <v>5621</v>
      </c>
      <c r="AQ196" s="1443">
        <v>5424.27</v>
      </c>
      <c r="AR196" s="1444" t="s">
        <v>5738</v>
      </c>
      <c r="AS196" s="1444" t="s">
        <v>5725</v>
      </c>
      <c r="AT196" s="1444" t="s">
        <v>5609</v>
      </c>
    </row>
    <row r="197" spans="1:46" ht="14.25" hidden="1" customHeight="1">
      <c r="A197" s="1430" t="s">
        <v>461</v>
      </c>
      <c r="B197" s="1431">
        <v>1</v>
      </c>
      <c r="C197" s="1468" t="s">
        <v>385</v>
      </c>
      <c r="D197" s="1468"/>
      <c r="E197" s="1523"/>
      <c r="F197" s="1523">
        <v>35921</v>
      </c>
      <c r="G197" s="1468">
        <v>406</v>
      </c>
      <c r="H197" s="1468" t="s">
        <v>313</v>
      </c>
      <c r="I197" s="1468">
        <v>117</v>
      </c>
      <c r="J197" s="1468" t="s">
        <v>459</v>
      </c>
      <c r="K197" s="1433" t="s">
        <v>460</v>
      </c>
      <c r="L197" s="1433">
        <f>8069.7-8069.7</f>
        <v>0</v>
      </c>
      <c r="M197" s="1433"/>
      <c r="N197" s="1433"/>
      <c r="O197" s="1433">
        <f>8069.7-8069.7</f>
        <v>0</v>
      </c>
      <c r="P197" s="1433">
        <v>1172930.8999999999</v>
      </c>
      <c r="Q197" s="1433">
        <f>+L197</f>
        <v>0</v>
      </c>
      <c r="R197" s="1433">
        <f>+P197</f>
        <v>1172930.8999999999</v>
      </c>
      <c r="S197" s="1435" t="e">
        <f>+P197/Q197</f>
        <v>#DIV/0!</v>
      </c>
      <c r="T197" s="1436" t="s">
        <v>335</v>
      </c>
      <c r="U197" s="1437">
        <v>38412</v>
      </c>
      <c r="V197" s="793"/>
      <c r="W197" s="793">
        <f>1172930.9-1172930.9</f>
        <v>0</v>
      </c>
      <c r="X197" s="793"/>
      <c r="Y197" s="793"/>
      <c r="Z197" s="1405" t="s">
        <v>292</v>
      </c>
      <c r="AA197" s="1405" t="s">
        <v>453</v>
      </c>
      <c r="AB197" s="1413"/>
      <c r="AC197" s="1413"/>
      <c r="AJ197" s="1414"/>
      <c r="AK197" s="1439"/>
      <c r="AL197" s="1440"/>
      <c r="AM197" s="1502"/>
      <c r="AN197" s="1441"/>
      <c r="AO197" s="1441"/>
      <c r="AP197" s="1442"/>
      <c r="AQ197" s="1443"/>
      <c r="AR197" s="1444"/>
      <c r="AS197" s="1444"/>
      <c r="AT197" s="1444"/>
    </row>
    <row r="198" spans="1:46" ht="14.25" customHeight="1">
      <c r="A198" s="1430" t="s">
        <v>462</v>
      </c>
      <c r="B198" s="1431">
        <v>1</v>
      </c>
      <c r="C198" s="1468" t="s">
        <v>385</v>
      </c>
      <c r="D198" s="1468"/>
      <c r="E198" s="1523"/>
      <c r="F198" s="1468"/>
      <c r="G198" s="1468"/>
      <c r="H198" s="1468"/>
      <c r="I198" s="1468"/>
      <c r="J198" s="1468"/>
      <c r="K198" s="1433" t="s">
        <v>460</v>
      </c>
      <c r="L198" s="1433">
        <v>9481.17</v>
      </c>
      <c r="M198" s="1433"/>
      <c r="N198" s="1433"/>
      <c r="O198" s="1433">
        <v>9481.17</v>
      </c>
      <c r="P198" s="1433"/>
      <c r="Q198" s="1433"/>
      <c r="R198" s="793">
        <f>+S198*O198</f>
        <v>2180669.1</v>
      </c>
      <c r="S198" s="793">
        <v>230</v>
      </c>
      <c r="T198" s="1430" t="s">
        <v>302</v>
      </c>
      <c r="U198" s="1430"/>
      <c r="V198" s="793"/>
      <c r="W198" s="793">
        <f>+R198</f>
        <v>2180669.1</v>
      </c>
      <c r="X198" s="793"/>
      <c r="Y198" s="793"/>
      <c r="Z198" s="1405" t="s">
        <v>303</v>
      </c>
      <c r="AB198" s="1413"/>
      <c r="AC198" s="1413"/>
      <c r="AJ198" s="1414"/>
      <c r="AK198" s="1439" t="s">
        <v>6912</v>
      </c>
      <c r="AL198" s="1440" t="s">
        <v>5739</v>
      </c>
      <c r="AM198" s="1502" t="s">
        <v>5691</v>
      </c>
      <c r="AN198" s="1444" t="s">
        <v>5737</v>
      </c>
      <c r="AO198" s="1444" t="s">
        <v>5737</v>
      </c>
      <c r="AP198" s="1442" t="s">
        <v>5621</v>
      </c>
      <c r="AQ198" s="1443">
        <v>9481.17</v>
      </c>
      <c r="AR198" s="1444" t="s">
        <v>5740</v>
      </c>
      <c r="AS198" s="1444" t="s">
        <v>5725</v>
      </c>
      <c r="AT198" s="1444" t="s">
        <v>5609</v>
      </c>
    </row>
    <row r="199" spans="1:46" ht="14.25" hidden="1" customHeight="1">
      <c r="A199" s="1514" t="s">
        <v>463</v>
      </c>
      <c r="B199" s="1516">
        <v>1</v>
      </c>
      <c r="C199" s="1514" t="s">
        <v>464</v>
      </c>
      <c r="D199" s="1514"/>
      <c r="E199" s="1524"/>
      <c r="F199" s="1514"/>
      <c r="G199" s="1514"/>
      <c r="H199" s="1514"/>
      <c r="I199" s="1514"/>
      <c r="J199" s="1514"/>
      <c r="K199" s="1466" t="s">
        <v>460</v>
      </c>
      <c r="L199" s="1514"/>
      <c r="M199" s="1466">
        <f>14161.32-14161.32</f>
        <v>0</v>
      </c>
      <c r="N199" s="1466"/>
      <c r="O199" s="1466">
        <f>14161.32-14161.32</f>
        <v>0</v>
      </c>
      <c r="P199" s="1466">
        <v>3257082.9</v>
      </c>
      <c r="Q199" s="1466">
        <v>14161.23</v>
      </c>
      <c r="R199" s="815">
        <f>+P199/Q199*M199</f>
        <v>0</v>
      </c>
      <c r="S199" s="815">
        <f>+P199/Q199</f>
        <v>230</v>
      </c>
      <c r="T199" s="1525" t="s">
        <v>465</v>
      </c>
      <c r="U199" s="1526">
        <v>38581</v>
      </c>
      <c r="V199" s="815">
        <f>3257103.6-3257103.6</f>
        <v>0</v>
      </c>
      <c r="W199" s="815"/>
      <c r="X199" s="815"/>
      <c r="Y199" s="815"/>
      <c r="Z199" s="1405" t="s">
        <v>292</v>
      </c>
      <c r="AA199" s="1405" t="s">
        <v>466</v>
      </c>
      <c r="AB199" s="1413"/>
      <c r="AC199" s="1413"/>
      <c r="AK199" s="1439"/>
      <c r="AL199" s="1440"/>
      <c r="AM199" s="1502"/>
      <c r="AN199" s="1444"/>
      <c r="AO199" s="1444"/>
      <c r="AP199" s="1442"/>
      <c r="AQ199" s="1443"/>
      <c r="AR199" s="1444"/>
      <c r="AS199" s="1444"/>
      <c r="AT199" s="1444"/>
    </row>
    <row r="200" spans="1:46" s="1430" customFormat="1" ht="14.25" customHeight="1">
      <c r="B200" s="1431"/>
      <c r="C200" s="1463" t="s">
        <v>460</v>
      </c>
      <c r="D200" s="1463"/>
      <c r="E200" s="1527"/>
      <c r="F200" s="1463"/>
      <c r="G200" s="1463"/>
      <c r="H200" s="1463"/>
      <c r="I200" s="1463"/>
      <c r="J200" s="1463"/>
      <c r="K200" s="1463" t="s">
        <v>98</v>
      </c>
      <c r="L200" s="1446">
        <f t="shared" ref="L200:Q200" si="37">SUM(L196:L199)</f>
        <v>14905.44</v>
      </c>
      <c r="M200" s="1446">
        <f t="shared" si="37"/>
        <v>0</v>
      </c>
      <c r="N200" s="1446">
        <f t="shared" si="37"/>
        <v>0</v>
      </c>
      <c r="O200" s="1446">
        <f t="shared" si="37"/>
        <v>14905.44</v>
      </c>
      <c r="P200" s="1446">
        <f t="shared" si="37"/>
        <v>5233890.6099999994</v>
      </c>
      <c r="Q200" s="1446">
        <f t="shared" si="37"/>
        <v>19585.5</v>
      </c>
      <c r="R200" s="1446">
        <f>SUM(R196:R199)</f>
        <v>4157476.81</v>
      </c>
      <c r="S200" s="1528"/>
      <c r="T200" s="1529"/>
      <c r="V200" s="796">
        <f>SUM(V196:V199)</f>
        <v>0</v>
      </c>
      <c r="W200" s="796">
        <f>SUM(W196:W199)</f>
        <v>2984545.91</v>
      </c>
      <c r="X200" s="796">
        <f>SUM(X196:X199)</f>
        <v>0</v>
      </c>
      <c r="Y200" s="796">
        <f>SUM(Y196:Y199)</f>
        <v>0</v>
      </c>
      <c r="AB200" s="1530"/>
      <c r="AC200" s="1530"/>
      <c r="AK200" s="1439"/>
      <c r="AL200" s="1440"/>
      <c r="AM200" s="1502"/>
      <c r="AN200" s="1444"/>
      <c r="AO200" s="1444"/>
      <c r="AP200" s="1442"/>
      <c r="AQ200" s="1443"/>
      <c r="AR200" s="1444"/>
      <c r="AS200" s="1444"/>
      <c r="AT200" s="1444"/>
    </row>
    <row r="201" spans="1:46" ht="14.25" customHeight="1">
      <c r="B201" s="1488"/>
      <c r="C201" s="1458"/>
      <c r="D201" s="1458"/>
      <c r="E201" s="1458"/>
      <c r="F201" s="1458"/>
      <c r="G201" s="1458"/>
      <c r="H201" s="1458"/>
      <c r="I201" s="1458"/>
      <c r="J201" s="1458"/>
      <c r="K201" s="1459" t="s">
        <v>365</v>
      </c>
      <c r="L201" s="1490">
        <f>L192+L200</f>
        <v>519340.7900000001</v>
      </c>
      <c r="M201" s="1490">
        <f>M192+M200</f>
        <v>5147.29</v>
      </c>
      <c r="N201" s="1490">
        <f>N192+N200</f>
        <v>42941.729999999996</v>
      </c>
      <c r="O201" s="1490">
        <f>O192+O200</f>
        <v>479043.00000000006</v>
      </c>
      <c r="P201" s="1490"/>
      <c r="Q201" s="1490"/>
      <c r="R201" s="1490"/>
      <c r="S201" s="1490"/>
      <c r="T201" s="1490">
        <f t="shared" ref="T201:AD201" si="38">T192+T200</f>
        <v>0</v>
      </c>
      <c r="U201" s="1490">
        <f t="shared" si="38"/>
        <v>0</v>
      </c>
      <c r="V201" s="1490">
        <f t="shared" si="38"/>
        <v>1036137.42</v>
      </c>
      <c r="W201" s="1490">
        <f t="shared" si="38"/>
        <v>28005302.532567348</v>
      </c>
      <c r="X201" s="1490">
        <f t="shared" si="38"/>
        <v>0</v>
      </c>
      <c r="Y201" s="1490">
        <f t="shared" si="38"/>
        <v>4087110.9675427144</v>
      </c>
      <c r="Z201" s="1490">
        <f t="shared" si="38"/>
        <v>0</v>
      </c>
      <c r="AA201" s="1490">
        <f t="shared" si="38"/>
        <v>0</v>
      </c>
      <c r="AB201" s="1490">
        <f t="shared" si="38"/>
        <v>0</v>
      </c>
      <c r="AC201" s="1490">
        <f t="shared" si="38"/>
        <v>0</v>
      </c>
      <c r="AD201" s="1490">
        <f t="shared" si="38"/>
        <v>0</v>
      </c>
      <c r="AK201" s="1439"/>
      <c r="AL201" s="1440"/>
      <c r="AM201" s="1502"/>
      <c r="AN201" s="1444"/>
      <c r="AO201" s="1444"/>
      <c r="AP201" s="1442"/>
      <c r="AQ201" s="1443"/>
      <c r="AR201" s="1444"/>
      <c r="AS201" s="1444"/>
      <c r="AT201" s="1444"/>
    </row>
    <row r="202" spans="1:46" ht="14.25" customHeight="1">
      <c r="B202" s="1488"/>
      <c r="C202" s="1458"/>
      <c r="D202" s="1458"/>
      <c r="E202" s="1458"/>
      <c r="F202" s="1458"/>
      <c r="G202" s="1458"/>
      <c r="H202" s="1458"/>
      <c r="I202" s="1458"/>
      <c r="J202" s="1458"/>
      <c r="K202" s="1459"/>
      <c r="L202" s="1490"/>
      <c r="M202" s="1490"/>
      <c r="N202" s="1490"/>
      <c r="O202" s="1490"/>
      <c r="P202" s="1490"/>
      <c r="Q202" s="1490"/>
      <c r="R202" s="1490"/>
      <c r="S202" s="1490"/>
      <c r="T202" s="1490"/>
      <c r="U202" s="1490"/>
      <c r="V202" s="1490"/>
      <c r="W202" s="1490"/>
      <c r="X202" s="1490"/>
      <c r="Y202" s="1490"/>
      <c r="Z202" s="1490"/>
      <c r="AA202" s="1490"/>
      <c r="AB202" s="1490"/>
      <c r="AC202" s="1490"/>
      <c r="AD202" s="1490"/>
      <c r="AK202" s="1439"/>
      <c r="AL202" s="1440"/>
      <c r="AM202" s="1502"/>
      <c r="AN202" s="1444"/>
      <c r="AO202" s="1444"/>
      <c r="AP202" s="1442"/>
      <c r="AQ202" s="1443"/>
      <c r="AR202" s="1444"/>
      <c r="AS202" s="1444"/>
      <c r="AT202" s="1444"/>
    </row>
    <row r="203" spans="1:46" s="1407" customFormat="1" ht="14.25" customHeight="1">
      <c r="B203" s="1406"/>
      <c r="K203" s="1490"/>
      <c r="L203" s="1490"/>
      <c r="M203" s="1490"/>
      <c r="N203" s="1490"/>
      <c r="O203" s="1490"/>
      <c r="P203" s="1490"/>
      <c r="Q203" s="1490"/>
      <c r="R203" s="1531"/>
      <c r="V203" s="801"/>
      <c r="W203" s="801"/>
      <c r="X203" s="801"/>
      <c r="Y203" s="801"/>
      <c r="AB203" s="1465"/>
      <c r="AC203" s="1465"/>
      <c r="AK203" s="1439"/>
      <c r="AL203" s="1440"/>
      <c r="AM203" s="1502"/>
      <c r="AN203" s="1444"/>
      <c r="AO203" s="1444"/>
      <c r="AP203" s="1442"/>
      <c r="AQ203" s="1443"/>
      <c r="AR203" s="1444"/>
      <c r="AS203" s="1444"/>
      <c r="AT203" s="1444"/>
    </row>
    <row r="204" spans="1:46" ht="11.25">
      <c r="A204" s="1414"/>
      <c r="B204" s="1414"/>
      <c r="C204" s="1414"/>
      <c r="D204" s="1414"/>
      <c r="E204" s="1414"/>
      <c r="F204" s="1414"/>
      <c r="G204" s="1414"/>
      <c r="H204" s="1414"/>
      <c r="I204" s="1414"/>
      <c r="J204" s="1414"/>
      <c r="K204" s="1414"/>
      <c r="L204" s="1414"/>
      <c r="M204" s="1414"/>
      <c r="N204" s="1414"/>
      <c r="O204" s="1414"/>
      <c r="AB204" s="1413"/>
      <c r="AC204" s="1413"/>
      <c r="AF204" s="1414">
        <f>SUM(AE209:AE214)</f>
        <v>994150.5</v>
      </c>
      <c r="AK204" s="1439"/>
      <c r="AL204" s="1440"/>
      <c r="AM204" s="1502"/>
      <c r="AN204" s="1444"/>
      <c r="AO204" s="1444"/>
      <c r="AP204" s="1442"/>
      <c r="AQ204" s="1443"/>
      <c r="AR204" s="1444"/>
      <c r="AS204" s="1444"/>
      <c r="AT204" s="1444"/>
    </row>
    <row r="205" spans="1:46" ht="11.25">
      <c r="A205" s="1414"/>
      <c r="B205" s="1414"/>
      <c r="C205" s="1414"/>
      <c r="D205" s="1414"/>
      <c r="E205" s="1414"/>
      <c r="F205" s="1414"/>
      <c r="G205" s="1414"/>
      <c r="H205" s="1414"/>
      <c r="I205" s="1414"/>
      <c r="J205" s="1414"/>
      <c r="K205" s="1414"/>
      <c r="L205" s="1414"/>
      <c r="M205" s="1414"/>
      <c r="N205" s="1414"/>
      <c r="O205" s="1414"/>
      <c r="AB205" s="1413"/>
      <c r="AC205" s="1413"/>
      <c r="AK205" s="1439"/>
      <c r="AL205" s="1440"/>
      <c r="AM205" s="1502"/>
      <c r="AN205" s="1444"/>
      <c r="AO205" s="1444"/>
      <c r="AP205" s="1442"/>
      <c r="AQ205" s="1443"/>
      <c r="AR205" s="1444"/>
      <c r="AS205" s="1444"/>
      <c r="AT205" s="1444"/>
    </row>
    <row r="206" spans="1:46" ht="11.25">
      <c r="A206" s="1960" t="s">
        <v>467</v>
      </c>
      <c r="B206" s="1961"/>
      <c r="C206" s="1961"/>
      <c r="D206" s="1961"/>
      <c r="E206" s="1961"/>
      <c r="F206" s="1961"/>
      <c r="G206" s="1961"/>
      <c r="H206" s="1961"/>
      <c r="I206" s="1961"/>
      <c r="J206" s="1961"/>
      <c r="K206" s="1961"/>
      <c r="L206" s="1961"/>
      <c r="M206" s="1961"/>
      <c r="N206" s="1961"/>
      <c r="O206" s="1962"/>
      <c r="P206" s="1408"/>
      <c r="Q206" s="1409"/>
      <c r="R206" s="1410"/>
      <c r="S206" s="1411"/>
      <c r="T206" s="1412"/>
      <c r="U206" s="1410"/>
      <c r="V206" s="789"/>
      <c r="W206" s="790"/>
      <c r="X206" s="790"/>
      <c r="Y206" s="791"/>
      <c r="AB206" s="1413"/>
      <c r="AC206" s="1413"/>
      <c r="AG206" s="1414">
        <v>301086.75</v>
      </c>
      <c r="AK206" s="1439"/>
      <c r="AL206" s="1440"/>
      <c r="AM206" s="1502"/>
      <c r="AN206" s="1444"/>
      <c r="AO206" s="1444"/>
      <c r="AP206" s="1442"/>
      <c r="AQ206" s="1443"/>
      <c r="AR206" s="1444"/>
      <c r="AS206" s="1444"/>
      <c r="AT206" s="1444"/>
    </row>
    <row r="207" spans="1:46" ht="11.25">
      <c r="A207" s="1415"/>
      <c r="B207" s="1416"/>
      <c r="C207" s="1417" t="s">
        <v>256</v>
      </c>
      <c r="D207" s="1417" t="s">
        <v>257</v>
      </c>
      <c r="E207" s="1418" t="s">
        <v>258</v>
      </c>
      <c r="F207" s="1418" t="s">
        <v>259</v>
      </c>
      <c r="G207" s="1418" t="s">
        <v>260</v>
      </c>
      <c r="H207" s="1418" t="s">
        <v>261</v>
      </c>
      <c r="I207" s="1418" t="s">
        <v>262</v>
      </c>
      <c r="J207" s="1418" t="s">
        <v>263</v>
      </c>
      <c r="K207" s="1963" t="s">
        <v>264</v>
      </c>
      <c r="L207" s="1964"/>
      <c r="M207" s="1964"/>
      <c r="N207" s="1964" t="s">
        <v>265</v>
      </c>
      <c r="O207" s="1965"/>
      <c r="P207" s="1419"/>
      <c r="Q207" s="1420"/>
      <c r="R207" s="1421" t="s">
        <v>266</v>
      </c>
      <c r="S207" s="1421" t="s">
        <v>267</v>
      </c>
      <c r="T207" s="1421"/>
      <c r="U207" s="1421"/>
      <c r="V207" s="1966" t="s">
        <v>268</v>
      </c>
      <c r="W207" s="1967"/>
      <c r="X207" s="1967"/>
      <c r="Y207" s="1968"/>
      <c r="AB207" s="1413"/>
      <c r="AC207" s="1413"/>
      <c r="AG207" s="1414"/>
      <c r="AK207" s="1439"/>
      <c r="AL207" s="1440"/>
      <c r="AM207" s="1502"/>
      <c r="AN207" s="1444"/>
      <c r="AO207" s="1444"/>
      <c r="AP207" s="1442"/>
      <c r="AQ207" s="1443"/>
      <c r="AR207" s="1444"/>
      <c r="AS207" s="1444"/>
      <c r="AT207" s="1444"/>
    </row>
    <row r="208" spans="1:46" ht="14.25" customHeight="1">
      <c r="A208" s="1427" t="s">
        <v>269</v>
      </c>
      <c r="B208" s="1421" t="s">
        <v>270</v>
      </c>
      <c r="C208" s="1427" t="s">
        <v>271</v>
      </c>
      <c r="D208" s="1427"/>
      <c r="E208" s="1427"/>
      <c r="F208" s="1427"/>
      <c r="G208" s="1427"/>
      <c r="H208" s="1427"/>
      <c r="I208" s="1427"/>
      <c r="J208" s="1427"/>
      <c r="K208" s="1427" t="s">
        <v>272</v>
      </c>
      <c r="L208" s="1420" t="s">
        <v>273</v>
      </c>
      <c r="M208" s="1421" t="s">
        <v>274</v>
      </c>
      <c r="N208" s="1421" t="s">
        <v>275</v>
      </c>
      <c r="O208" s="1421" t="s">
        <v>276</v>
      </c>
      <c r="P208" s="1428" t="s">
        <v>277</v>
      </c>
      <c r="Q208" s="1428" t="s">
        <v>278</v>
      </c>
      <c r="R208" s="1429" t="s">
        <v>279</v>
      </c>
      <c r="S208" s="1429" t="s">
        <v>280</v>
      </c>
      <c r="T208" s="1429" t="s">
        <v>281</v>
      </c>
      <c r="U208" s="1429" t="s">
        <v>282</v>
      </c>
      <c r="V208" s="792" t="s">
        <v>283</v>
      </c>
      <c r="W208" s="792" t="s">
        <v>284</v>
      </c>
      <c r="X208" s="792" t="s">
        <v>285</v>
      </c>
      <c r="Y208" s="792" t="s">
        <v>286</v>
      </c>
      <c r="AB208" s="1413"/>
      <c r="AC208" s="1413"/>
      <c r="AF208" s="1423">
        <v>1</v>
      </c>
      <c r="AG208" s="1414"/>
      <c r="AK208" s="1439"/>
      <c r="AL208" s="1440"/>
      <c r="AM208" s="1502"/>
      <c r="AN208" s="1444"/>
      <c r="AO208" s="1444"/>
      <c r="AP208" s="1442"/>
      <c r="AQ208" s="1443"/>
      <c r="AR208" s="1444"/>
      <c r="AS208" s="1444"/>
      <c r="AT208" s="1444"/>
    </row>
    <row r="209" spans="1:46" ht="16.5" customHeight="1">
      <c r="A209" s="1430" t="s">
        <v>468</v>
      </c>
      <c r="B209" s="1431">
        <v>54</v>
      </c>
      <c r="C209" s="1514" t="s">
        <v>385</v>
      </c>
      <c r="D209" s="1430"/>
      <c r="E209" s="1430"/>
      <c r="F209" s="1430"/>
      <c r="G209" s="1430"/>
      <c r="H209" s="1430"/>
      <c r="I209" s="1430"/>
      <c r="J209" s="1430"/>
      <c r="K209" s="1433" t="s">
        <v>467</v>
      </c>
      <c r="L209" s="1433">
        <f>74.75*10000</f>
        <v>747500</v>
      </c>
      <c r="M209" s="1476"/>
      <c r="N209" s="1433"/>
      <c r="O209" s="1434">
        <f>+L209</f>
        <v>747500</v>
      </c>
      <c r="P209" s="1433"/>
      <c r="Q209" s="1433"/>
      <c r="R209" s="793">
        <f>+S209*L209</f>
        <v>4485000</v>
      </c>
      <c r="S209" s="793">
        <v>6</v>
      </c>
      <c r="T209" s="1430" t="s">
        <v>344</v>
      </c>
      <c r="U209" s="1447">
        <v>38108</v>
      </c>
      <c r="V209" s="793"/>
      <c r="W209" s="793">
        <f>+R209+83107.33+107813.18+89171.99+199352.84</f>
        <v>4964445.34</v>
      </c>
      <c r="X209" s="793"/>
      <c r="Y209" s="793"/>
      <c r="Z209" s="1405" t="s">
        <v>345</v>
      </c>
      <c r="AB209" s="1413" t="s">
        <v>469</v>
      </c>
      <c r="AC209" s="1413"/>
      <c r="AE209" s="1414">
        <f>O209</f>
        <v>747500</v>
      </c>
      <c r="AF209" s="1405">
        <f>(AE209*AF208/AF204)</f>
        <v>0.75189822868871459</v>
      </c>
      <c r="AG209" s="1414">
        <f t="shared" ref="AG209:AG214" si="39">$AG$206*AF209</f>
        <v>226386.59400664183</v>
      </c>
      <c r="AJ209" s="1414"/>
      <c r="AK209" s="1439" t="s">
        <v>6913</v>
      </c>
      <c r="AL209" s="1440" t="s">
        <v>5741</v>
      </c>
      <c r="AM209" s="1502" t="s">
        <v>5742</v>
      </c>
      <c r="AN209" s="1444" t="s">
        <v>5743</v>
      </c>
      <c r="AO209" s="1444" t="s">
        <v>5743</v>
      </c>
      <c r="AP209" s="1442" t="s">
        <v>5621</v>
      </c>
      <c r="AQ209" s="1443">
        <v>747500</v>
      </c>
      <c r="AR209" s="1444" t="s">
        <v>5744</v>
      </c>
      <c r="AS209" s="1444" t="s">
        <v>5745</v>
      </c>
      <c r="AT209" s="1444" t="s">
        <v>5609</v>
      </c>
    </row>
    <row r="210" spans="1:46" ht="11.25" customHeight="1">
      <c r="A210" s="1430"/>
      <c r="B210" s="1431"/>
      <c r="C210" s="1430" t="s">
        <v>473</v>
      </c>
      <c r="D210" s="1430"/>
      <c r="E210" s="1430"/>
      <c r="F210" s="1430"/>
      <c r="G210" s="1430"/>
      <c r="H210" s="1430"/>
      <c r="I210" s="1430"/>
      <c r="J210" s="1430"/>
      <c r="K210" s="1433" t="s">
        <v>467</v>
      </c>
      <c r="L210" s="1430"/>
      <c r="M210" s="1433">
        <f>6999.63+7409.61</f>
        <v>14409.24</v>
      </c>
      <c r="N210" s="1433">
        <f>+M210</f>
        <v>14409.24</v>
      </c>
      <c r="O210" s="1433"/>
      <c r="P210" s="1433"/>
      <c r="Q210" s="1433"/>
      <c r="R210" s="793">
        <f>+S210*M210</f>
        <v>652738.57199999993</v>
      </c>
      <c r="S210" s="793">
        <v>45.3</v>
      </c>
      <c r="T210" s="1430" t="s">
        <v>474</v>
      </c>
      <c r="U210" s="1430"/>
      <c r="V210" s="793">
        <f>+R210+40368.04+12824.09+14833.7+5748.94+2213.8+2078.27+1718.93+3842.84</f>
        <v>736367.18199999991</v>
      </c>
      <c r="W210" s="793"/>
      <c r="X210" s="793"/>
      <c r="Y210" s="793"/>
      <c r="Z210" s="1405" t="s">
        <v>303</v>
      </c>
      <c r="AB210" s="1413"/>
      <c r="AC210" s="1413"/>
      <c r="AE210" s="1414">
        <f>N210</f>
        <v>14409.24</v>
      </c>
      <c r="AF210" s="1405">
        <f>(AE210*AF208/AF204)</f>
        <v>1.4494022786288394E-2</v>
      </c>
      <c r="AG210" s="1414">
        <f t="shared" si="39"/>
        <v>4363.9582151495169</v>
      </c>
      <c r="AJ210" s="1414"/>
      <c r="AK210" s="1439" t="s">
        <v>6914</v>
      </c>
      <c r="AL210" s="1440" t="s">
        <v>376</v>
      </c>
      <c r="AM210" s="1440" t="s">
        <v>376</v>
      </c>
      <c r="AN210" s="1441" t="s">
        <v>5746</v>
      </c>
      <c r="AO210" s="1441" t="s">
        <v>5746</v>
      </c>
      <c r="AP210" s="1442" t="s">
        <v>5593</v>
      </c>
      <c r="AQ210" s="1443">
        <v>14409.24</v>
      </c>
      <c r="AR210" s="1444" t="s">
        <v>5747</v>
      </c>
      <c r="AS210" s="1444">
        <v>327</v>
      </c>
      <c r="AT210" s="1442" t="s">
        <v>5609</v>
      </c>
    </row>
    <row r="211" spans="1:46" ht="12" customHeight="1">
      <c r="A211" s="1430"/>
      <c r="B211" s="1431"/>
      <c r="C211" s="1430" t="s">
        <v>475</v>
      </c>
      <c r="D211" s="1430"/>
      <c r="E211" s="1430"/>
      <c r="F211" s="1430"/>
      <c r="G211" s="1430"/>
      <c r="H211" s="1430"/>
      <c r="I211" s="1430"/>
      <c r="J211" s="1430"/>
      <c r="K211" s="1433" t="s">
        <v>467</v>
      </c>
      <c r="L211" s="1430"/>
      <c r="M211" s="1433">
        <v>6567.83</v>
      </c>
      <c r="N211" s="1433">
        <f>+M211</f>
        <v>6567.83</v>
      </c>
      <c r="O211" s="1433"/>
      <c r="P211" s="1433"/>
      <c r="Q211" s="1433"/>
      <c r="R211" s="793">
        <f>+S211*M211</f>
        <v>297522.69899999996</v>
      </c>
      <c r="S211" s="793">
        <v>45.3</v>
      </c>
      <c r="T211" s="1430" t="s">
        <v>474</v>
      </c>
      <c r="U211" s="1430"/>
      <c r="V211" s="793">
        <f>+R211+18400.03+5845.31+6761.31+2620.39+1009.04+947.29+783.5+1751.59</f>
        <v>335641.15899999993</v>
      </c>
      <c r="W211" s="793"/>
      <c r="X211" s="793"/>
      <c r="Y211" s="793"/>
      <c r="Z211" s="1405" t="s">
        <v>303</v>
      </c>
      <c r="AB211" s="1413"/>
      <c r="AC211" s="1413"/>
      <c r="AE211" s="1414">
        <f>N211</f>
        <v>6567.83</v>
      </c>
      <c r="AF211" s="1405">
        <f>(AE211*AF208/AF204)</f>
        <v>6.6064745730148502E-3</v>
      </c>
      <c r="AG211" s="1414">
        <f t="shared" si="39"/>
        <v>1989.1219581466789</v>
      </c>
      <c r="AJ211" s="1414"/>
      <c r="AK211" s="1439" t="s">
        <v>6915</v>
      </c>
      <c r="AL211" s="1440" t="s">
        <v>376</v>
      </c>
      <c r="AM211" s="1440" t="s">
        <v>376</v>
      </c>
      <c r="AN211" s="1444" t="s">
        <v>5746</v>
      </c>
      <c r="AO211" s="1444" t="s">
        <v>5746</v>
      </c>
      <c r="AP211" s="1442" t="s">
        <v>5593</v>
      </c>
      <c r="AQ211" s="1443">
        <v>6567.83</v>
      </c>
      <c r="AR211" s="1444" t="s">
        <v>5747</v>
      </c>
      <c r="AS211" s="1444">
        <v>327</v>
      </c>
      <c r="AT211" s="1442" t="s">
        <v>5609</v>
      </c>
    </row>
    <row r="212" spans="1:46" ht="11.25" customHeight="1">
      <c r="A212" s="1430"/>
      <c r="B212" s="1431"/>
      <c r="C212" s="1430" t="s">
        <v>385</v>
      </c>
      <c r="D212" s="1430"/>
      <c r="E212" s="1430"/>
      <c r="F212" s="1430"/>
      <c r="G212" s="1430"/>
      <c r="H212" s="1430"/>
      <c r="I212" s="1430"/>
      <c r="J212" s="1430"/>
      <c r="K212" s="1433" t="s">
        <v>467</v>
      </c>
      <c r="L212" s="1433">
        <v>103386.25</v>
      </c>
      <c r="M212" s="794"/>
      <c r="N212" s="1433">
        <f>+L212</f>
        <v>103386.25</v>
      </c>
      <c r="O212" s="1433"/>
      <c r="P212" s="1433">
        <v>4683397.58</v>
      </c>
      <c r="Q212" s="1433">
        <f>+L212</f>
        <v>103386.25</v>
      </c>
      <c r="R212" s="1433">
        <f>+P212</f>
        <v>4683397.58</v>
      </c>
      <c r="S212" s="1435">
        <f>+P212/Q212</f>
        <v>45.300004400972085</v>
      </c>
      <c r="T212" s="1436" t="s">
        <v>476</v>
      </c>
      <c r="U212" s="1437">
        <v>38481</v>
      </c>
      <c r="V212" s="793"/>
      <c r="W212" s="793"/>
      <c r="X212" s="793">
        <f>+R212+2368343.25+38714.5+289640.52+92012.78+106431.84+41248.31+15884.04+1805928.52+78646.86+24896.66+14911.81+313759.47+12333.32+27572.36</f>
        <v>9913721.8200000003</v>
      </c>
      <c r="Y212" s="793"/>
      <c r="Z212" s="1405" t="s">
        <v>292</v>
      </c>
      <c r="AA212" s="1405" t="s">
        <v>477</v>
      </c>
      <c r="AB212" s="1413"/>
      <c r="AC212" s="1413"/>
      <c r="AE212" s="1414">
        <f>N212</f>
        <v>103386.25</v>
      </c>
      <c r="AF212" s="1405">
        <f>AE212*AF208/AF204</f>
        <v>0.10399456621507508</v>
      </c>
      <c r="AG212" s="1414">
        <f t="shared" si="39"/>
        <v>31311.385959356758</v>
      </c>
      <c r="AJ212" s="1414"/>
      <c r="AK212" s="1439" t="s">
        <v>6916</v>
      </c>
      <c r="AL212" s="1440" t="s">
        <v>376</v>
      </c>
      <c r="AM212" s="1440" t="s">
        <v>376</v>
      </c>
      <c r="AN212" s="1444" t="s">
        <v>5746</v>
      </c>
      <c r="AO212" s="1444" t="s">
        <v>5746</v>
      </c>
      <c r="AP212" s="1442" t="s">
        <v>5748</v>
      </c>
      <c r="AQ212" s="1443">
        <v>103386.25</v>
      </c>
      <c r="AR212" s="1444" t="s">
        <v>5749</v>
      </c>
      <c r="AS212" s="1444">
        <v>1334</v>
      </c>
      <c r="AT212" s="1442" t="s">
        <v>5609</v>
      </c>
    </row>
    <row r="213" spans="1:46" ht="12" customHeight="1">
      <c r="A213" s="1430"/>
      <c r="B213" s="1431"/>
      <c r="C213" s="1430" t="s">
        <v>478</v>
      </c>
      <c r="D213" s="1430"/>
      <c r="E213" s="1430"/>
      <c r="F213" s="1430"/>
      <c r="G213" s="1430"/>
      <c r="H213" s="1430"/>
      <c r="I213" s="1430"/>
      <c r="J213" s="1430"/>
      <c r="K213" s="1433" t="s">
        <v>467</v>
      </c>
      <c r="L213" s="1430"/>
      <c r="M213" s="1433">
        <v>16963</v>
      </c>
      <c r="N213" s="1433">
        <f>+M213</f>
        <v>16963</v>
      </c>
      <c r="O213" s="1433"/>
      <c r="P213" s="1433"/>
      <c r="Q213" s="1433"/>
      <c r="R213" s="793">
        <f>+S213*M213</f>
        <v>768423.89999999991</v>
      </c>
      <c r="S213" s="793">
        <v>45.3</v>
      </c>
      <c r="T213" s="1430" t="s">
        <v>474</v>
      </c>
      <c r="U213" s="1430"/>
      <c r="V213" s="793"/>
      <c r="W213" s="793"/>
      <c r="X213" s="793">
        <f>+R213+47522.49+15096.91+17462.7+6767.78+2606.16+296305.99+12903.91+4084.9+2446.64+51479.78+2023.58+4523.91</f>
        <v>1231648.6499999997</v>
      </c>
      <c r="Y213" s="793"/>
      <c r="Z213" s="1405" t="s">
        <v>303</v>
      </c>
      <c r="AB213" s="1413"/>
      <c r="AC213" s="1413"/>
      <c r="AE213" s="1414">
        <f>N213</f>
        <v>16963</v>
      </c>
      <c r="AF213" s="1405">
        <f>(AE213*AF208/AF204)</f>
        <v>1.7062808900664438E-2</v>
      </c>
      <c r="AG213" s="1414">
        <f t="shared" si="39"/>
        <v>5137.3856777721285</v>
      </c>
      <c r="AJ213" s="1414"/>
      <c r="AK213" s="1439" t="s">
        <v>6917</v>
      </c>
      <c r="AL213" s="1440" t="s">
        <v>376</v>
      </c>
      <c r="AM213" s="1440" t="s">
        <v>376</v>
      </c>
      <c r="AN213" s="1444" t="s">
        <v>5746</v>
      </c>
      <c r="AO213" s="1444" t="s">
        <v>5746</v>
      </c>
      <c r="AP213" s="1442" t="s">
        <v>5748</v>
      </c>
      <c r="AQ213" s="1443">
        <v>16963</v>
      </c>
      <c r="AR213" s="1444" t="s">
        <v>5747</v>
      </c>
      <c r="AS213" s="1444">
        <v>327</v>
      </c>
      <c r="AT213" s="1442" t="s">
        <v>5609</v>
      </c>
    </row>
    <row r="214" spans="1:46" ht="10.5" customHeight="1">
      <c r="A214" s="1430"/>
      <c r="B214" s="1431"/>
      <c r="C214" s="1430" t="s">
        <v>479</v>
      </c>
      <c r="D214" s="1430"/>
      <c r="E214" s="1430"/>
      <c r="F214" s="1430"/>
      <c r="G214" s="1430"/>
      <c r="H214" s="1430"/>
      <c r="I214" s="1430"/>
      <c r="J214" s="1430"/>
      <c r="K214" s="1433" t="s">
        <v>467</v>
      </c>
      <c r="L214" s="1433">
        <v>105324.18</v>
      </c>
      <c r="M214" s="794"/>
      <c r="N214" s="1433">
        <f>+L214</f>
        <v>105324.18</v>
      </c>
      <c r="O214" s="1433"/>
      <c r="P214" s="1433">
        <v>5266209</v>
      </c>
      <c r="Q214" s="1433">
        <f>+L214</f>
        <v>105324.18</v>
      </c>
      <c r="R214" s="1433">
        <f>+P214</f>
        <v>5266209</v>
      </c>
      <c r="S214" s="1435">
        <f>+P214/Q214</f>
        <v>50</v>
      </c>
      <c r="T214" s="1436" t="s">
        <v>476</v>
      </c>
      <c r="U214" s="1437">
        <v>38481</v>
      </c>
      <c r="V214" s="793"/>
      <c r="W214" s="793"/>
      <c r="X214" s="793">
        <f>+R214+2412736.8+39440.18+295069.71+93737.52+108426.86+42021.5+16181.78+1839779.85+80121.07+25363.34+15191.33+319640.75+12564.5+28089.22</f>
        <v>10594573.41</v>
      </c>
      <c r="Y214" s="793"/>
      <c r="Z214" s="1405" t="s">
        <v>292</v>
      </c>
      <c r="AA214" s="1405" t="s">
        <v>480</v>
      </c>
      <c r="AB214" s="1413"/>
      <c r="AC214" s="1413"/>
      <c r="AE214" s="1414">
        <f>N214</f>
        <v>105324.18</v>
      </c>
      <c r="AF214" s="1405">
        <f>(AE214*AF208/AF204)</f>
        <v>0.1059438988362426</v>
      </c>
      <c r="AG214" s="1414">
        <f t="shared" si="39"/>
        <v>31898.304182933065</v>
      </c>
      <c r="AJ214" s="1414"/>
      <c r="AK214" s="1439" t="s">
        <v>6916</v>
      </c>
      <c r="AL214" s="1440" t="s">
        <v>376</v>
      </c>
      <c r="AM214" s="1440" t="s">
        <v>376</v>
      </c>
      <c r="AN214" s="1444" t="s">
        <v>5746</v>
      </c>
      <c r="AO214" s="1444" t="s">
        <v>5746</v>
      </c>
      <c r="AP214" s="1442" t="s">
        <v>5748</v>
      </c>
      <c r="AQ214" s="1443">
        <v>105324.18</v>
      </c>
      <c r="AR214" s="1444" t="s">
        <v>5747</v>
      </c>
      <c r="AS214" s="1444">
        <v>327</v>
      </c>
      <c r="AT214" s="1442" t="s">
        <v>5609</v>
      </c>
    </row>
    <row r="215" spans="1:46" ht="10.5" customHeight="1">
      <c r="A215" s="1430"/>
      <c r="B215" s="1431"/>
      <c r="C215" s="1430"/>
      <c r="D215" s="1430"/>
      <c r="E215" s="1430"/>
      <c r="F215" s="1430"/>
      <c r="G215" s="1430"/>
      <c r="H215" s="1430"/>
      <c r="I215" s="1430"/>
      <c r="J215" s="1430"/>
      <c r="K215" s="1433"/>
      <c r="L215" s="1433"/>
      <c r="M215" s="794"/>
      <c r="N215" s="1433"/>
      <c r="O215" s="1433"/>
      <c r="P215" s="1433"/>
      <c r="Q215" s="1433"/>
      <c r="R215" s="1433"/>
      <c r="S215" s="1435"/>
      <c r="T215" s="1436"/>
      <c r="U215" s="1437"/>
      <c r="V215" s="793"/>
      <c r="W215" s="793"/>
      <c r="X215" s="793"/>
      <c r="Y215" s="793"/>
      <c r="AB215" s="1413"/>
      <c r="AC215" s="1413"/>
      <c r="AE215" s="1414"/>
      <c r="AG215" s="1414"/>
      <c r="AK215" s="1439"/>
      <c r="AL215" s="1440"/>
      <c r="AM215" s="1440"/>
      <c r="AN215" s="1444"/>
      <c r="AO215" s="1444"/>
      <c r="AP215" s="1442"/>
      <c r="AQ215" s="1443"/>
      <c r="AR215" s="1444"/>
      <c r="AS215" s="1444"/>
      <c r="AT215" s="1442"/>
    </row>
    <row r="216" spans="1:46" ht="15" customHeight="1">
      <c r="A216" s="1430"/>
      <c r="B216" s="1431"/>
      <c r="C216" s="1499" t="s">
        <v>467</v>
      </c>
      <c r="D216" s="1499"/>
      <c r="E216" s="1499"/>
      <c r="F216" s="1499"/>
      <c r="G216" s="1499"/>
      <c r="H216" s="1499"/>
      <c r="I216" s="1499"/>
      <c r="J216" s="1499"/>
      <c r="K216" s="1463" t="s">
        <v>98</v>
      </c>
      <c r="L216" s="1446">
        <f>SUM(L209:L214)</f>
        <v>956210.42999999993</v>
      </c>
      <c r="M216" s="1446">
        <f>SUM(M209:M214)</f>
        <v>37940.07</v>
      </c>
      <c r="N216" s="1446">
        <f t="shared" ref="N216:Y216" si="40">SUM(N209:N215)</f>
        <v>246650.5</v>
      </c>
      <c r="O216" s="1446">
        <f t="shared" si="40"/>
        <v>747500</v>
      </c>
      <c r="P216" s="1446">
        <f t="shared" si="40"/>
        <v>9949606.5800000001</v>
      </c>
      <c r="Q216" s="1446">
        <f t="shared" si="40"/>
        <v>208710.43</v>
      </c>
      <c r="R216" s="1446">
        <f t="shared" si="40"/>
        <v>16153291.751</v>
      </c>
      <c r="S216" s="1446">
        <f t="shared" si="40"/>
        <v>237.20000440097209</v>
      </c>
      <c r="T216" s="1446">
        <f t="shared" si="40"/>
        <v>0</v>
      </c>
      <c r="U216" s="1446">
        <f t="shared" si="40"/>
        <v>115070</v>
      </c>
      <c r="V216" s="1446">
        <f t="shared" si="40"/>
        <v>1072008.3409999998</v>
      </c>
      <c r="W216" s="1446">
        <f t="shared" si="40"/>
        <v>4964445.34</v>
      </c>
      <c r="X216" s="1446">
        <f t="shared" si="40"/>
        <v>21739943.880000003</v>
      </c>
      <c r="Y216" s="1446">
        <f t="shared" si="40"/>
        <v>0</v>
      </c>
      <c r="AB216" s="1413"/>
      <c r="AC216" s="1413"/>
      <c r="AE216" s="1414"/>
      <c r="AK216" s="1439"/>
      <c r="AL216" s="1440"/>
      <c r="AM216" s="1440"/>
      <c r="AN216" s="1444"/>
      <c r="AO216" s="1444"/>
      <c r="AP216" s="1442"/>
      <c r="AQ216" s="1443"/>
      <c r="AR216" s="1444"/>
      <c r="AS216" s="1444"/>
      <c r="AT216" s="1442"/>
    </row>
    <row r="217" spans="1:46" ht="11.25">
      <c r="A217" s="1414"/>
      <c r="B217" s="1414"/>
      <c r="C217" s="1414"/>
      <c r="D217" s="1414"/>
      <c r="E217" s="1414"/>
      <c r="F217" s="1414"/>
      <c r="G217" s="1414"/>
      <c r="H217" s="1414"/>
      <c r="I217" s="1414"/>
      <c r="J217" s="1414"/>
      <c r="K217" s="1458" t="s">
        <v>365</v>
      </c>
      <c r="L217" s="1490">
        <f>L216</f>
        <v>956210.42999999993</v>
      </c>
      <c r="M217" s="1490">
        <f>M216</f>
        <v>37940.07</v>
      </c>
      <c r="N217" s="1490">
        <f>N216</f>
        <v>246650.5</v>
      </c>
      <c r="O217" s="1490">
        <f>O216</f>
        <v>747500</v>
      </c>
      <c r="V217" s="816">
        <f>V216</f>
        <v>1072008.3409999998</v>
      </c>
      <c r="W217" s="816">
        <f>W216</f>
        <v>4964445.34</v>
      </c>
      <c r="X217" s="816">
        <f>X216</f>
        <v>21739943.880000003</v>
      </c>
      <c r="Y217" s="816">
        <f>Y216</f>
        <v>0</v>
      </c>
      <c r="AB217" s="1413"/>
      <c r="AC217" s="1413"/>
      <c r="AK217" s="1439"/>
      <c r="AL217" s="1440"/>
      <c r="AM217" s="1440"/>
      <c r="AN217" s="1444"/>
      <c r="AO217" s="1444"/>
      <c r="AP217" s="1442"/>
      <c r="AQ217" s="1443"/>
      <c r="AR217" s="1444"/>
      <c r="AS217" s="1444"/>
      <c r="AT217" s="1442"/>
    </row>
    <row r="218" spans="1:46" ht="11.25">
      <c r="A218" s="1414"/>
      <c r="B218" s="1414"/>
      <c r="C218" s="1414"/>
      <c r="D218" s="1414"/>
      <c r="E218" s="1414"/>
      <c r="F218" s="1414"/>
      <c r="G218" s="1414"/>
      <c r="H218" s="1414"/>
      <c r="I218" s="1414"/>
      <c r="J218" s="1414"/>
      <c r="K218" s="1414"/>
      <c r="L218" s="1414"/>
      <c r="M218" s="1414"/>
      <c r="N218" s="1414"/>
      <c r="O218" s="1414"/>
      <c r="AB218" s="1413"/>
      <c r="AC218" s="1413"/>
      <c r="AF218" s="1422">
        <f>X217+AG206</f>
        <v>22041030.630000003</v>
      </c>
      <c r="AK218" s="1439"/>
      <c r="AL218" s="1440"/>
      <c r="AM218" s="1440"/>
      <c r="AN218" s="1444"/>
      <c r="AO218" s="1444"/>
      <c r="AP218" s="1442"/>
      <c r="AQ218" s="1443"/>
      <c r="AR218" s="1444"/>
      <c r="AS218" s="1444"/>
      <c r="AT218" s="1442"/>
    </row>
    <row r="219" spans="1:46" ht="11.25">
      <c r="A219" s="1414"/>
      <c r="B219" s="1414"/>
      <c r="C219" s="1414"/>
      <c r="D219" s="1414"/>
      <c r="E219" s="1414"/>
      <c r="F219" s="1414"/>
      <c r="G219" s="1414"/>
      <c r="H219" s="1414"/>
      <c r="I219" s="1414"/>
      <c r="J219" s="1414"/>
      <c r="K219" s="1414"/>
      <c r="L219" s="1414"/>
      <c r="M219" s="1414"/>
      <c r="N219" s="1414"/>
      <c r="O219" s="1414"/>
      <c r="AB219" s="1413"/>
      <c r="AC219" s="1413"/>
      <c r="AK219" s="1439"/>
      <c r="AL219" s="1440"/>
      <c r="AM219" s="1440"/>
      <c r="AN219" s="1444"/>
      <c r="AO219" s="1444"/>
      <c r="AP219" s="1442"/>
      <c r="AQ219" s="1443"/>
      <c r="AR219" s="1444"/>
      <c r="AS219" s="1444"/>
      <c r="AT219" s="1442"/>
    </row>
    <row r="220" spans="1:46" ht="11.25">
      <c r="A220" s="1960" t="s">
        <v>481</v>
      </c>
      <c r="B220" s="1961"/>
      <c r="C220" s="1961"/>
      <c r="D220" s="1961"/>
      <c r="E220" s="1961"/>
      <c r="F220" s="1961"/>
      <c r="G220" s="1961"/>
      <c r="H220" s="1961"/>
      <c r="I220" s="1961"/>
      <c r="J220" s="1961"/>
      <c r="K220" s="1961"/>
      <c r="L220" s="1961"/>
      <c r="M220" s="1961"/>
      <c r="N220" s="1961"/>
      <c r="O220" s="1962"/>
      <c r="P220" s="1408"/>
      <c r="Q220" s="1409"/>
      <c r="R220" s="1410"/>
      <c r="S220" s="1411"/>
      <c r="T220" s="1412"/>
      <c r="U220" s="1410"/>
      <c r="V220" s="789"/>
      <c r="W220" s="790"/>
      <c r="X220" s="790"/>
      <c r="Y220" s="791"/>
      <c r="AB220" s="1413"/>
      <c r="AC220" s="1413"/>
      <c r="AK220" s="1439"/>
      <c r="AL220" s="1440"/>
      <c r="AM220" s="1440"/>
      <c r="AN220" s="1444"/>
      <c r="AO220" s="1444"/>
      <c r="AP220" s="1442"/>
      <c r="AQ220" s="1443"/>
      <c r="AR220" s="1444"/>
      <c r="AS220" s="1444"/>
      <c r="AT220" s="1442"/>
    </row>
    <row r="221" spans="1:46" ht="11.25">
      <c r="A221" s="1415"/>
      <c r="B221" s="1416"/>
      <c r="C221" s="1417" t="s">
        <v>256</v>
      </c>
      <c r="D221" s="1417" t="s">
        <v>257</v>
      </c>
      <c r="E221" s="1418" t="s">
        <v>258</v>
      </c>
      <c r="F221" s="1418" t="s">
        <v>259</v>
      </c>
      <c r="G221" s="1418" t="s">
        <v>260</v>
      </c>
      <c r="H221" s="1418" t="s">
        <v>261</v>
      </c>
      <c r="I221" s="1418" t="s">
        <v>262</v>
      </c>
      <c r="J221" s="1418" t="s">
        <v>263</v>
      </c>
      <c r="K221" s="1963" t="s">
        <v>264</v>
      </c>
      <c r="L221" s="1964"/>
      <c r="M221" s="1964"/>
      <c r="N221" s="1964" t="s">
        <v>265</v>
      </c>
      <c r="O221" s="1965"/>
      <c r="P221" s="1466"/>
      <c r="Q221" s="1467"/>
      <c r="R221" s="1421" t="s">
        <v>266</v>
      </c>
      <c r="S221" s="1421" t="s">
        <v>267</v>
      </c>
      <c r="T221" s="1421"/>
      <c r="U221" s="1421"/>
      <c r="V221" s="1966" t="s">
        <v>268</v>
      </c>
      <c r="W221" s="1967"/>
      <c r="X221" s="1967"/>
      <c r="Y221" s="1968"/>
      <c r="AB221" s="1413"/>
      <c r="AC221" s="1413"/>
      <c r="AK221" s="1439"/>
      <c r="AL221" s="1440"/>
      <c r="AM221" s="1440"/>
      <c r="AN221" s="1444"/>
      <c r="AO221" s="1444"/>
      <c r="AP221" s="1442"/>
      <c r="AQ221" s="1443"/>
      <c r="AR221" s="1444"/>
      <c r="AS221" s="1444"/>
      <c r="AT221" s="1442"/>
    </row>
    <row r="222" spans="1:46" ht="11.25">
      <c r="A222" s="1427" t="s">
        <v>269</v>
      </c>
      <c r="B222" s="1421" t="s">
        <v>270</v>
      </c>
      <c r="C222" s="1427" t="s">
        <v>271</v>
      </c>
      <c r="D222" s="1427"/>
      <c r="E222" s="1427"/>
      <c r="F222" s="1427"/>
      <c r="G222" s="1427"/>
      <c r="H222" s="1427"/>
      <c r="I222" s="1427"/>
      <c r="J222" s="1427"/>
      <c r="K222" s="1427" t="s">
        <v>272</v>
      </c>
      <c r="L222" s="1420" t="s">
        <v>273</v>
      </c>
      <c r="M222" s="1421" t="s">
        <v>274</v>
      </c>
      <c r="N222" s="1421" t="s">
        <v>275</v>
      </c>
      <c r="O222" s="1421" t="s">
        <v>276</v>
      </c>
      <c r="P222" s="1428" t="s">
        <v>277</v>
      </c>
      <c r="Q222" s="1428" t="s">
        <v>278</v>
      </c>
      <c r="R222" s="1429" t="s">
        <v>279</v>
      </c>
      <c r="S222" s="1429" t="s">
        <v>280</v>
      </c>
      <c r="T222" s="1429" t="s">
        <v>281</v>
      </c>
      <c r="U222" s="1429" t="s">
        <v>282</v>
      </c>
      <c r="V222" s="792" t="s">
        <v>283</v>
      </c>
      <c r="W222" s="792" t="s">
        <v>284</v>
      </c>
      <c r="X222" s="792" t="s">
        <v>285</v>
      </c>
      <c r="Y222" s="792" t="s">
        <v>286</v>
      </c>
      <c r="AB222" s="1413"/>
      <c r="AC222" s="1413"/>
      <c r="AK222" s="1439"/>
      <c r="AL222" s="1440"/>
      <c r="AM222" s="1440"/>
      <c r="AN222" s="1444"/>
      <c r="AO222" s="1444"/>
      <c r="AP222" s="1442"/>
      <c r="AQ222" s="1443"/>
      <c r="AR222" s="1444"/>
      <c r="AS222" s="1444"/>
      <c r="AT222" s="1442"/>
    </row>
    <row r="223" spans="1:46" ht="12.75">
      <c r="A223" s="1427"/>
      <c r="B223" s="1421"/>
      <c r="C223" s="1514" t="s">
        <v>482</v>
      </c>
      <c r="D223" s="1514"/>
      <c r="E223" s="1514"/>
      <c r="F223" s="1514"/>
      <c r="G223" s="1514"/>
      <c r="H223" s="1514"/>
      <c r="I223" s="1514"/>
      <c r="J223" s="1514"/>
      <c r="K223" s="1430" t="s">
        <v>483</v>
      </c>
      <c r="L223" s="1432">
        <v>872189.86</v>
      </c>
      <c r="M223" s="1421"/>
      <c r="N223" s="1421"/>
      <c r="O223" s="817">
        <f>+L223</f>
        <v>872189.86</v>
      </c>
      <c r="P223" s="1433"/>
      <c r="Q223" s="1433"/>
      <c r="R223" s="793">
        <v>2824680.18</v>
      </c>
      <c r="S223" s="793">
        <f>+R223/L223</f>
        <v>3.2386069932067318</v>
      </c>
      <c r="T223" s="1430" t="s">
        <v>344</v>
      </c>
      <c r="U223" s="1532" t="s">
        <v>484</v>
      </c>
      <c r="V223" s="793"/>
      <c r="W223" s="793">
        <f>+R223+12369536.22+19047.62+4977.12+36000+22857.14</f>
        <v>15277098.279999999</v>
      </c>
      <c r="X223" s="793"/>
      <c r="Y223" s="793"/>
      <c r="Z223" s="1405" t="s">
        <v>345</v>
      </c>
      <c r="AA223" s="1405" t="s">
        <v>485</v>
      </c>
      <c r="AB223" s="1533" t="s">
        <v>486</v>
      </c>
      <c r="AC223" s="1413"/>
      <c r="AJ223" s="1422"/>
      <c r="AK223" s="1439" t="s">
        <v>6918</v>
      </c>
      <c r="AL223" s="1440" t="s">
        <v>376</v>
      </c>
      <c r="AM223" s="1440" t="s">
        <v>376</v>
      </c>
      <c r="AN223" s="1441" t="s">
        <v>483</v>
      </c>
      <c r="AO223" s="1441" t="s">
        <v>483</v>
      </c>
      <c r="AP223" s="1442" t="s">
        <v>5748</v>
      </c>
      <c r="AQ223" s="1443">
        <v>872189.86</v>
      </c>
      <c r="AR223" s="1444" t="s">
        <v>5750</v>
      </c>
      <c r="AS223" s="1444" t="s">
        <v>5751</v>
      </c>
      <c r="AT223" s="1442" t="s">
        <v>5609</v>
      </c>
    </row>
    <row r="224" spans="1:46" ht="12.75">
      <c r="A224" s="1427"/>
      <c r="B224" s="1421"/>
      <c r="C224" s="1514" t="s">
        <v>487</v>
      </c>
      <c r="D224" s="1514"/>
      <c r="E224" s="1514"/>
      <c r="F224" s="1514"/>
      <c r="G224" s="1514"/>
      <c r="H224" s="1514"/>
      <c r="I224" s="1514"/>
      <c r="J224" s="1514"/>
      <c r="K224" s="1430"/>
      <c r="L224" s="1432">
        <v>400000</v>
      </c>
      <c r="M224" s="1421"/>
      <c r="N224" s="1421"/>
      <c r="O224" s="817">
        <v>400000</v>
      </c>
      <c r="P224" s="1433"/>
      <c r="Q224" s="1433"/>
      <c r="R224" s="793"/>
      <c r="S224" s="793"/>
      <c r="T224" s="1430"/>
      <c r="U224" s="1532"/>
      <c r="V224" s="793"/>
      <c r="W224" s="793">
        <v>1352000</v>
      </c>
      <c r="X224" s="793"/>
      <c r="Y224" s="793"/>
      <c r="AB224" s="1533"/>
      <c r="AC224" s="1413"/>
      <c r="AJ224" s="1422"/>
      <c r="AK224" s="1439" t="s">
        <v>6919</v>
      </c>
      <c r="AL224" s="1440" t="s">
        <v>376</v>
      </c>
      <c r="AM224" s="1440" t="s">
        <v>376</v>
      </c>
      <c r="AN224" s="1444" t="s">
        <v>483</v>
      </c>
      <c r="AO224" s="1444" t="s">
        <v>483</v>
      </c>
      <c r="AP224" s="1442" t="s">
        <v>5621</v>
      </c>
      <c r="AQ224" s="1443">
        <v>400000</v>
      </c>
      <c r="AR224" s="1444" t="s">
        <v>5752</v>
      </c>
      <c r="AS224" s="1444" t="s">
        <v>5753</v>
      </c>
      <c r="AT224" s="1442" t="s">
        <v>5609</v>
      </c>
    </row>
    <row r="225" spans="1:46" ht="12.75">
      <c r="A225" s="1427"/>
      <c r="B225" s="1421"/>
      <c r="C225" s="1514" t="s">
        <v>488</v>
      </c>
      <c r="D225" s="1514"/>
      <c r="E225" s="1514"/>
      <c r="F225" s="1514"/>
      <c r="G225" s="1514">
        <v>753</v>
      </c>
      <c r="H225" s="1514" t="s">
        <v>489</v>
      </c>
      <c r="I225" s="1514">
        <v>9</v>
      </c>
      <c r="J225" s="1514"/>
      <c r="K225" s="1430" t="s">
        <v>483</v>
      </c>
      <c r="L225" s="1432"/>
      <c r="M225" s="1421"/>
      <c r="N225" s="1421"/>
      <c r="O225" s="817">
        <v>1129525.6200000001</v>
      </c>
      <c r="P225" s="1433"/>
      <c r="Q225" s="1433"/>
      <c r="R225" s="793"/>
      <c r="S225" s="793"/>
      <c r="T225" s="1430"/>
      <c r="U225" s="1532"/>
      <c r="V225" s="793"/>
      <c r="W225" s="793">
        <v>7577996.4199999999</v>
      </c>
      <c r="X225" s="793"/>
      <c r="Y225" s="793"/>
      <c r="AB225" s="1533"/>
      <c r="AC225" s="1413"/>
      <c r="AJ225" s="1422"/>
      <c r="AK225" s="1439" t="s">
        <v>6920</v>
      </c>
      <c r="AL225" s="1440" t="s">
        <v>376</v>
      </c>
      <c r="AM225" s="1440" t="s">
        <v>376</v>
      </c>
      <c r="AN225" s="1444" t="s">
        <v>483</v>
      </c>
      <c r="AO225" s="1444" t="s">
        <v>483</v>
      </c>
      <c r="AP225" s="1442" t="s">
        <v>5621</v>
      </c>
      <c r="AQ225" s="1443">
        <v>1129525.6200000001</v>
      </c>
      <c r="AR225" s="1444" t="s">
        <v>5750</v>
      </c>
      <c r="AS225" s="1444" t="s">
        <v>5754</v>
      </c>
      <c r="AT225" s="1442" t="s">
        <v>5609</v>
      </c>
    </row>
    <row r="226" spans="1:46" ht="12.75">
      <c r="A226" s="1427"/>
      <c r="B226" s="1421"/>
      <c r="C226" s="1514" t="s">
        <v>1303</v>
      </c>
      <c r="D226" s="1514"/>
      <c r="E226" s="1514"/>
      <c r="F226" s="1514"/>
      <c r="G226" s="1514"/>
      <c r="H226" s="1514"/>
      <c r="I226" s="1514"/>
      <c r="J226" s="1514"/>
      <c r="K226" s="1430"/>
      <c r="L226" s="1432"/>
      <c r="M226" s="1421"/>
      <c r="N226" s="1421"/>
      <c r="O226" s="817">
        <v>5000</v>
      </c>
      <c r="P226" s="1433"/>
      <c r="Q226" s="1433"/>
      <c r="R226" s="793"/>
      <c r="S226" s="793"/>
      <c r="T226" s="1430"/>
      <c r="U226" s="1532"/>
      <c r="V226" s="793"/>
      <c r="W226" s="793">
        <v>120000</v>
      </c>
      <c r="X226" s="793"/>
      <c r="Y226" s="793"/>
      <c r="AB226" s="1533"/>
      <c r="AC226" s="1413"/>
      <c r="AJ226" s="1422"/>
      <c r="AK226" s="1439" t="s">
        <v>6921</v>
      </c>
      <c r="AL226" s="1440" t="s">
        <v>376</v>
      </c>
      <c r="AM226" s="1440" t="s">
        <v>376</v>
      </c>
      <c r="AN226" s="1444" t="s">
        <v>5755</v>
      </c>
      <c r="AO226" s="1444" t="s">
        <v>5755</v>
      </c>
      <c r="AP226" s="1442" t="s">
        <v>5621</v>
      </c>
      <c r="AQ226" s="1448">
        <v>5000</v>
      </c>
      <c r="AR226" s="1442" t="s">
        <v>5756</v>
      </c>
      <c r="AS226" s="1444" t="s">
        <v>5609</v>
      </c>
      <c r="AT226" s="1442" t="s">
        <v>5757</v>
      </c>
    </row>
    <row r="227" spans="1:46" ht="12.75">
      <c r="A227" s="1427"/>
      <c r="B227" s="1421"/>
      <c r="C227" s="1514" t="s">
        <v>1304</v>
      </c>
      <c r="D227" s="1514"/>
      <c r="E227" s="1514"/>
      <c r="F227" s="1514"/>
      <c r="G227" s="1514"/>
      <c r="H227" s="1514"/>
      <c r="I227" s="1514"/>
      <c r="J227" s="1514"/>
      <c r="K227" s="1430"/>
      <c r="L227" s="1432"/>
      <c r="M227" s="1421"/>
      <c r="N227" s="1421"/>
      <c r="O227" s="817">
        <v>5000</v>
      </c>
      <c r="P227" s="1433"/>
      <c r="Q227" s="1433"/>
      <c r="R227" s="793"/>
      <c r="S227" s="793"/>
      <c r="T227" s="1430"/>
      <c r="U227" s="1532"/>
      <c r="V227" s="793"/>
      <c r="W227" s="793">
        <v>160000</v>
      </c>
      <c r="X227" s="793"/>
      <c r="Y227" s="793"/>
      <c r="AB227" s="1533"/>
      <c r="AC227" s="1413"/>
      <c r="AJ227" s="1422"/>
      <c r="AK227" s="1439" t="s">
        <v>6922</v>
      </c>
      <c r="AL227" s="1440" t="s">
        <v>376</v>
      </c>
      <c r="AM227" s="1440" t="s">
        <v>376</v>
      </c>
      <c r="AN227" s="1444" t="s">
        <v>5758</v>
      </c>
      <c r="AO227" s="1444" t="s">
        <v>5758</v>
      </c>
      <c r="AP227" s="1442" t="s">
        <v>5621</v>
      </c>
      <c r="AQ227" s="1448">
        <v>5000</v>
      </c>
      <c r="AR227" s="1442" t="s">
        <v>5756</v>
      </c>
      <c r="AS227" s="1444" t="s">
        <v>5609</v>
      </c>
      <c r="AT227" s="1442" t="s">
        <v>5757</v>
      </c>
    </row>
    <row r="228" spans="1:46" ht="12.75">
      <c r="A228" s="1427"/>
      <c r="B228" s="1421"/>
      <c r="C228" s="1514" t="s">
        <v>1305</v>
      </c>
      <c r="D228" s="1514"/>
      <c r="E228" s="1514"/>
      <c r="F228" s="1514"/>
      <c r="G228" s="1514"/>
      <c r="H228" s="1514"/>
      <c r="I228" s="1514"/>
      <c r="J228" s="1514"/>
      <c r="K228" s="1430"/>
      <c r="L228" s="1432"/>
      <c r="M228" s="1421"/>
      <c r="N228" s="1421"/>
      <c r="O228" s="817">
        <v>5000</v>
      </c>
      <c r="P228" s="1433"/>
      <c r="Q228" s="1433"/>
      <c r="R228" s="793"/>
      <c r="S228" s="793"/>
      <c r="T228" s="1430"/>
      <c r="U228" s="1532"/>
      <c r="V228" s="793"/>
      <c r="W228" s="793">
        <v>160000</v>
      </c>
      <c r="X228" s="793"/>
      <c r="Y228" s="793"/>
      <c r="AB228" s="1533"/>
      <c r="AC228" s="1413"/>
      <c r="AJ228" s="1422"/>
      <c r="AK228" s="1439" t="s">
        <v>6923</v>
      </c>
      <c r="AL228" s="1440" t="s">
        <v>376</v>
      </c>
      <c r="AM228" s="1440" t="s">
        <v>376</v>
      </c>
      <c r="AN228" s="1444" t="s">
        <v>5759</v>
      </c>
      <c r="AO228" s="1444" t="s">
        <v>5759</v>
      </c>
      <c r="AP228" s="1442" t="s">
        <v>5621</v>
      </c>
      <c r="AQ228" s="1448">
        <v>5000</v>
      </c>
      <c r="AR228" s="1442" t="s">
        <v>5756</v>
      </c>
      <c r="AS228" s="1444" t="s">
        <v>5609</v>
      </c>
      <c r="AT228" s="1442" t="s">
        <v>5757</v>
      </c>
    </row>
    <row r="229" spans="1:46" ht="11.25">
      <c r="A229" s="1430"/>
      <c r="B229" s="1431"/>
      <c r="C229" s="1463" t="s">
        <v>483</v>
      </c>
      <c r="D229" s="1463"/>
      <c r="E229" s="1463"/>
      <c r="F229" s="1463"/>
      <c r="G229" s="1463"/>
      <c r="H229" s="1463"/>
      <c r="I229" s="1463"/>
      <c r="J229" s="1463"/>
      <c r="K229" s="1463" t="s">
        <v>98</v>
      </c>
      <c r="L229" s="1446">
        <f>SUM(L223:L224)</f>
        <v>1272189.8599999999</v>
      </c>
      <c r="M229" s="1446">
        <f>SUM(M223:M224)</f>
        <v>0</v>
      </c>
      <c r="N229" s="1446">
        <f>SUM(N223:N228)</f>
        <v>0</v>
      </c>
      <c r="O229" s="1446">
        <f t="shared" ref="O229:W229" si="41">SUM(O223:O228)</f>
        <v>2416715.48</v>
      </c>
      <c r="P229" s="1446">
        <f t="shared" si="41"/>
        <v>0</v>
      </c>
      <c r="Q229" s="1446">
        <f t="shared" si="41"/>
        <v>0</v>
      </c>
      <c r="R229" s="1446">
        <f t="shared" si="41"/>
        <v>2824680.18</v>
      </c>
      <c r="S229" s="1446">
        <f t="shared" si="41"/>
        <v>3.2386069932067318</v>
      </c>
      <c r="T229" s="1446">
        <f t="shared" si="41"/>
        <v>0</v>
      </c>
      <c r="U229" s="1446">
        <f t="shared" si="41"/>
        <v>0</v>
      </c>
      <c r="V229" s="1446">
        <f t="shared" si="41"/>
        <v>0</v>
      </c>
      <c r="W229" s="1446">
        <f t="shared" si="41"/>
        <v>24647094.699999999</v>
      </c>
      <c r="X229" s="1464">
        <f>SUM(X223:X226)</f>
        <v>0</v>
      </c>
      <c r="Y229" s="1464">
        <f>SUM(Y223:Y226)</f>
        <v>0</v>
      </c>
      <c r="AB229" s="1413"/>
      <c r="AC229" s="1413"/>
      <c r="AK229" s="1439"/>
      <c r="AL229" s="1440"/>
      <c r="AM229" s="1440"/>
      <c r="AN229" s="1444"/>
      <c r="AO229" s="1444"/>
      <c r="AP229" s="1442"/>
      <c r="AQ229" s="1448"/>
      <c r="AR229" s="1442"/>
      <c r="AS229" s="1444"/>
      <c r="AT229" s="1442"/>
    </row>
    <row r="230" spans="1:46" ht="11.25">
      <c r="B230" s="1488"/>
      <c r="C230" s="1459"/>
      <c r="D230" s="1459"/>
      <c r="E230" s="1459"/>
      <c r="F230" s="1459"/>
      <c r="G230" s="1459"/>
      <c r="H230" s="1459"/>
      <c r="I230" s="1459"/>
      <c r="J230" s="1459"/>
      <c r="K230" s="1459" t="s">
        <v>365</v>
      </c>
      <c r="L230" s="1490">
        <f>L229</f>
        <v>1272189.8599999999</v>
      </c>
      <c r="M230" s="1490">
        <f t="shared" ref="M230:Y230" si="42">M229</f>
        <v>0</v>
      </c>
      <c r="N230" s="1490">
        <f t="shared" si="42"/>
        <v>0</v>
      </c>
      <c r="O230" s="1490">
        <f t="shared" si="42"/>
        <v>2416715.48</v>
      </c>
      <c r="P230" s="1490"/>
      <c r="Q230" s="1490"/>
      <c r="R230" s="1490"/>
      <c r="S230" s="1490"/>
      <c r="T230" s="1490">
        <f t="shared" si="42"/>
        <v>0</v>
      </c>
      <c r="U230" s="1490">
        <f t="shared" si="42"/>
        <v>0</v>
      </c>
      <c r="V230" s="1490">
        <f t="shared" si="42"/>
        <v>0</v>
      </c>
      <c r="W230" s="1490">
        <f t="shared" si="42"/>
        <v>24647094.699999999</v>
      </c>
      <c r="X230" s="1490">
        <f t="shared" si="42"/>
        <v>0</v>
      </c>
      <c r="Y230" s="1490">
        <f t="shared" si="42"/>
        <v>0</v>
      </c>
      <c r="AB230" s="1413"/>
      <c r="AC230" s="1413"/>
      <c r="AK230" s="1439"/>
      <c r="AL230" s="1440"/>
      <c r="AM230" s="1440"/>
      <c r="AN230" s="1444"/>
      <c r="AO230" s="1444"/>
      <c r="AP230" s="1442"/>
      <c r="AQ230" s="1448"/>
      <c r="AR230" s="1442"/>
      <c r="AS230" s="1444"/>
      <c r="AT230" s="1442"/>
    </row>
    <row r="231" spans="1:46" ht="11.25">
      <c r="A231" s="1414"/>
      <c r="B231" s="1414"/>
      <c r="C231" s="1414"/>
      <c r="D231" s="1414"/>
      <c r="E231" s="1414"/>
      <c r="F231" s="1414"/>
      <c r="G231" s="1414"/>
      <c r="H231" s="1414"/>
      <c r="I231" s="1414"/>
      <c r="J231" s="1414"/>
      <c r="K231" s="1414"/>
      <c r="L231" s="1414"/>
      <c r="M231" s="1414"/>
      <c r="N231" s="1414"/>
      <c r="O231" s="1414"/>
      <c r="AK231" s="1439"/>
      <c r="AL231" s="1440"/>
      <c r="AM231" s="1440"/>
      <c r="AN231" s="1444"/>
      <c r="AO231" s="1444"/>
      <c r="AP231" s="1442"/>
      <c r="AQ231" s="1448"/>
      <c r="AR231" s="1442"/>
      <c r="AS231" s="1444"/>
      <c r="AT231" s="1442"/>
    </row>
    <row r="232" spans="1:46" ht="11.25">
      <c r="A232" s="1414"/>
      <c r="B232" s="1534"/>
      <c r="C232" s="1414"/>
      <c r="D232" s="1414"/>
      <c r="E232" s="1414"/>
      <c r="F232" s="1414"/>
      <c r="G232" s="1414"/>
      <c r="H232" s="1414"/>
      <c r="I232" s="1414"/>
      <c r="J232" s="1414"/>
      <c r="K232" s="1414"/>
      <c r="L232" s="1414"/>
      <c r="M232" s="1414"/>
      <c r="N232" s="1414"/>
      <c r="O232" s="1414"/>
      <c r="AK232" s="1439"/>
      <c r="AL232" s="1440"/>
      <c r="AM232" s="1440"/>
      <c r="AN232" s="1444"/>
      <c r="AO232" s="1444"/>
      <c r="AP232" s="1442"/>
      <c r="AQ232" s="1448"/>
      <c r="AR232" s="1442"/>
      <c r="AS232" s="1444"/>
      <c r="AT232" s="1442"/>
    </row>
    <row r="233" spans="1:46" ht="11.25">
      <c r="A233" s="1414"/>
      <c r="B233" s="1414"/>
      <c r="C233" s="1414"/>
      <c r="D233" s="1414"/>
      <c r="E233" s="1414"/>
      <c r="F233" s="1414"/>
      <c r="G233" s="1414"/>
      <c r="H233" s="1414"/>
      <c r="I233" s="1414"/>
      <c r="J233" s="1414"/>
      <c r="K233" s="1414"/>
      <c r="L233" s="1414"/>
      <c r="M233" s="1414"/>
      <c r="N233" s="1414"/>
      <c r="O233" s="1414"/>
      <c r="AB233" s="1413"/>
      <c r="AC233" s="1413"/>
      <c r="AK233" s="1439"/>
      <c r="AL233" s="1440"/>
      <c r="AM233" s="1440"/>
      <c r="AN233" s="1444"/>
      <c r="AO233" s="1444"/>
      <c r="AP233" s="1442"/>
      <c r="AQ233" s="1448"/>
      <c r="AR233" s="1442"/>
      <c r="AS233" s="1444"/>
      <c r="AT233" s="1442"/>
    </row>
    <row r="234" spans="1:46" ht="11.25">
      <c r="A234" s="1414"/>
      <c r="B234" s="1414"/>
      <c r="C234" s="1414"/>
      <c r="D234" s="1414"/>
      <c r="E234" s="1414"/>
      <c r="F234" s="1414"/>
      <c r="G234" s="1414"/>
      <c r="H234" s="1414"/>
      <c r="I234" s="1414"/>
      <c r="J234" s="1414"/>
      <c r="K234" s="1414"/>
      <c r="L234" s="1414"/>
      <c r="M234" s="1414"/>
      <c r="N234" s="1414"/>
      <c r="O234" s="1414"/>
      <c r="AB234" s="1413"/>
      <c r="AC234" s="1413"/>
      <c r="AH234" s="1414">
        <f>566556.34+3376724.8</f>
        <v>3943281.1399999997</v>
      </c>
      <c r="AK234" s="1439"/>
      <c r="AL234" s="1440"/>
      <c r="AM234" s="1440"/>
      <c r="AN234" s="1444"/>
      <c r="AO234" s="1444"/>
      <c r="AP234" s="1442"/>
      <c r="AQ234" s="1448"/>
      <c r="AR234" s="1442"/>
      <c r="AS234" s="1444"/>
      <c r="AT234" s="1442"/>
    </row>
    <row r="235" spans="1:46" ht="11.25">
      <c r="A235" s="1414"/>
      <c r="B235" s="1414"/>
      <c r="C235" s="1414"/>
      <c r="D235" s="1414"/>
      <c r="E235" s="1414"/>
      <c r="F235" s="1414"/>
      <c r="G235" s="1414"/>
      <c r="H235" s="1414"/>
      <c r="I235" s="1414"/>
      <c r="J235" s="1414"/>
      <c r="K235" s="1414"/>
      <c r="L235" s="1414"/>
      <c r="M235" s="1414"/>
      <c r="N235" s="1414"/>
      <c r="O235" s="1414"/>
      <c r="AB235" s="1413"/>
      <c r="AC235" s="1413"/>
      <c r="AK235" s="1439"/>
      <c r="AL235" s="1440"/>
      <c r="AM235" s="1440"/>
      <c r="AN235" s="1444"/>
      <c r="AO235" s="1444"/>
      <c r="AP235" s="1442"/>
      <c r="AQ235" s="1448"/>
      <c r="AR235" s="1442"/>
      <c r="AS235" s="1444"/>
      <c r="AT235" s="1442"/>
    </row>
    <row r="236" spans="1:46" ht="11.25">
      <c r="A236" s="1960" t="s">
        <v>490</v>
      </c>
      <c r="B236" s="1961"/>
      <c r="C236" s="1961"/>
      <c r="D236" s="1961"/>
      <c r="E236" s="1961"/>
      <c r="F236" s="1961"/>
      <c r="G236" s="1961"/>
      <c r="H236" s="1961"/>
      <c r="I236" s="1961"/>
      <c r="J236" s="1961"/>
      <c r="K236" s="1961"/>
      <c r="L236" s="1961"/>
      <c r="M236" s="1961"/>
      <c r="N236" s="1961"/>
      <c r="O236" s="1962"/>
      <c r="P236" s="1408"/>
      <c r="Q236" s="1409"/>
      <c r="R236" s="1410"/>
      <c r="S236" s="1411"/>
      <c r="T236" s="1412"/>
      <c r="U236" s="1410"/>
      <c r="V236" s="789"/>
      <c r="W236" s="790"/>
      <c r="X236" s="790"/>
      <c r="Y236" s="791"/>
      <c r="AB236" s="1413"/>
      <c r="AC236" s="1413"/>
      <c r="AK236" s="1439"/>
      <c r="AL236" s="1440"/>
      <c r="AM236" s="1440"/>
      <c r="AN236" s="1444"/>
      <c r="AO236" s="1444"/>
      <c r="AP236" s="1442"/>
      <c r="AQ236" s="1448"/>
      <c r="AR236" s="1442"/>
      <c r="AS236" s="1444"/>
      <c r="AT236" s="1442"/>
    </row>
    <row r="237" spans="1:46" ht="11.25">
      <c r="A237" s="1415"/>
      <c r="B237" s="1416"/>
      <c r="C237" s="1417" t="s">
        <v>256</v>
      </c>
      <c r="D237" s="1417" t="s">
        <v>257</v>
      </c>
      <c r="E237" s="1418" t="s">
        <v>258</v>
      </c>
      <c r="F237" s="1418" t="s">
        <v>259</v>
      </c>
      <c r="G237" s="1418" t="s">
        <v>260</v>
      </c>
      <c r="H237" s="1418" t="s">
        <v>261</v>
      </c>
      <c r="I237" s="1418" t="s">
        <v>262</v>
      </c>
      <c r="J237" s="1418" t="s">
        <v>263</v>
      </c>
      <c r="K237" s="1963" t="s">
        <v>264</v>
      </c>
      <c r="L237" s="1964"/>
      <c r="M237" s="1964"/>
      <c r="N237" s="1964" t="s">
        <v>265</v>
      </c>
      <c r="O237" s="1965"/>
      <c r="P237" s="1466"/>
      <c r="Q237" s="1467"/>
      <c r="R237" s="1421" t="s">
        <v>266</v>
      </c>
      <c r="S237" s="1421" t="s">
        <v>267</v>
      </c>
      <c r="T237" s="1421"/>
      <c r="U237" s="1421"/>
      <c r="V237" s="1966" t="s">
        <v>268</v>
      </c>
      <c r="W237" s="1967"/>
      <c r="X237" s="1967"/>
      <c r="Y237" s="1968"/>
      <c r="AB237" s="1413"/>
      <c r="AC237" s="1413"/>
      <c r="AF237" s="1423">
        <v>1</v>
      </c>
      <c r="AG237" s="1414">
        <f>SUM(AF242:AF267)</f>
        <v>279151.51699999999</v>
      </c>
      <c r="AH237" s="1414"/>
      <c r="AK237" s="1439"/>
      <c r="AL237" s="1440"/>
      <c r="AM237" s="1440"/>
      <c r="AN237" s="1444"/>
      <c r="AO237" s="1444"/>
      <c r="AP237" s="1442"/>
      <c r="AQ237" s="1448"/>
      <c r="AR237" s="1442"/>
      <c r="AS237" s="1444"/>
      <c r="AT237" s="1442"/>
    </row>
    <row r="238" spans="1:46" ht="13.5" customHeight="1">
      <c r="A238" s="1427" t="s">
        <v>269</v>
      </c>
      <c r="B238" s="1421" t="s">
        <v>270</v>
      </c>
      <c r="C238" s="1427" t="s">
        <v>271</v>
      </c>
      <c r="D238" s="1427"/>
      <c r="E238" s="1427"/>
      <c r="F238" s="1427"/>
      <c r="G238" s="1427"/>
      <c r="H238" s="1427"/>
      <c r="I238" s="1427"/>
      <c r="J238" s="1427"/>
      <c r="K238" s="1427" t="s">
        <v>272</v>
      </c>
      <c r="L238" s="1420" t="s">
        <v>273</v>
      </c>
      <c r="M238" s="1421" t="s">
        <v>274</v>
      </c>
      <c r="N238" s="1421" t="s">
        <v>275</v>
      </c>
      <c r="O238" s="1421" t="s">
        <v>276</v>
      </c>
      <c r="P238" s="1428" t="s">
        <v>277</v>
      </c>
      <c r="Q238" s="1428" t="s">
        <v>278</v>
      </c>
      <c r="R238" s="1429" t="s">
        <v>279</v>
      </c>
      <c r="S238" s="1429" t="s">
        <v>280</v>
      </c>
      <c r="T238" s="1429" t="s">
        <v>281</v>
      </c>
      <c r="U238" s="1429" t="s">
        <v>282</v>
      </c>
      <c r="V238" s="792" t="s">
        <v>283</v>
      </c>
      <c r="W238" s="792" t="s">
        <v>284</v>
      </c>
      <c r="X238" s="792" t="s">
        <v>285</v>
      </c>
      <c r="Y238" s="792" t="s">
        <v>286</v>
      </c>
      <c r="AB238" s="1413"/>
      <c r="AC238" s="1413"/>
      <c r="AE238" s="1414"/>
      <c r="AF238" s="1414"/>
      <c r="AG238" s="1414"/>
      <c r="AH238" s="1414"/>
      <c r="AK238" s="1439"/>
      <c r="AL238" s="1440"/>
      <c r="AM238" s="1440"/>
      <c r="AN238" s="1444"/>
      <c r="AO238" s="1444"/>
      <c r="AP238" s="1442"/>
      <c r="AQ238" s="1448"/>
      <c r="AR238" s="1442"/>
      <c r="AS238" s="1444"/>
      <c r="AT238" s="1442"/>
    </row>
    <row r="239" spans="1:46" ht="15" hidden="1" customHeight="1">
      <c r="A239" s="1514"/>
      <c r="B239" s="1516" t="s">
        <v>491</v>
      </c>
      <c r="C239" s="1514" t="s">
        <v>492</v>
      </c>
      <c r="D239" s="1466">
        <v>7500000</v>
      </c>
      <c r="E239" s="1524">
        <v>38200</v>
      </c>
      <c r="F239" s="1524">
        <v>38181</v>
      </c>
      <c r="G239" s="1514">
        <v>504</v>
      </c>
      <c r="H239" s="1514" t="s">
        <v>313</v>
      </c>
      <c r="I239" s="1514">
        <v>95</v>
      </c>
      <c r="J239" s="1514" t="s">
        <v>314</v>
      </c>
      <c r="K239" s="1514" t="s">
        <v>493</v>
      </c>
      <c r="L239" s="1515">
        <v>3384.6</v>
      </c>
      <c r="M239" s="1516"/>
      <c r="N239" s="1515">
        <f>+L239-3384.6</f>
        <v>0</v>
      </c>
      <c r="O239" s="817"/>
      <c r="P239" s="1433"/>
      <c r="Q239" s="1433"/>
      <c r="R239" s="793">
        <f>7500000*0.2</f>
        <v>1500000</v>
      </c>
      <c r="S239" s="793">
        <f>+R239/L239</f>
        <v>443.1838326537848</v>
      </c>
      <c r="T239" s="1430" t="s">
        <v>344</v>
      </c>
      <c r="U239" s="1447">
        <v>37987</v>
      </c>
      <c r="V239" s="793"/>
      <c r="W239" s="793">
        <f>+R239+3498-1503498</f>
        <v>0</v>
      </c>
      <c r="X239" s="793"/>
      <c r="Y239" s="793"/>
      <c r="Z239" s="1405" t="s">
        <v>345</v>
      </c>
      <c r="AA239" s="1405" t="s">
        <v>494</v>
      </c>
      <c r="AB239" s="1535" t="s">
        <v>495</v>
      </c>
      <c r="AC239" s="1413" t="s">
        <v>496</v>
      </c>
      <c r="AE239" s="1414"/>
      <c r="AF239" s="1414"/>
      <c r="AG239" s="1414"/>
      <c r="AH239" s="1414"/>
      <c r="AK239" s="1439"/>
      <c r="AL239" s="1440"/>
      <c r="AM239" s="1440"/>
      <c r="AN239" s="1444"/>
      <c r="AO239" s="1444"/>
      <c r="AP239" s="1442"/>
      <c r="AQ239" s="1448"/>
      <c r="AR239" s="1442"/>
      <c r="AS239" s="1444"/>
      <c r="AT239" s="1442"/>
    </row>
    <row r="240" spans="1:46" s="1407" customFormat="1" ht="12.75" hidden="1" customHeight="1">
      <c r="A240" s="1430">
        <v>63</v>
      </c>
      <c r="B240" s="1431">
        <v>1</v>
      </c>
      <c r="C240" s="1430" t="s">
        <v>497</v>
      </c>
      <c r="D240" s="1466"/>
      <c r="E240" s="1524"/>
      <c r="F240" s="1524"/>
      <c r="G240" s="1514"/>
      <c r="H240" s="1514"/>
      <c r="I240" s="1514"/>
      <c r="J240" s="1514"/>
      <c r="K240" s="1514" t="s">
        <v>493</v>
      </c>
      <c r="L240" s="1434">
        <v>491</v>
      </c>
      <c r="M240" s="1462"/>
      <c r="N240" s="1434">
        <f>+L240-491</f>
        <v>0</v>
      </c>
      <c r="O240" s="818"/>
      <c r="P240" s="1433"/>
      <c r="Q240" s="1433"/>
      <c r="R240" s="793">
        <f>1750000*0.2</f>
        <v>350000</v>
      </c>
      <c r="S240" s="793">
        <f>+R240/L240</f>
        <v>712.83095723014253</v>
      </c>
      <c r="T240" s="1430" t="s">
        <v>344</v>
      </c>
      <c r="U240" s="1447">
        <v>38139</v>
      </c>
      <c r="V240" s="796"/>
      <c r="W240" s="793">
        <f>+R240+3498-353498</f>
        <v>0</v>
      </c>
      <c r="X240" s="796"/>
      <c r="Y240" s="1461"/>
      <c r="Z240" s="1407" t="s">
        <v>345</v>
      </c>
      <c r="AA240" s="1407" t="s">
        <v>498</v>
      </c>
      <c r="AB240" s="1535" t="s">
        <v>499</v>
      </c>
      <c r="AC240" s="1413" t="s">
        <v>500</v>
      </c>
      <c r="AD240" s="1405"/>
      <c r="AE240" s="1414"/>
      <c r="AF240" s="1414"/>
      <c r="AG240" s="1414"/>
      <c r="AH240" s="1414"/>
      <c r="AK240" s="1439"/>
      <c r="AL240" s="1440"/>
      <c r="AM240" s="1440"/>
      <c r="AN240" s="1444"/>
      <c r="AO240" s="1444"/>
      <c r="AP240" s="1442"/>
      <c r="AQ240" s="1448"/>
      <c r="AR240" s="1442"/>
      <c r="AS240" s="1444"/>
      <c r="AT240" s="1442"/>
    </row>
    <row r="241" spans="1:46" s="1407" customFormat="1" ht="12.75" hidden="1" customHeight="1">
      <c r="A241" s="1449">
        <v>65</v>
      </c>
      <c r="B241" s="1450">
        <v>4</v>
      </c>
      <c r="C241" s="1514" t="s">
        <v>501</v>
      </c>
      <c r="D241" s="1466"/>
      <c r="E241" s="1524"/>
      <c r="F241" s="1524"/>
      <c r="G241" s="1514"/>
      <c r="H241" s="1514"/>
      <c r="I241" s="1514"/>
      <c r="J241" s="1514"/>
      <c r="K241" s="1514" t="s">
        <v>493</v>
      </c>
      <c r="L241" s="1536"/>
      <c r="M241" s="1429"/>
      <c r="N241" s="1536">
        <f>452-452</f>
        <v>0</v>
      </c>
      <c r="O241" s="819"/>
      <c r="P241" s="1453"/>
      <c r="Q241" s="1453"/>
      <c r="R241" s="795"/>
      <c r="S241" s="793"/>
      <c r="T241" s="1430"/>
      <c r="U241" s="1447"/>
      <c r="V241" s="796"/>
      <c r="W241" s="793">
        <f>87400-87400</f>
        <v>0</v>
      </c>
      <c r="X241" s="796"/>
      <c r="Y241" s="1461"/>
      <c r="AB241" s="1535"/>
      <c r="AC241" s="1413"/>
      <c r="AD241" s="1405"/>
      <c r="AE241" s="1414"/>
      <c r="AF241" s="1414"/>
      <c r="AG241" s="1414"/>
      <c r="AH241" s="1414"/>
      <c r="AK241" s="1439"/>
      <c r="AL241" s="1440"/>
      <c r="AM241" s="1440"/>
      <c r="AN241" s="1444"/>
      <c r="AO241" s="1444"/>
      <c r="AP241" s="1442"/>
      <c r="AQ241" s="1448"/>
      <c r="AR241" s="1442"/>
      <c r="AS241" s="1444"/>
      <c r="AT241" s="1442"/>
    </row>
    <row r="242" spans="1:46" s="1407" customFormat="1" ht="12.75" customHeight="1">
      <c r="A242" s="1449">
        <v>70</v>
      </c>
      <c r="B242" s="1450">
        <v>4</v>
      </c>
      <c r="C242" s="1514" t="s">
        <v>502</v>
      </c>
      <c r="D242" s="1466">
        <v>74520</v>
      </c>
      <c r="E242" s="1524">
        <v>38708</v>
      </c>
      <c r="F242" s="1524">
        <v>38717</v>
      </c>
      <c r="G242" s="1514">
        <v>5078</v>
      </c>
      <c r="H242" s="1514"/>
      <c r="I242" s="1514">
        <v>158</v>
      </c>
      <c r="J242" s="1514" t="s">
        <v>382</v>
      </c>
      <c r="K242" s="1514" t="s">
        <v>493</v>
      </c>
      <c r="L242" s="1536"/>
      <c r="M242" s="1429"/>
      <c r="N242" s="1536">
        <v>828</v>
      </c>
      <c r="O242" s="819"/>
      <c r="P242" s="1453"/>
      <c r="Q242" s="1453"/>
      <c r="R242" s="795"/>
      <c r="S242" s="793"/>
      <c r="T242" s="1430"/>
      <c r="U242" s="1447"/>
      <c r="V242" s="796"/>
      <c r="W242" s="793">
        <f>74520+11696.27</f>
        <v>86216.27</v>
      </c>
      <c r="X242" s="796"/>
      <c r="Y242" s="1461"/>
      <c r="AB242" s="1535"/>
      <c r="AC242" s="1413"/>
      <c r="AD242" s="1405"/>
      <c r="AE242" s="1414"/>
      <c r="AF242" s="1414">
        <f>N242</f>
        <v>828</v>
      </c>
      <c r="AG242" s="1510">
        <f>(AF242*$AF$237)/$AG$237</f>
        <v>2.9661311136632658E-3</v>
      </c>
      <c r="AH242" s="1490">
        <f>$AH$234*AG242</f>
        <v>11696.288879275551</v>
      </c>
      <c r="AJ242" s="1490"/>
      <c r="AK242" s="1439" t="s">
        <v>6924</v>
      </c>
      <c r="AL242" s="1440" t="s">
        <v>376</v>
      </c>
      <c r="AM242" s="1440" t="s">
        <v>376</v>
      </c>
      <c r="AN242" s="1444" t="s">
        <v>5760</v>
      </c>
      <c r="AO242" s="1444" t="s">
        <v>5760</v>
      </c>
      <c r="AP242" s="1442" t="s">
        <v>5621</v>
      </c>
      <c r="AQ242" s="1498">
        <v>828</v>
      </c>
      <c r="AR242" s="1444" t="s">
        <v>5761</v>
      </c>
      <c r="AS242" s="1444" t="s">
        <v>5762</v>
      </c>
      <c r="AT242" s="1444" t="s">
        <v>5609</v>
      </c>
    </row>
    <row r="243" spans="1:46" s="1407" customFormat="1" ht="12.75" customHeight="1">
      <c r="A243" s="1449">
        <v>69</v>
      </c>
      <c r="B243" s="1450">
        <v>7</v>
      </c>
      <c r="C243" s="1514" t="s">
        <v>503</v>
      </c>
      <c r="D243" s="1466">
        <v>190836.3</v>
      </c>
      <c r="E243" s="1524">
        <v>38708</v>
      </c>
      <c r="F243" s="1524">
        <v>39082</v>
      </c>
      <c r="G243" s="1514">
        <v>5077</v>
      </c>
      <c r="H243" s="1514"/>
      <c r="I243" s="1514">
        <v>158</v>
      </c>
      <c r="J243" s="1514" t="s">
        <v>382</v>
      </c>
      <c r="K243" s="1514" t="s">
        <v>493</v>
      </c>
      <c r="L243" s="1536"/>
      <c r="M243" s="1429"/>
      <c r="N243" s="1536">
        <v>826</v>
      </c>
      <c r="O243" s="819"/>
      <c r="P243" s="1453"/>
      <c r="Q243" s="1453"/>
      <c r="R243" s="795"/>
      <c r="S243" s="793"/>
      <c r="T243" s="1430"/>
      <c r="U243" s="1447"/>
      <c r="V243" s="796"/>
      <c r="W243" s="793">
        <f>190836.6+11668.02</f>
        <v>202504.62</v>
      </c>
      <c r="X243" s="796"/>
      <c r="Y243" s="1461"/>
      <c r="AB243" s="1535"/>
      <c r="AC243" s="1413"/>
      <c r="AD243" s="1405"/>
      <c r="AE243" s="1414"/>
      <c r="AF243" s="1414">
        <f t="shared" ref="AF243:AF276" si="43">N243</f>
        <v>826</v>
      </c>
      <c r="AG243" s="1510">
        <f t="shared" ref="AG243:AG276" si="44">(AF243*$AF$237)/$AG$237</f>
        <v>2.9589665457558662E-3</v>
      </c>
      <c r="AH243" s="1490">
        <f t="shared" ref="AH243:AH267" si="45">$AH$234*AG243</f>
        <v>11668.036973770053</v>
      </c>
      <c r="AJ243" s="1490"/>
      <c r="AK243" s="1439" t="s">
        <v>6925</v>
      </c>
      <c r="AL243" s="1440" t="s">
        <v>376</v>
      </c>
      <c r="AM243" s="1440" t="s">
        <v>376</v>
      </c>
      <c r="AN243" s="1444" t="s">
        <v>5760</v>
      </c>
      <c r="AO243" s="1444" t="s">
        <v>5760</v>
      </c>
      <c r="AP243" s="1442" t="s">
        <v>5621</v>
      </c>
      <c r="AQ243" s="1498">
        <v>826</v>
      </c>
      <c r="AR243" s="1444" t="s">
        <v>5763</v>
      </c>
      <c r="AS243" s="1444" t="s">
        <v>5764</v>
      </c>
      <c r="AT243" s="1444" t="s">
        <v>5609</v>
      </c>
    </row>
    <row r="244" spans="1:46" s="1407" customFormat="1" ht="12.75" hidden="1" customHeight="1">
      <c r="A244" s="1449">
        <v>70</v>
      </c>
      <c r="B244" s="1450">
        <v>2</v>
      </c>
      <c r="C244" s="1514" t="s">
        <v>504</v>
      </c>
      <c r="D244" s="1466">
        <v>143380</v>
      </c>
      <c r="E244" s="1524">
        <v>38708</v>
      </c>
      <c r="F244" s="1524">
        <v>39082</v>
      </c>
      <c r="G244" s="1514">
        <v>5068</v>
      </c>
      <c r="H244" s="1514"/>
      <c r="I244" s="1514">
        <v>158</v>
      </c>
      <c r="J244" s="1514" t="s">
        <v>382</v>
      </c>
      <c r="K244" s="1514" t="s">
        <v>493</v>
      </c>
      <c r="L244" s="1536"/>
      <c r="M244" s="1429"/>
      <c r="N244" s="1536">
        <f>820-820</f>
        <v>0</v>
      </c>
      <c r="O244" s="819"/>
      <c r="P244" s="1453"/>
      <c r="Q244" s="1453"/>
      <c r="R244" s="795"/>
      <c r="S244" s="793"/>
      <c r="T244" s="1430"/>
      <c r="U244" s="1447"/>
      <c r="V244" s="796"/>
      <c r="W244" s="793">
        <f>143380-143380</f>
        <v>0</v>
      </c>
      <c r="X244" s="796"/>
      <c r="Y244" s="1461"/>
      <c r="AB244" s="1535"/>
      <c r="AC244" s="1413"/>
      <c r="AD244" s="1405"/>
      <c r="AE244" s="1414"/>
      <c r="AF244" s="1414">
        <f t="shared" si="43"/>
        <v>0</v>
      </c>
      <c r="AG244" s="1510">
        <f t="shared" si="44"/>
        <v>0</v>
      </c>
      <c r="AH244" s="1490">
        <f t="shared" si="45"/>
        <v>0</v>
      </c>
      <c r="AJ244" s="1490"/>
      <c r="AK244" s="1439"/>
      <c r="AL244" s="1440"/>
      <c r="AM244" s="1440"/>
      <c r="AN244" s="1444"/>
      <c r="AO244" s="1444"/>
      <c r="AP244" s="1442"/>
      <c r="AQ244" s="1498"/>
      <c r="AR244" s="1444"/>
      <c r="AS244" s="1444"/>
      <c r="AT244" s="1444"/>
    </row>
    <row r="245" spans="1:46" s="1407" customFormat="1" ht="12.75" customHeight="1">
      <c r="A245" s="1449">
        <v>70</v>
      </c>
      <c r="B245" s="1450">
        <v>6</v>
      </c>
      <c r="C245" s="1514" t="s">
        <v>505</v>
      </c>
      <c r="D245" s="1466">
        <v>74920</v>
      </c>
      <c r="E245" s="1524">
        <v>38708</v>
      </c>
      <c r="F245" s="1524">
        <v>39082</v>
      </c>
      <c r="G245" s="1514">
        <v>5070</v>
      </c>
      <c r="H245" s="1514"/>
      <c r="I245" s="1514">
        <v>158</v>
      </c>
      <c r="J245" s="1514" t="s">
        <v>382</v>
      </c>
      <c r="K245" s="1514" t="s">
        <v>493</v>
      </c>
      <c r="L245" s="1536"/>
      <c r="M245" s="1429"/>
      <c r="N245" s="1536">
        <v>485</v>
      </c>
      <c r="O245" s="819"/>
      <c r="P245" s="1453"/>
      <c r="Q245" s="1453"/>
      <c r="R245" s="795"/>
      <c r="S245" s="793"/>
      <c r="T245" s="1430"/>
      <c r="U245" s="1447"/>
      <c r="V245" s="796"/>
      <c r="W245" s="793">
        <f>74920+6851.08</f>
        <v>81771.08</v>
      </c>
      <c r="X245" s="796"/>
      <c r="Y245" s="1461"/>
      <c r="AB245" s="1535"/>
      <c r="AC245" s="1413"/>
      <c r="AD245" s="1405"/>
      <c r="AE245" s="1414"/>
      <c r="AF245" s="1414">
        <f t="shared" si="43"/>
        <v>485</v>
      </c>
      <c r="AG245" s="1510">
        <f t="shared" si="44"/>
        <v>1.7374077175443042E-3</v>
      </c>
      <c r="AH245" s="1490">
        <f t="shared" si="45"/>
        <v>6851.0870850829015</v>
      </c>
      <c r="AJ245" s="1490"/>
      <c r="AK245" s="1439" t="s">
        <v>6926</v>
      </c>
      <c r="AL245" s="1440" t="s">
        <v>376</v>
      </c>
      <c r="AM245" s="1440" t="s">
        <v>376</v>
      </c>
      <c r="AN245" s="1444" t="s">
        <v>5760</v>
      </c>
      <c r="AO245" s="1444" t="s">
        <v>5760</v>
      </c>
      <c r="AP245" s="1442" t="s">
        <v>5621</v>
      </c>
      <c r="AQ245" s="1498">
        <v>485</v>
      </c>
      <c r="AR245" s="1444" t="s">
        <v>5765</v>
      </c>
      <c r="AS245" s="1444" t="s">
        <v>5766</v>
      </c>
      <c r="AT245" s="1444" t="s">
        <v>5609</v>
      </c>
    </row>
    <row r="246" spans="1:46" s="1407" customFormat="1" ht="12.75" hidden="1" customHeight="1">
      <c r="A246" s="1449">
        <v>63</v>
      </c>
      <c r="B246" s="1450">
        <v>2</v>
      </c>
      <c r="C246" s="1514" t="s">
        <v>506</v>
      </c>
      <c r="D246" s="1466">
        <v>296594</v>
      </c>
      <c r="E246" s="1524">
        <v>38708</v>
      </c>
      <c r="F246" s="1524">
        <v>39082</v>
      </c>
      <c r="G246" s="1514">
        <v>5069</v>
      </c>
      <c r="H246" s="1514"/>
      <c r="I246" s="1514">
        <v>158</v>
      </c>
      <c r="J246" s="1514" t="s">
        <v>382</v>
      </c>
      <c r="K246" s="1514" t="s">
        <v>493</v>
      </c>
      <c r="L246" s="1536"/>
      <c r="M246" s="1429"/>
      <c r="N246" s="1536">
        <f>529-529</f>
        <v>0</v>
      </c>
      <c r="O246" s="819"/>
      <c r="P246" s="1453"/>
      <c r="Q246" s="1453"/>
      <c r="R246" s="795"/>
      <c r="S246" s="793"/>
      <c r="T246" s="1430"/>
      <c r="U246" s="1447"/>
      <c r="V246" s="796"/>
      <c r="W246" s="793">
        <f>296594-296594</f>
        <v>0</v>
      </c>
      <c r="X246" s="796"/>
      <c r="Y246" s="1461"/>
      <c r="AB246" s="1535"/>
      <c r="AC246" s="1413"/>
      <c r="AD246" s="1405"/>
      <c r="AE246" s="1414"/>
      <c r="AF246" s="1414">
        <f t="shared" si="43"/>
        <v>0</v>
      </c>
      <c r="AG246" s="1510">
        <f t="shared" si="44"/>
        <v>0</v>
      </c>
      <c r="AH246" s="1490">
        <f t="shared" si="45"/>
        <v>0</v>
      </c>
      <c r="AJ246" s="1490"/>
      <c r="AK246" s="1439"/>
      <c r="AL246" s="1440"/>
      <c r="AM246" s="1440"/>
      <c r="AN246" s="1444"/>
      <c r="AO246" s="1444"/>
      <c r="AP246" s="1442"/>
      <c r="AQ246" s="1498"/>
      <c r="AR246" s="1444"/>
      <c r="AS246" s="1444"/>
      <c r="AT246" s="1444"/>
    </row>
    <row r="247" spans="1:46" s="1407" customFormat="1" ht="12.75" hidden="1" customHeight="1">
      <c r="A247" s="1449">
        <v>79</v>
      </c>
      <c r="B247" s="1450">
        <v>134</v>
      </c>
      <c r="C247" s="1514" t="s">
        <v>507</v>
      </c>
      <c r="D247" s="1466">
        <v>134400</v>
      </c>
      <c r="E247" s="1524">
        <v>38742</v>
      </c>
      <c r="F247" s="1524">
        <v>39082</v>
      </c>
      <c r="G247" s="1514">
        <v>5115</v>
      </c>
      <c r="H247" s="1514"/>
      <c r="I247" s="1514">
        <v>158</v>
      </c>
      <c r="J247" s="1514" t="s">
        <v>382</v>
      </c>
      <c r="K247" s="1514" t="s">
        <v>493</v>
      </c>
      <c r="L247" s="1536"/>
      <c r="M247" s="1429"/>
      <c r="N247" s="1536">
        <f>134+248-382</f>
        <v>0</v>
      </c>
      <c r="O247" s="819"/>
      <c r="P247" s="1453"/>
      <c r="Q247" s="1453"/>
      <c r="R247" s="795"/>
      <c r="S247" s="793"/>
      <c r="T247" s="1430"/>
      <c r="U247" s="1447"/>
      <c r="V247" s="796"/>
      <c r="W247" s="793">
        <f>134400-134400</f>
        <v>0</v>
      </c>
      <c r="X247" s="796"/>
      <c r="Y247" s="1461"/>
      <c r="AB247" s="1535"/>
      <c r="AC247" s="1413"/>
      <c r="AD247" s="1405"/>
      <c r="AE247" s="1414"/>
      <c r="AF247" s="1414">
        <f t="shared" si="43"/>
        <v>0</v>
      </c>
      <c r="AG247" s="1510">
        <f t="shared" si="44"/>
        <v>0</v>
      </c>
      <c r="AH247" s="1490">
        <f t="shared" si="45"/>
        <v>0</v>
      </c>
      <c r="AJ247" s="1490"/>
      <c r="AK247" s="1439"/>
      <c r="AL247" s="1440"/>
      <c r="AM247" s="1440"/>
      <c r="AN247" s="1444"/>
      <c r="AO247" s="1444"/>
      <c r="AP247" s="1442"/>
      <c r="AQ247" s="1498"/>
      <c r="AR247" s="1444"/>
      <c r="AS247" s="1444"/>
      <c r="AT247" s="1444"/>
    </row>
    <row r="248" spans="1:46" s="1407" customFormat="1" ht="12.75" hidden="1" customHeight="1">
      <c r="A248" s="1449">
        <v>63</v>
      </c>
      <c r="B248" s="1450" t="s">
        <v>508</v>
      </c>
      <c r="C248" s="1514" t="s">
        <v>509</v>
      </c>
      <c r="D248" s="1466">
        <v>87400</v>
      </c>
      <c r="E248" s="1524">
        <v>38708</v>
      </c>
      <c r="F248" s="1524">
        <v>39082</v>
      </c>
      <c r="G248" s="1514">
        <v>5075</v>
      </c>
      <c r="H248" s="1514"/>
      <c r="I248" s="1514">
        <v>158</v>
      </c>
      <c r="J248" s="1514" t="s">
        <v>382</v>
      </c>
      <c r="K248" s="1514" t="s">
        <v>493</v>
      </c>
      <c r="L248" s="1536"/>
      <c r="M248" s="1429"/>
      <c r="N248" s="1536">
        <f>1196-1196</f>
        <v>0</v>
      </c>
      <c r="O248" s="819"/>
      <c r="P248" s="1453"/>
      <c r="Q248" s="1453"/>
      <c r="R248" s="795"/>
      <c r="S248" s="793"/>
      <c r="T248" s="1430"/>
      <c r="U248" s="1447"/>
      <c r="V248" s="796"/>
      <c r="W248" s="793">
        <f>865406.3-865406.3</f>
        <v>0</v>
      </c>
      <c r="X248" s="796"/>
      <c r="Y248" s="1461"/>
      <c r="AB248" s="1535"/>
      <c r="AC248" s="1413"/>
      <c r="AD248" s="1405"/>
      <c r="AE248" s="1414"/>
      <c r="AF248" s="1414">
        <f t="shared" si="43"/>
        <v>0</v>
      </c>
      <c r="AG248" s="1510">
        <f t="shared" si="44"/>
        <v>0</v>
      </c>
      <c r="AH248" s="1490">
        <f t="shared" si="45"/>
        <v>0</v>
      </c>
      <c r="AJ248" s="1490"/>
      <c r="AK248" s="1439"/>
      <c r="AL248" s="1440"/>
      <c r="AM248" s="1440"/>
      <c r="AN248" s="1444"/>
      <c r="AO248" s="1444"/>
      <c r="AP248" s="1442"/>
      <c r="AQ248" s="1498"/>
      <c r="AR248" s="1444"/>
      <c r="AS248" s="1444"/>
      <c r="AT248" s="1444"/>
    </row>
    <row r="249" spans="1:46" s="1407" customFormat="1" ht="12.75" hidden="1" customHeight="1">
      <c r="A249" s="1449"/>
      <c r="B249" s="1450"/>
      <c r="C249" s="1514" t="s">
        <v>510</v>
      </c>
      <c r="D249" s="1466">
        <v>865406.3</v>
      </c>
      <c r="E249" s="1524">
        <v>38708</v>
      </c>
      <c r="F249" s="1524">
        <v>39082</v>
      </c>
      <c r="G249" s="1514">
        <v>5073</v>
      </c>
      <c r="H249" s="1514"/>
      <c r="I249" s="1514">
        <v>158</v>
      </c>
      <c r="J249" s="1514" t="s">
        <v>382</v>
      </c>
      <c r="K249" s="1514"/>
      <c r="L249" s="1536"/>
      <c r="M249" s="1429"/>
      <c r="N249" s="1536"/>
      <c r="O249" s="819"/>
      <c r="P249" s="1453"/>
      <c r="Q249" s="1453"/>
      <c r="R249" s="795"/>
      <c r="S249" s="793"/>
      <c r="T249" s="1430"/>
      <c r="U249" s="1447"/>
      <c r="V249" s="796"/>
      <c r="W249" s="793"/>
      <c r="X249" s="796"/>
      <c r="Y249" s="1461"/>
      <c r="AB249" s="1535"/>
      <c r="AC249" s="1413"/>
      <c r="AD249" s="1405"/>
      <c r="AE249" s="1414"/>
      <c r="AF249" s="1414">
        <f t="shared" si="43"/>
        <v>0</v>
      </c>
      <c r="AG249" s="1510">
        <f t="shared" si="44"/>
        <v>0</v>
      </c>
      <c r="AH249" s="1490">
        <f t="shared" si="45"/>
        <v>0</v>
      </c>
      <c r="AJ249" s="1490"/>
      <c r="AK249" s="1439"/>
      <c r="AL249" s="1440"/>
      <c r="AM249" s="1440"/>
      <c r="AN249" s="1444"/>
      <c r="AO249" s="1444"/>
      <c r="AP249" s="1442"/>
      <c r="AQ249" s="1498"/>
      <c r="AR249" s="1444"/>
      <c r="AS249" s="1444"/>
      <c r="AT249" s="1444"/>
    </row>
    <row r="250" spans="1:46" s="1407" customFormat="1" ht="12.75" hidden="1" customHeight="1">
      <c r="A250" s="1449"/>
      <c r="B250" s="1450"/>
      <c r="C250" s="1514" t="s">
        <v>511</v>
      </c>
      <c r="D250" s="1466">
        <v>1520000</v>
      </c>
      <c r="E250" s="1524">
        <v>39083</v>
      </c>
      <c r="F250" s="1524">
        <v>39083</v>
      </c>
      <c r="G250" s="1514">
        <v>4042</v>
      </c>
      <c r="H250" s="1514" t="s">
        <v>313</v>
      </c>
      <c r="I250" s="1514">
        <v>71</v>
      </c>
      <c r="J250" s="1514" t="s">
        <v>382</v>
      </c>
      <c r="K250" s="1514" t="s">
        <v>493</v>
      </c>
      <c r="L250" s="1536"/>
      <c r="M250" s="1429"/>
      <c r="N250" s="1536">
        <f>88705.64-88705.64</f>
        <v>0</v>
      </c>
      <c r="O250" s="819"/>
      <c r="P250" s="1453"/>
      <c r="Q250" s="1453"/>
      <c r="R250" s="795"/>
      <c r="S250" s="793"/>
      <c r="T250" s="1430"/>
      <c r="U250" s="1447"/>
      <c r="V250" s="796"/>
      <c r="W250" s="793">
        <f>1520000-1520000</f>
        <v>0</v>
      </c>
      <c r="X250" s="796"/>
      <c r="Y250" s="1461"/>
      <c r="AB250" s="1535"/>
      <c r="AC250" s="1413"/>
      <c r="AD250" s="1405"/>
      <c r="AE250" s="1414"/>
      <c r="AF250" s="1414">
        <f t="shared" si="43"/>
        <v>0</v>
      </c>
      <c r="AG250" s="1510">
        <f t="shared" si="44"/>
        <v>0</v>
      </c>
      <c r="AH250" s="1490">
        <f t="shared" si="45"/>
        <v>0</v>
      </c>
      <c r="AJ250" s="1490"/>
      <c r="AK250" s="1439"/>
      <c r="AL250" s="1440"/>
      <c r="AM250" s="1440"/>
      <c r="AN250" s="1444"/>
      <c r="AO250" s="1444"/>
      <c r="AP250" s="1442"/>
      <c r="AQ250" s="1498"/>
      <c r="AR250" s="1444"/>
      <c r="AS250" s="1444"/>
      <c r="AT250" s="1444"/>
    </row>
    <row r="251" spans="1:46" s="1407" customFormat="1" ht="12.75" customHeight="1">
      <c r="A251" s="1449">
        <v>109</v>
      </c>
      <c r="B251" s="1450">
        <v>2</v>
      </c>
      <c r="C251" s="1514" t="s">
        <v>512</v>
      </c>
      <c r="D251" s="1466">
        <v>267220</v>
      </c>
      <c r="E251" s="1524">
        <v>38708</v>
      </c>
      <c r="F251" s="1524">
        <v>39114</v>
      </c>
      <c r="G251" s="1514">
        <v>554</v>
      </c>
      <c r="H251" s="1514" t="s">
        <v>313</v>
      </c>
      <c r="I251" s="1514">
        <v>46</v>
      </c>
      <c r="J251" s="1514" t="s">
        <v>382</v>
      </c>
      <c r="K251" s="1514" t="s">
        <v>493</v>
      </c>
      <c r="L251" s="1536"/>
      <c r="M251" s="1429"/>
      <c r="N251" s="1536">
        <v>1156.73</v>
      </c>
      <c r="O251" s="819"/>
      <c r="P251" s="1453"/>
      <c r="Q251" s="1453"/>
      <c r="R251" s="795"/>
      <c r="S251" s="793"/>
      <c r="T251" s="1430"/>
      <c r="U251" s="1447"/>
      <c r="V251" s="796"/>
      <c r="W251" s="793">
        <f>267220+16339.89</f>
        <v>283559.89</v>
      </c>
      <c r="X251" s="796"/>
      <c r="Y251" s="1461"/>
      <c r="AB251" s="1535"/>
      <c r="AC251" s="1413"/>
      <c r="AD251" s="1405"/>
      <c r="AE251" s="1414"/>
      <c r="AF251" s="1414">
        <f t="shared" si="43"/>
        <v>1156.73</v>
      </c>
      <c r="AG251" s="1510">
        <f t="shared" si="44"/>
        <v>4.143735317762934E-3</v>
      </c>
      <c r="AH251" s="1490">
        <f t="shared" si="45"/>
        <v>16339.913327686483</v>
      </c>
      <c r="AJ251" s="1490"/>
      <c r="AK251" s="1439" t="s">
        <v>6927</v>
      </c>
      <c r="AL251" s="1440" t="s">
        <v>376</v>
      </c>
      <c r="AM251" s="1440" t="s">
        <v>376</v>
      </c>
      <c r="AN251" s="1444" t="s">
        <v>5760</v>
      </c>
      <c r="AO251" s="1444" t="s">
        <v>5760</v>
      </c>
      <c r="AP251" s="1442" t="s">
        <v>5621</v>
      </c>
      <c r="AQ251" s="1444">
        <v>1156.73</v>
      </c>
      <c r="AR251" s="1444" t="s">
        <v>5767</v>
      </c>
      <c r="AS251" s="1444" t="s">
        <v>5768</v>
      </c>
      <c r="AT251" s="1444" t="s">
        <v>5609</v>
      </c>
    </row>
    <row r="252" spans="1:46" s="1407" customFormat="1" ht="12.75" hidden="1" customHeight="1">
      <c r="A252" s="1449">
        <v>79</v>
      </c>
      <c r="B252" s="1450">
        <v>2</v>
      </c>
      <c r="C252" s="1514" t="s">
        <v>513</v>
      </c>
      <c r="D252" s="1466">
        <v>134400</v>
      </c>
      <c r="E252" s="1524">
        <v>38742</v>
      </c>
      <c r="F252" s="1524">
        <v>39114</v>
      </c>
      <c r="G252" s="1514">
        <v>554</v>
      </c>
      <c r="H252" s="1514" t="s">
        <v>313</v>
      </c>
      <c r="I252" s="1514">
        <v>48</v>
      </c>
      <c r="J252" s="1514" t="s">
        <v>382</v>
      </c>
      <c r="K252" s="1514" t="s">
        <v>493</v>
      </c>
      <c r="L252" s="1536"/>
      <c r="M252" s="1429"/>
      <c r="N252" s="1536">
        <f>314-314</f>
        <v>0</v>
      </c>
      <c r="O252" s="819"/>
      <c r="P252" s="1453"/>
      <c r="Q252" s="1453"/>
      <c r="R252" s="795"/>
      <c r="S252" s="793"/>
      <c r="T252" s="1430"/>
      <c r="U252" s="1447"/>
      <c r="V252" s="796"/>
      <c r="W252" s="793">
        <f>134400-134400</f>
        <v>0</v>
      </c>
      <c r="X252" s="796"/>
      <c r="Y252" s="1461"/>
      <c r="AB252" s="1535"/>
      <c r="AC252" s="1413"/>
      <c r="AD252" s="1405"/>
      <c r="AE252" s="1414"/>
      <c r="AF252" s="1414">
        <f t="shared" si="43"/>
        <v>0</v>
      </c>
      <c r="AG252" s="1510">
        <f t="shared" si="44"/>
        <v>0</v>
      </c>
      <c r="AH252" s="1490">
        <f t="shared" si="45"/>
        <v>0</v>
      </c>
      <c r="AJ252" s="1490"/>
      <c r="AK252" s="1439"/>
      <c r="AL252" s="1440"/>
      <c r="AM252" s="1440"/>
      <c r="AN252" s="1444"/>
      <c r="AO252" s="1444"/>
      <c r="AP252" s="1442"/>
      <c r="AQ252" s="1444"/>
      <c r="AR252" s="1444"/>
      <c r="AS252" s="1444"/>
      <c r="AT252" s="1444"/>
    </row>
    <row r="253" spans="1:46" s="1407" customFormat="1" ht="12.75" customHeight="1">
      <c r="A253" s="1449">
        <v>69</v>
      </c>
      <c r="B253" s="1450" t="s">
        <v>514</v>
      </c>
      <c r="C253" s="1514" t="s">
        <v>515</v>
      </c>
      <c r="D253" s="1466">
        <v>300280</v>
      </c>
      <c r="E253" s="1524">
        <v>38708</v>
      </c>
      <c r="F253" s="1524">
        <v>39114</v>
      </c>
      <c r="G253" s="1514">
        <v>554</v>
      </c>
      <c r="H253" s="1514" t="s">
        <v>313</v>
      </c>
      <c r="I253" s="1514">
        <v>36</v>
      </c>
      <c r="J253" s="1514" t="s">
        <v>382</v>
      </c>
      <c r="K253" s="1514" t="s">
        <v>493</v>
      </c>
      <c r="L253" s="1536"/>
      <c r="M253" s="1429"/>
      <c r="N253" s="1536">
        <v>432</v>
      </c>
      <c r="O253" s="819"/>
      <c r="P253" s="1453"/>
      <c r="Q253" s="1453"/>
      <c r="R253" s="795"/>
      <c r="S253" s="793"/>
      <c r="T253" s="1430"/>
      <c r="U253" s="1447"/>
      <c r="V253" s="796"/>
      <c r="W253" s="793">
        <f>300280+6102.4</f>
        <v>306382.40000000002</v>
      </c>
      <c r="X253" s="796"/>
      <c r="Y253" s="1461"/>
      <c r="AB253" s="1535"/>
      <c r="AC253" s="1413"/>
      <c r="AD253" s="1405"/>
      <c r="AE253" s="1414"/>
      <c r="AF253" s="1414">
        <f t="shared" si="43"/>
        <v>432</v>
      </c>
      <c r="AG253" s="1510">
        <f t="shared" si="44"/>
        <v>1.5475466679982254E-3</v>
      </c>
      <c r="AH253" s="1490">
        <f t="shared" si="45"/>
        <v>6102.4115891872434</v>
      </c>
      <c r="AJ253" s="1490"/>
      <c r="AK253" s="1439" t="s">
        <v>6928</v>
      </c>
      <c r="AL253" s="1440" t="s">
        <v>376</v>
      </c>
      <c r="AM253" s="1440" t="s">
        <v>376</v>
      </c>
      <c r="AN253" s="1444" t="s">
        <v>5760</v>
      </c>
      <c r="AO253" s="1444" t="s">
        <v>5760</v>
      </c>
      <c r="AP253" s="1442" t="s">
        <v>5621</v>
      </c>
      <c r="AQ253" s="1498">
        <v>432</v>
      </c>
      <c r="AR253" s="1444" t="s">
        <v>5769</v>
      </c>
      <c r="AS253" s="1444" t="s">
        <v>5770</v>
      </c>
      <c r="AT253" s="1444" t="s">
        <v>5609</v>
      </c>
    </row>
    <row r="254" spans="1:46" s="1407" customFormat="1" ht="12.75" customHeight="1">
      <c r="A254" s="1449">
        <v>110</v>
      </c>
      <c r="B254" s="1450">
        <v>2</v>
      </c>
      <c r="C254" s="1514" t="s">
        <v>516</v>
      </c>
      <c r="D254" s="1466">
        <v>208000</v>
      </c>
      <c r="E254" s="1524">
        <v>38722</v>
      </c>
      <c r="F254" s="1524">
        <v>39114</v>
      </c>
      <c r="G254" s="1514">
        <v>554</v>
      </c>
      <c r="H254" s="1514" t="s">
        <v>313</v>
      </c>
      <c r="I254" s="1514">
        <v>35</v>
      </c>
      <c r="J254" s="1514" t="s">
        <v>382</v>
      </c>
      <c r="K254" s="1514" t="s">
        <v>493</v>
      </c>
      <c r="L254" s="1536"/>
      <c r="M254" s="1429"/>
      <c r="N254" s="1536">
        <v>894.56</v>
      </c>
      <c r="O254" s="819"/>
      <c r="P254" s="1453"/>
      <c r="Q254" s="1453"/>
      <c r="R254" s="795"/>
      <c r="S254" s="793"/>
      <c r="T254" s="1430"/>
      <c r="U254" s="1447"/>
      <c r="V254" s="796"/>
      <c r="W254" s="793">
        <f>208000+12636.49</f>
        <v>220636.49</v>
      </c>
      <c r="X254" s="796"/>
      <c r="Y254" s="1461"/>
      <c r="AB254" s="1535"/>
      <c r="AC254" s="1413"/>
      <c r="AD254" s="1405"/>
      <c r="AE254" s="1414"/>
      <c r="AF254" s="1414">
        <f t="shared" si="43"/>
        <v>894.56</v>
      </c>
      <c r="AG254" s="1510">
        <f t="shared" si="44"/>
        <v>3.2045679336215106E-3</v>
      </c>
      <c r="AH254" s="1490">
        <f t="shared" si="45"/>
        <v>12636.512294498474</v>
      </c>
      <c r="AJ254" s="1490"/>
      <c r="AK254" s="1439" t="s">
        <v>6929</v>
      </c>
      <c r="AL254" s="1440" t="s">
        <v>376</v>
      </c>
      <c r="AM254" s="1440" t="s">
        <v>376</v>
      </c>
      <c r="AN254" s="1444" t="s">
        <v>5760</v>
      </c>
      <c r="AO254" s="1444" t="s">
        <v>5760</v>
      </c>
      <c r="AP254" s="1442" t="s">
        <v>5621</v>
      </c>
      <c r="AQ254" s="1444">
        <v>894.56</v>
      </c>
      <c r="AR254" s="1444" t="s">
        <v>5771</v>
      </c>
      <c r="AS254" s="1444" t="s">
        <v>5772</v>
      </c>
      <c r="AT254" s="1444" t="s">
        <v>5609</v>
      </c>
    </row>
    <row r="255" spans="1:46" s="1407" customFormat="1" ht="12.75" hidden="1" customHeight="1">
      <c r="A255" s="1449">
        <v>104</v>
      </c>
      <c r="B255" s="1450">
        <v>2</v>
      </c>
      <c r="C255" s="1514" t="s">
        <v>517</v>
      </c>
      <c r="D255" s="1466">
        <v>303400</v>
      </c>
      <c r="E255" s="1524">
        <v>38722</v>
      </c>
      <c r="F255" s="1524">
        <v>39114</v>
      </c>
      <c r="G255" s="1514">
        <v>554</v>
      </c>
      <c r="H255" s="1514" t="s">
        <v>313</v>
      </c>
      <c r="I255" s="1514">
        <v>52</v>
      </c>
      <c r="J255" s="1514" t="s">
        <v>382</v>
      </c>
      <c r="K255" s="1514" t="s">
        <v>493</v>
      </c>
      <c r="L255" s="1536"/>
      <c r="M255" s="1429"/>
      <c r="N255" s="1536">
        <f>938.34-938.34</f>
        <v>0</v>
      </c>
      <c r="O255" s="819"/>
      <c r="P255" s="1453"/>
      <c r="Q255" s="1453"/>
      <c r="R255" s="795"/>
      <c r="S255" s="793"/>
      <c r="T255" s="1430"/>
      <c r="U255" s="1447"/>
      <c r="V255" s="796"/>
      <c r="W255" s="793">
        <f>303400-303400</f>
        <v>0</v>
      </c>
      <c r="X255" s="796"/>
      <c r="Y255" s="1461"/>
      <c r="AB255" s="1535"/>
      <c r="AC255" s="1413"/>
      <c r="AD255" s="1405"/>
      <c r="AE255" s="1414"/>
      <c r="AF255" s="1414">
        <f t="shared" si="43"/>
        <v>0</v>
      </c>
      <c r="AG255" s="1510">
        <f t="shared" si="44"/>
        <v>0</v>
      </c>
      <c r="AH255" s="1490">
        <f t="shared" si="45"/>
        <v>0</v>
      </c>
      <c r="AJ255" s="1490"/>
      <c r="AK255" s="1439"/>
      <c r="AL255" s="1440"/>
      <c r="AM255" s="1440"/>
      <c r="AN255" s="1444"/>
      <c r="AO255" s="1444"/>
      <c r="AP255" s="1442"/>
      <c r="AQ255" s="1444"/>
      <c r="AR255" s="1444"/>
      <c r="AS255" s="1444"/>
      <c r="AT255" s="1444"/>
    </row>
    <row r="256" spans="1:46" s="1407" customFormat="1" ht="12.75" hidden="1" customHeight="1">
      <c r="A256" s="1449">
        <v>104</v>
      </c>
      <c r="B256" s="1450">
        <v>3</v>
      </c>
      <c r="C256" s="1514" t="s">
        <v>518</v>
      </c>
      <c r="D256" s="1466">
        <v>223000</v>
      </c>
      <c r="E256" s="1524">
        <v>38722</v>
      </c>
      <c r="F256" s="1524">
        <v>39114</v>
      </c>
      <c r="G256" s="1514">
        <v>554</v>
      </c>
      <c r="H256" s="1514" t="s">
        <v>313</v>
      </c>
      <c r="I256" s="1514">
        <v>49</v>
      </c>
      <c r="J256" s="1514" t="s">
        <v>382</v>
      </c>
      <c r="K256" s="1514" t="s">
        <v>493</v>
      </c>
      <c r="L256" s="1536"/>
      <c r="M256" s="1429"/>
      <c r="N256" s="1536">
        <f>792.49-792.49</f>
        <v>0</v>
      </c>
      <c r="O256" s="819"/>
      <c r="P256" s="1453"/>
      <c r="Q256" s="1453"/>
      <c r="R256" s="795"/>
      <c r="S256" s="793"/>
      <c r="T256" s="1430"/>
      <c r="U256" s="1447"/>
      <c r="V256" s="796"/>
      <c r="W256" s="793">
        <f>223000-223000</f>
        <v>0</v>
      </c>
      <c r="X256" s="796"/>
      <c r="Y256" s="1461"/>
      <c r="AB256" s="1535"/>
      <c r="AC256" s="1413"/>
      <c r="AD256" s="1405"/>
      <c r="AE256" s="1414"/>
      <c r="AF256" s="1414">
        <f t="shared" si="43"/>
        <v>0</v>
      </c>
      <c r="AG256" s="1510">
        <f t="shared" si="44"/>
        <v>0</v>
      </c>
      <c r="AH256" s="1490">
        <f t="shared" si="45"/>
        <v>0</v>
      </c>
      <c r="AJ256" s="1490"/>
      <c r="AK256" s="1439"/>
      <c r="AL256" s="1440"/>
      <c r="AM256" s="1440"/>
      <c r="AN256" s="1444"/>
      <c r="AO256" s="1444"/>
      <c r="AP256" s="1442"/>
      <c r="AQ256" s="1444"/>
      <c r="AR256" s="1444"/>
      <c r="AS256" s="1444"/>
      <c r="AT256" s="1444"/>
    </row>
    <row r="257" spans="1:46" s="1407" customFormat="1" ht="12.75" hidden="1" customHeight="1">
      <c r="A257" s="1449">
        <v>105</v>
      </c>
      <c r="B257" s="1450">
        <v>1</v>
      </c>
      <c r="C257" s="1514" t="s">
        <v>519</v>
      </c>
      <c r="D257" s="1466">
        <v>220000</v>
      </c>
      <c r="E257" s="1524">
        <v>38722</v>
      </c>
      <c r="F257" s="1524">
        <v>39114</v>
      </c>
      <c r="G257" s="1514">
        <v>554</v>
      </c>
      <c r="H257" s="1514" t="s">
        <v>313</v>
      </c>
      <c r="I257" s="1514">
        <v>53</v>
      </c>
      <c r="J257" s="1514" t="s">
        <v>382</v>
      </c>
      <c r="K257" s="1514" t="s">
        <v>493</v>
      </c>
      <c r="L257" s="1536"/>
      <c r="M257" s="1429"/>
      <c r="N257" s="1536">
        <f>797.95-797.95</f>
        <v>0</v>
      </c>
      <c r="O257" s="819"/>
      <c r="P257" s="1453"/>
      <c r="Q257" s="1453"/>
      <c r="R257" s="795"/>
      <c r="S257" s="793"/>
      <c r="T257" s="1430"/>
      <c r="U257" s="1447"/>
      <c r="V257" s="796"/>
      <c r="W257" s="793">
        <f>220000-220000</f>
        <v>0</v>
      </c>
      <c r="X257" s="796"/>
      <c r="Y257" s="1461"/>
      <c r="AB257" s="1535"/>
      <c r="AC257" s="1413"/>
      <c r="AD257" s="1405"/>
      <c r="AE257" s="1414"/>
      <c r="AF257" s="1414">
        <f t="shared" si="43"/>
        <v>0</v>
      </c>
      <c r="AG257" s="1510">
        <f t="shared" si="44"/>
        <v>0</v>
      </c>
      <c r="AH257" s="1490">
        <f t="shared" si="45"/>
        <v>0</v>
      </c>
      <c r="AJ257" s="1490"/>
      <c r="AK257" s="1439"/>
      <c r="AL257" s="1440"/>
      <c r="AM257" s="1440"/>
      <c r="AN257" s="1444"/>
      <c r="AO257" s="1444"/>
      <c r="AP257" s="1442"/>
      <c r="AQ257" s="1444"/>
      <c r="AR257" s="1444"/>
      <c r="AS257" s="1444"/>
      <c r="AT257" s="1444"/>
    </row>
    <row r="258" spans="1:46" s="1407" customFormat="1" ht="12.75" customHeight="1">
      <c r="A258" s="1449">
        <v>106</v>
      </c>
      <c r="B258" s="1450">
        <v>1</v>
      </c>
      <c r="C258" s="1514" t="s">
        <v>520</v>
      </c>
      <c r="D258" s="1466">
        <v>378995.8</v>
      </c>
      <c r="E258" s="1524">
        <v>38722</v>
      </c>
      <c r="F258" s="1524">
        <v>39114</v>
      </c>
      <c r="G258" s="1514">
        <v>554</v>
      </c>
      <c r="H258" s="1514" t="s">
        <v>313</v>
      </c>
      <c r="I258" s="1514">
        <v>34</v>
      </c>
      <c r="J258" s="1514" t="s">
        <v>382</v>
      </c>
      <c r="K258" s="1514" t="s">
        <v>493</v>
      </c>
      <c r="L258" s="1536"/>
      <c r="M258" s="1429"/>
      <c r="N258" s="1536">
        <v>850.38</v>
      </c>
      <c r="O258" s="819"/>
      <c r="P258" s="1453"/>
      <c r="Q258" s="1453"/>
      <c r="R258" s="795"/>
      <c r="S258" s="793"/>
      <c r="T258" s="1430"/>
      <c r="U258" s="1447"/>
      <c r="V258" s="796"/>
      <c r="W258" s="793">
        <f>378995.8+12012.41</f>
        <v>391008.20999999996</v>
      </c>
      <c r="X258" s="796"/>
      <c r="Y258" s="1461"/>
      <c r="AB258" s="1535"/>
      <c r="AC258" s="1413"/>
      <c r="AD258" s="1405"/>
      <c r="AE258" s="1414"/>
      <c r="AF258" s="1414">
        <f t="shared" si="43"/>
        <v>850.38</v>
      </c>
      <c r="AG258" s="1510">
        <f t="shared" si="44"/>
        <v>3.0463026285470624E-3</v>
      </c>
      <c r="AH258" s="1490">
        <f t="shared" si="45"/>
        <v>12012.427701882056</v>
      </c>
      <c r="AJ258" s="1490"/>
      <c r="AK258" s="1439" t="s">
        <v>6930</v>
      </c>
      <c r="AL258" s="1440" t="s">
        <v>376</v>
      </c>
      <c r="AM258" s="1440" t="s">
        <v>376</v>
      </c>
      <c r="AN258" s="1444" t="s">
        <v>5760</v>
      </c>
      <c r="AO258" s="1444" t="s">
        <v>5760</v>
      </c>
      <c r="AP258" s="1442" t="s">
        <v>5621</v>
      </c>
      <c r="AQ258" s="1444">
        <v>850.38</v>
      </c>
      <c r="AR258" s="1444" t="s">
        <v>5773</v>
      </c>
      <c r="AS258" s="1444" t="s">
        <v>5774</v>
      </c>
      <c r="AT258" s="1444" t="s">
        <v>5609</v>
      </c>
    </row>
    <row r="259" spans="1:46" s="1407" customFormat="1" ht="12.75" customHeight="1">
      <c r="A259" s="1449">
        <v>106</v>
      </c>
      <c r="B259" s="1450">
        <v>7</v>
      </c>
      <c r="C259" s="1514" t="s">
        <v>521</v>
      </c>
      <c r="D259" s="1466">
        <v>437000</v>
      </c>
      <c r="E259" s="1524">
        <v>38722</v>
      </c>
      <c r="F259" s="1524">
        <v>39114</v>
      </c>
      <c r="G259" s="1514">
        <v>554</v>
      </c>
      <c r="H259" s="1514" t="s">
        <v>313</v>
      </c>
      <c r="I259" s="1514">
        <v>33</v>
      </c>
      <c r="J259" s="1514" t="s">
        <v>382</v>
      </c>
      <c r="K259" s="1514" t="s">
        <v>493</v>
      </c>
      <c r="L259" s="1536"/>
      <c r="M259" s="1429"/>
      <c r="N259" s="1536">
        <v>1514.02</v>
      </c>
      <c r="O259" s="819"/>
      <c r="P259" s="1453"/>
      <c r="Q259" s="1453"/>
      <c r="R259" s="795"/>
      <c r="S259" s="793"/>
      <c r="T259" s="1430"/>
      <c r="U259" s="1447"/>
      <c r="V259" s="796"/>
      <c r="W259" s="793">
        <f>437000+21386.94</f>
        <v>458386.94</v>
      </c>
      <c r="X259" s="796"/>
      <c r="Y259" s="1461"/>
      <c r="AB259" s="1535"/>
      <c r="AC259" s="1413"/>
      <c r="AD259" s="1405"/>
      <c r="AE259" s="1414"/>
      <c r="AF259" s="1414">
        <f t="shared" si="43"/>
        <v>1514.02</v>
      </c>
      <c r="AG259" s="1510">
        <f t="shared" si="44"/>
        <v>5.4236495515802624E-3</v>
      </c>
      <c r="AH259" s="1490">
        <f t="shared" si="45"/>
        <v>21386.974986715904</v>
      </c>
      <c r="AJ259" s="1490"/>
      <c r="AK259" s="1439" t="s">
        <v>6931</v>
      </c>
      <c r="AL259" s="1440" t="s">
        <v>376</v>
      </c>
      <c r="AM259" s="1440" t="s">
        <v>376</v>
      </c>
      <c r="AN259" s="1444" t="s">
        <v>5760</v>
      </c>
      <c r="AO259" s="1444" t="s">
        <v>5760</v>
      </c>
      <c r="AP259" s="1442" t="s">
        <v>5621</v>
      </c>
      <c r="AQ259" s="1443">
        <v>1514.02</v>
      </c>
      <c r="AR259" s="1444" t="s">
        <v>5775</v>
      </c>
      <c r="AS259" s="1444" t="s">
        <v>5776</v>
      </c>
      <c r="AT259" s="1444" t="s">
        <v>5609</v>
      </c>
    </row>
    <row r="260" spans="1:46" s="1407" customFormat="1" ht="12.75" hidden="1" customHeight="1">
      <c r="A260" s="1449">
        <v>65</v>
      </c>
      <c r="B260" s="1450">
        <v>3</v>
      </c>
      <c r="C260" s="1514" t="s">
        <v>522</v>
      </c>
      <c r="D260" s="1466">
        <v>87080</v>
      </c>
      <c r="E260" s="1524">
        <v>38708</v>
      </c>
      <c r="F260" s="1524">
        <v>39114</v>
      </c>
      <c r="G260" s="1514">
        <v>554</v>
      </c>
      <c r="H260" s="1514" t="s">
        <v>313</v>
      </c>
      <c r="I260" s="1514">
        <v>23</v>
      </c>
      <c r="J260" s="1514" t="s">
        <v>382</v>
      </c>
      <c r="K260" s="1514" t="s">
        <v>493</v>
      </c>
      <c r="L260" s="1536"/>
      <c r="M260" s="1429"/>
      <c r="N260" s="1536">
        <f>427-427</f>
        <v>0</v>
      </c>
      <c r="O260" s="819"/>
      <c r="P260" s="1453"/>
      <c r="Q260" s="1453"/>
      <c r="R260" s="795"/>
      <c r="S260" s="793"/>
      <c r="T260" s="1430"/>
      <c r="U260" s="1447"/>
      <c r="V260" s="796"/>
      <c r="W260" s="793">
        <f>87080-87080</f>
        <v>0</v>
      </c>
      <c r="X260" s="796"/>
      <c r="Y260" s="1461"/>
      <c r="AB260" s="1535"/>
      <c r="AC260" s="1413"/>
      <c r="AD260" s="1405"/>
      <c r="AE260" s="1414"/>
      <c r="AF260" s="1414">
        <f t="shared" si="43"/>
        <v>0</v>
      </c>
      <c r="AG260" s="1510">
        <f t="shared" si="44"/>
        <v>0</v>
      </c>
      <c r="AH260" s="1490">
        <f t="shared" si="45"/>
        <v>0</v>
      </c>
      <c r="AJ260" s="1490"/>
      <c r="AK260" s="1439"/>
      <c r="AL260" s="1440"/>
      <c r="AM260" s="1440"/>
      <c r="AN260" s="1444"/>
      <c r="AO260" s="1444"/>
      <c r="AP260" s="1442"/>
      <c r="AQ260" s="1443"/>
      <c r="AR260" s="1444"/>
      <c r="AS260" s="1444"/>
      <c r="AT260" s="1444"/>
    </row>
    <row r="261" spans="1:46" s="1407" customFormat="1" ht="12.75" hidden="1" customHeight="1">
      <c r="A261" s="1449">
        <v>70</v>
      </c>
      <c r="B261" s="1450" t="s">
        <v>523</v>
      </c>
      <c r="C261" s="1514" t="s">
        <v>524</v>
      </c>
      <c r="D261" s="1466">
        <v>123480</v>
      </c>
      <c r="E261" s="1524">
        <v>38708</v>
      </c>
      <c r="F261" s="1524">
        <v>39114</v>
      </c>
      <c r="G261" s="1514">
        <v>554</v>
      </c>
      <c r="H261" s="1514" t="s">
        <v>313</v>
      </c>
      <c r="I261" s="1514">
        <v>19</v>
      </c>
      <c r="J261" s="1514" t="s">
        <v>382</v>
      </c>
      <c r="K261" s="1514" t="s">
        <v>493</v>
      </c>
      <c r="L261" s="1536"/>
      <c r="M261" s="1429"/>
      <c r="N261" s="1536">
        <f>427.7-427.7</f>
        <v>0</v>
      </c>
      <c r="O261" s="819"/>
      <c r="P261" s="1453"/>
      <c r="Q261" s="1453"/>
      <c r="R261" s="795"/>
      <c r="S261" s="793"/>
      <c r="T261" s="1430"/>
      <c r="U261" s="1447"/>
      <c r="V261" s="796"/>
      <c r="W261" s="793">
        <f>123480-123480</f>
        <v>0</v>
      </c>
      <c r="X261" s="796"/>
      <c r="Y261" s="1461"/>
      <c r="AB261" s="1535"/>
      <c r="AC261" s="1413"/>
      <c r="AD261" s="1405"/>
      <c r="AE261" s="1414"/>
      <c r="AF261" s="1414">
        <f t="shared" si="43"/>
        <v>0</v>
      </c>
      <c r="AG261" s="1510">
        <f t="shared" si="44"/>
        <v>0</v>
      </c>
      <c r="AH261" s="1490">
        <f t="shared" si="45"/>
        <v>0</v>
      </c>
      <c r="AJ261" s="1490"/>
      <c r="AK261" s="1439"/>
      <c r="AL261" s="1440"/>
      <c r="AM261" s="1440"/>
      <c r="AN261" s="1444"/>
      <c r="AO261" s="1444"/>
      <c r="AP261" s="1442"/>
      <c r="AQ261" s="1443"/>
      <c r="AR261" s="1444"/>
      <c r="AS261" s="1444"/>
      <c r="AT261" s="1444"/>
    </row>
    <row r="262" spans="1:46" s="1407" customFormat="1" ht="12.75" customHeight="1">
      <c r="A262" s="1449">
        <v>69</v>
      </c>
      <c r="B262" s="1450" t="s">
        <v>525</v>
      </c>
      <c r="C262" s="1514" t="s">
        <v>526</v>
      </c>
      <c r="D262" s="1466">
        <v>119296</v>
      </c>
      <c r="E262" s="1524">
        <v>38708</v>
      </c>
      <c r="F262" s="1524">
        <v>39114</v>
      </c>
      <c r="G262" s="1514">
        <v>554</v>
      </c>
      <c r="H262" s="1514" t="s">
        <v>313</v>
      </c>
      <c r="I262" s="1514">
        <v>51</v>
      </c>
      <c r="J262" s="1514" t="s">
        <v>382</v>
      </c>
      <c r="K262" s="1514" t="s">
        <v>493</v>
      </c>
      <c r="L262" s="1536"/>
      <c r="M262" s="1429"/>
      <c r="N262" s="1536">
        <v>400</v>
      </c>
      <c r="O262" s="819"/>
      <c r="P262" s="1453"/>
      <c r="Q262" s="1453"/>
      <c r="R262" s="795"/>
      <c r="S262" s="793"/>
      <c r="T262" s="1430"/>
      <c r="U262" s="1447"/>
      <c r="V262" s="796"/>
      <c r="W262" s="793">
        <f>119296+5650.37</f>
        <v>124946.37</v>
      </c>
      <c r="X262" s="796"/>
      <c r="Y262" s="1461"/>
      <c r="AB262" s="1535"/>
      <c r="AC262" s="1413"/>
      <c r="AD262" s="1405"/>
      <c r="AE262" s="1414"/>
      <c r="AF262" s="1414">
        <f t="shared" si="43"/>
        <v>400</v>
      </c>
      <c r="AG262" s="1510">
        <f t="shared" si="44"/>
        <v>1.4329135814798385E-3</v>
      </c>
      <c r="AH262" s="1490">
        <f t="shared" si="45"/>
        <v>5650.3811010993004</v>
      </c>
      <c r="AJ262" s="1490"/>
      <c r="AK262" s="1439" t="s">
        <v>6932</v>
      </c>
      <c r="AL262" s="1440" t="s">
        <v>376</v>
      </c>
      <c r="AM262" s="1440" t="s">
        <v>376</v>
      </c>
      <c r="AN262" s="1444" t="s">
        <v>5760</v>
      </c>
      <c r="AO262" s="1444" t="s">
        <v>5760</v>
      </c>
      <c r="AP262" s="1442" t="s">
        <v>5621</v>
      </c>
      <c r="AQ262" s="1498">
        <v>400</v>
      </c>
      <c r="AR262" s="1444" t="s">
        <v>5777</v>
      </c>
      <c r="AS262" s="1444" t="s">
        <v>5778</v>
      </c>
      <c r="AT262" s="1444" t="s">
        <v>5609</v>
      </c>
    </row>
    <row r="263" spans="1:46" s="1407" customFormat="1" ht="12.75" customHeight="1">
      <c r="A263" s="1449">
        <v>79</v>
      </c>
      <c r="B263" s="1450" t="s">
        <v>527</v>
      </c>
      <c r="C263" s="1514" t="s">
        <v>528</v>
      </c>
      <c r="D263" s="1466">
        <v>285152</v>
      </c>
      <c r="E263" s="1524">
        <v>38708</v>
      </c>
      <c r="F263" s="1524">
        <v>39114</v>
      </c>
      <c r="G263" s="1514">
        <v>554</v>
      </c>
      <c r="H263" s="1514" t="s">
        <v>313</v>
      </c>
      <c r="I263" s="1514">
        <v>27</v>
      </c>
      <c r="J263" s="1514" t="s">
        <v>382</v>
      </c>
      <c r="K263" s="1514" t="s">
        <v>493</v>
      </c>
      <c r="L263" s="1536"/>
      <c r="M263" s="1429"/>
      <c r="N263" s="1536">
        <v>875</v>
      </c>
      <c r="O263" s="819"/>
      <c r="P263" s="1453"/>
      <c r="Q263" s="1453"/>
      <c r="R263" s="795"/>
      <c r="S263" s="793"/>
      <c r="T263" s="1430"/>
      <c r="U263" s="1447"/>
      <c r="V263" s="796"/>
      <c r="W263" s="793">
        <f>285152+12360.19</f>
        <v>297512.19</v>
      </c>
      <c r="X263" s="796"/>
      <c r="Y263" s="1461"/>
      <c r="AB263" s="1535"/>
      <c r="AC263" s="1413"/>
      <c r="AD263" s="1405"/>
      <c r="AE263" s="1414"/>
      <c r="AF263" s="1414">
        <f t="shared" si="43"/>
        <v>875</v>
      </c>
      <c r="AG263" s="1510">
        <f t="shared" si="44"/>
        <v>3.1344984594871466E-3</v>
      </c>
      <c r="AH263" s="1490">
        <f t="shared" si="45"/>
        <v>12360.208658654718</v>
      </c>
      <c r="AJ263" s="1490"/>
      <c r="AK263" s="1439" t="s">
        <v>6933</v>
      </c>
      <c r="AL263" s="1440" t="s">
        <v>376</v>
      </c>
      <c r="AM263" s="1440" t="s">
        <v>376</v>
      </c>
      <c r="AN263" s="1441" t="s">
        <v>5760</v>
      </c>
      <c r="AO263" s="1441" t="s">
        <v>5760</v>
      </c>
      <c r="AP263" s="1442" t="s">
        <v>5621</v>
      </c>
      <c r="AQ263" s="1498">
        <v>875</v>
      </c>
      <c r="AR263" s="1444" t="s">
        <v>5779</v>
      </c>
      <c r="AS263" s="1444" t="s">
        <v>5780</v>
      </c>
      <c r="AT263" s="1444" t="s">
        <v>5609</v>
      </c>
    </row>
    <row r="264" spans="1:46" s="1407" customFormat="1" ht="12.75" hidden="1" customHeight="1">
      <c r="A264" s="1449"/>
      <c r="B264" s="1450"/>
      <c r="C264" s="1514" t="s">
        <v>529</v>
      </c>
      <c r="D264" s="1466">
        <v>1180037.1599999999</v>
      </c>
      <c r="E264" s="1524">
        <v>39224</v>
      </c>
      <c r="F264" s="1524">
        <v>39263</v>
      </c>
      <c r="G264" s="1514"/>
      <c r="H264" s="1514"/>
      <c r="I264" s="1514">
        <v>24</v>
      </c>
      <c r="J264" s="1514" t="s">
        <v>382</v>
      </c>
      <c r="K264" s="1514" t="s">
        <v>493</v>
      </c>
      <c r="L264" s="1536"/>
      <c r="M264" s="1429"/>
      <c r="N264" s="1536">
        <f>43705.08-43705.08</f>
        <v>0</v>
      </c>
      <c r="O264" s="819"/>
      <c r="P264" s="1453"/>
      <c r="Q264" s="1453"/>
      <c r="R264" s="795"/>
      <c r="S264" s="793"/>
      <c r="T264" s="1430"/>
      <c r="U264" s="1447"/>
      <c r="V264" s="796"/>
      <c r="W264" s="793">
        <f>1180037.16+60014+18137+21456.71+3176.66+534462.87-1817284.4</f>
        <v>0</v>
      </c>
      <c r="X264" s="796"/>
      <c r="Y264" s="1461"/>
      <c r="AB264" s="1535"/>
      <c r="AC264" s="1413"/>
      <c r="AD264" s="1405"/>
      <c r="AE264" s="1414"/>
      <c r="AF264" s="1414">
        <f t="shared" si="43"/>
        <v>0</v>
      </c>
      <c r="AG264" s="1510">
        <f t="shared" si="44"/>
        <v>0</v>
      </c>
      <c r="AH264" s="1490">
        <f t="shared" si="45"/>
        <v>0</v>
      </c>
      <c r="AJ264" s="1490"/>
      <c r="AK264" s="1439"/>
      <c r="AL264" s="1440"/>
      <c r="AM264" s="1440"/>
      <c r="AN264" s="1441"/>
      <c r="AO264" s="1441"/>
      <c r="AP264" s="1442"/>
      <c r="AQ264" s="1498"/>
      <c r="AR264" s="1444"/>
      <c r="AS264" s="1444"/>
      <c r="AT264" s="1444"/>
    </row>
    <row r="265" spans="1:46" s="1407" customFormat="1" ht="12.75" hidden="1" customHeight="1">
      <c r="A265" s="1449"/>
      <c r="B265" s="1450"/>
      <c r="C265" s="1514" t="s">
        <v>530</v>
      </c>
      <c r="D265" s="1466">
        <v>1330000</v>
      </c>
      <c r="E265" s="1524">
        <v>39246</v>
      </c>
      <c r="F265" s="1524">
        <v>39263</v>
      </c>
      <c r="G265" s="1514">
        <v>178</v>
      </c>
      <c r="H265" s="1514"/>
      <c r="I265" s="1514">
        <v>137</v>
      </c>
      <c r="J265" s="1514" t="s">
        <v>382</v>
      </c>
      <c r="K265" s="1514" t="s">
        <v>493</v>
      </c>
      <c r="L265" s="1536"/>
      <c r="M265" s="1429"/>
      <c r="N265" s="1536">
        <f>88754.89-88754.89</f>
        <v>0</v>
      </c>
      <c r="O265" s="819"/>
      <c r="P265" s="1453"/>
      <c r="Q265" s="1453"/>
      <c r="R265" s="795"/>
      <c r="S265" s="793"/>
      <c r="T265" s="1430"/>
      <c r="U265" s="1447"/>
      <c r="V265" s="796"/>
      <c r="W265" s="793">
        <f>1330000+37346+12194+11494.18+21456.59+3176.67-1415667.44</f>
        <v>0</v>
      </c>
      <c r="X265" s="796"/>
      <c r="Y265" s="1461"/>
      <c r="AB265" s="1535"/>
      <c r="AC265" s="1413"/>
      <c r="AD265" s="1405"/>
      <c r="AE265" s="1414"/>
      <c r="AF265" s="1414">
        <f t="shared" si="43"/>
        <v>0</v>
      </c>
      <c r="AG265" s="1510">
        <f t="shared" si="44"/>
        <v>0</v>
      </c>
      <c r="AH265" s="1490">
        <f t="shared" si="45"/>
        <v>0</v>
      </c>
      <c r="AJ265" s="1490"/>
      <c r="AK265" s="1439"/>
      <c r="AL265" s="1440"/>
      <c r="AM265" s="1440"/>
      <c r="AN265" s="1441"/>
      <c r="AO265" s="1441"/>
      <c r="AP265" s="1442"/>
      <c r="AQ265" s="1498"/>
      <c r="AR265" s="1444"/>
      <c r="AS265" s="1444"/>
      <c r="AT265" s="1444"/>
    </row>
    <row r="266" spans="1:46" s="1407" customFormat="1" ht="12.75" hidden="1" customHeight="1">
      <c r="A266" s="1449"/>
      <c r="B266" s="1450"/>
      <c r="C266" s="1514" t="s">
        <v>531</v>
      </c>
      <c r="D266" s="1466">
        <v>1900000</v>
      </c>
      <c r="E266" s="1524">
        <v>39224</v>
      </c>
      <c r="F266" s="1524">
        <v>39263</v>
      </c>
      <c r="G266" s="1514">
        <v>117</v>
      </c>
      <c r="H266" s="1514"/>
      <c r="I266" s="1514">
        <v>10073</v>
      </c>
      <c r="J266" s="1514" t="s">
        <v>382</v>
      </c>
      <c r="K266" s="1514" t="s">
        <v>493</v>
      </c>
      <c r="L266" s="1536"/>
      <c r="M266" s="1429"/>
      <c r="N266" s="1536">
        <f>88705.64-88705.64</f>
        <v>0</v>
      </c>
      <c r="O266" s="819"/>
      <c r="P266" s="1453"/>
      <c r="Q266" s="1453"/>
      <c r="R266" s="795"/>
      <c r="S266" s="793"/>
      <c r="T266" s="1430"/>
      <c r="U266" s="1447"/>
      <c r="V266" s="796"/>
      <c r="W266" s="793">
        <f>1900000+62200+19669+21456.7+3176.67-2006502.37</f>
        <v>0</v>
      </c>
      <c r="X266" s="796"/>
      <c r="Y266" s="1461"/>
      <c r="AB266" s="1535"/>
      <c r="AC266" s="1413"/>
      <c r="AD266" s="1405"/>
      <c r="AE266" s="1414"/>
      <c r="AF266" s="1414">
        <f t="shared" si="43"/>
        <v>0</v>
      </c>
      <c r="AG266" s="1510">
        <f t="shared" si="44"/>
        <v>0</v>
      </c>
      <c r="AH266" s="1490">
        <f t="shared" si="45"/>
        <v>0</v>
      </c>
      <c r="AJ266" s="1490"/>
      <c r="AK266" s="1439"/>
      <c r="AL266" s="1440"/>
      <c r="AM266" s="1440"/>
      <c r="AN266" s="1441"/>
      <c r="AO266" s="1441"/>
      <c r="AP266" s="1442"/>
      <c r="AQ266" s="1498"/>
      <c r="AR266" s="1444"/>
      <c r="AS266" s="1444"/>
      <c r="AT266" s="1444"/>
    </row>
    <row r="267" spans="1:46" s="1407" customFormat="1" ht="12.75" customHeight="1">
      <c r="A267" s="1449"/>
      <c r="B267" s="1450"/>
      <c r="C267" s="1514" t="s">
        <v>532</v>
      </c>
      <c r="D267" s="1466">
        <v>1000000</v>
      </c>
      <c r="E267" s="1524">
        <v>39417</v>
      </c>
      <c r="F267" s="1524">
        <v>39479</v>
      </c>
      <c r="G267" s="1514">
        <v>8950</v>
      </c>
      <c r="H267" s="1514"/>
      <c r="I267" s="1514"/>
      <c r="J267" s="1514" t="s">
        <v>533</v>
      </c>
      <c r="K267" s="1514" t="s">
        <v>493</v>
      </c>
      <c r="L267" s="1536"/>
      <c r="M267" s="1429"/>
      <c r="N267" s="1536">
        <f>333313.727-60000-2423.9</f>
        <v>270889.82699999999</v>
      </c>
      <c r="O267" s="819"/>
      <c r="P267" s="1453"/>
      <c r="Q267" s="1453"/>
      <c r="R267" s="795"/>
      <c r="S267" s="793"/>
      <c r="T267" s="1430"/>
      <c r="U267" s="1447"/>
      <c r="V267" s="796"/>
      <c r="W267" s="793">
        <f>1000000+20800+1182685.01+33660-2237145.01+45211.19+1834713.29+3764675.19</f>
        <v>5644599.6699999999</v>
      </c>
      <c r="X267" s="796"/>
      <c r="Y267" s="1461"/>
      <c r="AB267" s="1535"/>
      <c r="AC267" s="1413"/>
      <c r="AD267" s="1405"/>
      <c r="AE267" s="1414"/>
      <c r="AF267" s="1414">
        <f t="shared" si="43"/>
        <v>270889.82699999999</v>
      </c>
      <c r="AG267" s="1510">
        <f t="shared" si="44"/>
        <v>0.97040428048255956</v>
      </c>
      <c r="AH267" s="1490">
        <f t="shared" si="45"/>
        <v>3826576.8974021468</v>
      </c>
      <c r="AJ267" s="1490"/>
      <c r="AK267" s="1439" t="s">
        <v>6934</v>
      </c>
      <c r="AL267" s="1440" t="s">
        <v>376</v>
      </c>
      <c r="AM267" s="1440" t="s">
        <v>376</v>
      </c>
      <c r="AN267" s="1444" t="s">
        <v>5760</v>
      </c>
      <c r="AO267" s="1444" t="s">
        <v>5760</v>
      </c>
      <c r="AP267" s="1442" t="s">
        <v>5621</v>
      </c>
      <c r="AQ267" s="1500">
        <v>270890.23999999999</v>
      </c>
      <c r="AR267" s="1444" t="s">
        <v>5781</v>
      </c>
      <c r="AS267" s="1444" t="s">
        <v>5782</v>
      </c>
      <c r="AT267" s="1444" t="s">
        <v>5609</v>
      </c>
    </row>
    <row r="268" spans="1:46" s="1407" customFormat="1" ht="12.75" customHeight="1">
      <c r="A268" s="1449"/>
      <c r="B268" s="1450"/>
      <c r="C268" s="1514" t="s">
        <v>534</v>
      </c>
      <c r="D268" s="1466">
        <v>1000000</v>
      </c>
      <c r="E268" s="1524">
        <v>39417</v>
      </c>
      <c r="F268" s="1524">
        <v>39479</v>
      </c>
      <c r="G268" s="1514">
        <v>8950</v>
      </c>
      <c r="H268" s="1514"/>
      <c r="I268" s="1514"/>
      <c r="J268" s="1514" t="s">
        <v>533</v>
      </c>
      <c r="K268" s="1514" t="s">
        <v>493</v>
      </c>
      <c r="L268" s="1536"/>
      <c r="M268" s="1429"/>
      <c r="N268" s="1536">
        <f>333426.353-60000-264202.08</f>
        <v>9224.2729999999865</v>
      </c>
      <c r="O268" s="819"/>
      <c r="P268" s="1453"/>
      <c r="Q268" s="1453"/>
      <c r="R268" s="795"/>
      <c r="S268" s="793"/>
      <c r="T268" s="1430"/>
      <c r="U268" s="1447"/>
      <c r="V268" s="796"/>
      <c r="W268" s="793">
        <f>1000000+20800+1183084.63+33660-402709.79-1789623.65-45211.19+61901.87</f>
        <v>61901.869999999944</v>
      </c>
      <c r="X268" s="796"/>
      <c r="Y268" s="1461"/>
      <c r="AB268" s="1535"/>
      <c r="AC268" s="1413"/>
      <c r="AD268" s="1405"/>
      <c r="AE268" s="1414"/>
      <c r="AF268" s="1414">
        <f t="shared" si="43"/>
        <v>9224.2729999999865</v>
      </c>
      <c r="AG268" s="1510">
        <f t="shared" si="44"/>
        <v>3.3043965152444385E-2</v>
      </c>
      <c r="AH268" s="1414"/>
      <c r="AJ268" s="1490"/>
      <c r="AK268" s="1514" t="s">
        <v>6935</v>
      </c>
      <c r="AL268" s="1440"/>
      <c r="AM268" s="1440"/>
      <c r="AN268" s="1444"/>
      <c r="AO268" s="1444"/>
      <c r="AP268" s="1442"/>
      <c r="AQ268" s="1500"/>
      <c r="AR268" s="1444"/>
      <c r="AS268" s="1444"/>
      <c r="AT268" s="1444"/>
    </row>
    <row r="269" spans="1:46" s="1407" customFormat="1" ht="12.75" hidden="1" customHeight="1">
      <c r="A269" s="1537">
        <v>79</v>
      </c>
      <c r="B269" s="1450">
        <v>1</v>
      </c>
      <c r="C269" s="1514" t="s">
        <v>535</v>
      </c>
      <c r="D269" s="1466">
        <v>194600</v>
      </c>
      <c r="E269" s="1524">
        <v>39965</v>
      </c>
      <c r="F269" s="1524">
        <v>39759</v>
      </c>
      <c r="G269" s="1514"/>
      <c r="H269" s="1514" t="s">
        <v>536</v>
      </c>
      <c r="I269" s="1514"/>
      <c r="J269" s="1514" t="s">
        <v>382</v>
      </c>
      <c r="K269" s="1514" t="s">
        <v>493</v>
      </c>
      <c r="L269" s="1536"/>
      <c r="M269" s="1429"/>
      <c r="N269" s="1536">
        <f>455-455</f>
        <v>0</v>
      </c>
      <c r="O269" s="819"/>
      <c r="P269" s="1453"/>
      <c r="Q269" s="1453"/>
      <c r="R269" s="795"/>
      <c r="S269" s="793"/>
      <c r="T269" s="1430"/>
      <c r="U269" s="1447"/>
      <c r="V269" s="796"/>
      <c r="W269" s="793">
        <f>194600+12913.28-207513.28</f>
        <v>0</v>
      </c>
      <c r="X269" s="796"/>
      <c r="Y269" s="1461"/>
      <c r="AB269" s="1535"/>
      <c r="AC269" s="1413"/>
      <c r="AD269" s="1405"/>
      <c r="AE269" s="1414"/>
      <c r="AF269" s="1414">
        <f t="shared" si="43"/>
        <v>0</v>
      </c>
      <c r="AG269" s="1510">
        <f t="shared" si="44"/>
        <v>0</v>
      </c>
      <c r="AH269" s="1414"/>
      <c r="AK269" s="1439"/>
      <c r="AL269" s="1440"/>
      <c r="AM269" s="1440"/>
      <c r="AN269" s="1444"/>
      <c r="AO269" s="1444"/>
      <c r="AP269" s="1442"/>
      <c r="AQ269" s="1500"/>
      <c r="AR269" s="1444"/>
      <c r="AS269" s="1444"/>
      <c r="AT269" s="1444"/>
    </row>
    <row r="270" spans="1:46" s="1407" customFormat="1" ht="12.75" hidden="1" customHeight="1">
      <c r="A270" s="1537">
        <v>70</v>
      </c>
      <c r="B270" s="1450">
        <v>1</v>
      </c>
      <c r="C270" s="1514" t="s">
        <v>537</v>
      </c>
      <c r="D270" s="1466">
        <v>260619</v>
      </c>
      <c r="E270" s="1524">
        <v>39965</v>
      </c>
      <c r="F270" s="1524">
        <v>39759</v>
      </c>
      <c r="G270" s="1514"/>
      <c r="H270" s="1514" t="s">
        <v>538</v>
      </c>
      <c r="I270" s="1514"/>
      <c r="J270" s="1514" t="s">
        <v>382</v>
      </c>
      <c r="K270" s="1514" t="s">
        <v>493</v>
      </c>
      <c r="L270" s="1536"/>
      <c r="M270" s="1429"/>
      <c r="N270" s="1536">
        <f>845-845</f>
        <v>0</v>
      </c>
      <c r="O270" s="819"/>
      <c r="P270" s="1453"/>
      <c r="Q270" s="1453"/>
      <c r="R270" s="795"/>
      <c r="S270" s="793"/>
      <c r="T270" s="1430"/>
      <c r="U270" s="1447"/>
      <c r="V270" s="796"/>
      <c r="W270" s="793">
        <f>260619+12913.28-273532.28</f>
        <v>0</v>
      </c>
      <c r="X270" s="796"/>
      <c r="Y270" s="1461"/>
      <c r="AB270" s="1535"/>
      <c r="AC270" s="1413"/>
      <c r="AD270" s="1405"/>
      <c r="AE270" s="1414"/>
      <c r="AF270" s="1414">
        <f t="shared" si="43"/>
        <v>0</v>
      </c>
      <c r="AG270" s="1510">
        <f t="shared" si="44"/>
        <v>0</v>
      </c>
      <c r="AH270" s="1414"/>
      <c r="AK270" s="1439"/>
      <c r="AL270" s="1440"/>
      <c r="AM270" s="1440"/>
      <c r="AN270" s="1444"/>
      <c r="AO270" s="1444"/>
      <c r="AP270" s="1442"/>
      <c r="AQ270" s="1500"/>
      <c r="AR270" s="1444"/>
      <c r="AS270" s="1444"/>
      <c r="AT270" s="1444"/>
    </row>
    <row r="271" spans="1:46" s="1407" customFormat="1" ht="12.75" hidden="1" customHeight="1">
      <c r="A271" s="1537">
        <v>65</v>
      </c>
      <c r="B271" s="1450">
        <v>1</v>
      </c>
      <c r="C271" s="1514" t="s">
        <v>539</v>
      </c>
      <c r="D271" s="1466">
        <v>330278</v>
      </c>
      <c r="E271" s="1524">
        <v>39965</v>
      </c>
      <c r="F271" s="1524">
        <v>39759</v>
      </c>
      <c r="G271" s="1514"/>
      <c r="H271" s="1514" t="s">
        <v>540</v>
      </c>
      <c r="I271" s="1514"/>
      <c r="J271" s="1514" t="s">
        <v>382</v>
      </c>
      <c r="K271" s="1514" t="s">
        <v>493</v>
      </c>
      <c r="L271" s="1536"/>
      <c r="M271" s="1429"/>
      <c r="N271" s="1536">
        <f>827-827</f>
        <v>0</v>
      </c>
      <c r="O271" s="819"/>
      <c r="P271" s="1453"/>
      <c r="Q271" s="1453"/>
      <c r="R271" s="795"/>
      <c r="S271" s="793"/>
      <c r="T271" s="1430"/>
      <c r="U271" s="1447"/>
      <c r="V271" s="796"/>
      <c r="W271" s="793">
        <f>330278+12913.28-343191.28</f>
        <v>0</v>
      </c>
      <c r="X271" s="796"/>
      <c r="Y271" s="1461"/>
      <c r="AB271" s="1535"/>
      <c r="AC271" s="1413"/>
      <c r="AD271" s="1405"/>
      <c r="AE271" s="1414"/>
      <c r="AF271" s="1414">
        <f t="shared" si="43"/>
        <v>0</v>
      </c>
      <c r="AG271" s="1510">
        <f t="shared" si="44"/>
        <v>0</v>
      </c>
      <c r="AH271" s="1414"/>
      <c r="AK271" s="1439"/>
      <c r="AL271" s="1440"/>
      <c r="AM271" s="1440"/>
      <c r="AN271" s="1444"/>
      <c r="AO271" s="1444"/>
      <c r="AP271" s="1442"/>
      <c r="AQ271" s="1500"/>
      <c r="AR271" s="1444"/>
      <c r="AS271" s="1444"/>
      <c r="AT271" s="1444"/>
    </row>
    <row r="272" spans="1:46" s="1407" customFormat="1" ht="12.75" hidden="1" customHeight="1">
      <c r="A272" s="1537">
        <v>70</v>
      </c>
      <c r="B272" s="1450">
        <v>1</v>
      </c>
      <c r="C272" s="1514" t="s">
        <v>541</v>
      </c>
      <c r="D272" s="1466">
        <v>125000</v>
      </c>
      <c r="E272" s="1524">
        <v>39965</v>
      </c>
      <c r="F272" s="1524">
        <v>38708</v>
      </c>
      <c r="G272" s="1514"/>
      <c r="H272" s="1514" t="s">
        <v>542</v>
      </c>
      <c r="I272" s="1514"/>
      <c r="J272" s="1514" t="s">
        <v>382</v>
      </c>
      <c r="K272" s="1514" t="s">
        <v>493</v>
      </c>
      <c r="L272" s="1536"/>
      <c r="M272" s="1429"/>
      <c r="N272" s="1536">
        <f>427.7-427.7</f>
        <v>0</v>
      </c>
      <c r="O272" s="819"/>
      <c r="P272" s="1453"/>
      <c r="Q272" s="1453"/>
      <c r="R272" s="795"/>
      <c r="S272" s="793"/>
      <c r="T272" s="1430"/>
      <c r="U272" s="1447"/>
      <c r="V272" s="796"/>
      <c r="W272" s="793">
        <f>125000+12913.29-137913.29</f>
        <v>0</v>
      </c>
      <c r="X272" s="796"/>
      <c r="Y272" s="1461"/>
      <c r="AB272" s="1535"/>
      <c r="AC272" s="1413"/>
      <c r="AD272" s="1405"/>
      <c r="AE272" s="1414"/>
      <c r="AF272" s="1414">
        <f t="shared" si="43"/>
        <v>0</v>
      </c>
      <c r="AG272" s="1510">
        <f t="shared" si="44"/>
        <v>0</v>
      </c>
      <c r="AH272" s="1414"/>
      <c r="AK272" s="1439"/>
      <c r="AL272" s="1440"/>
      <c r="AM272" s="1440"/>
      <c r="AN272" s="1444"/>
      <c r="AO272" s="1444"/>
      <c r="AP272" s="1442"/>
      <c r="AQ272" s="1500"/>
      <c r="AR272" s="1444"/>
      <c r="AS272" s="1444"/>
      <c r="AT272" s="1444"/>
    </row>
    <row r="273" spans="1:46" s="1407" customFormat="1" ht="12.75" hidden="1" customHeight="1">
      <c r="A273" s="1537">
        <v>64</v>
      </c>
      <c r="B273" s="1450">
        <v>1</v>
      </c>
      <c r="C273" s="1514" t="s">
        <v>543</v>
      </c>
      <c r="D273" s="1466">
        <v>200000</v>
      </c>
      <c r="E273" s="1524">
        <v>39965</v>
      </c>
      <c r="F273" s="1524">
        <v>39759</v>
      </c>
      <c r="G273" s="1514"/>
      <c r="H273" s="1514" t="s">
        <v>544</v>
      </c>
      <c r="I273" s="1514"/>
      <c r="J273" s="1514" t="s">
        <v>382</v>
      </c>
      <c r="K273" s="1514" t="s">
        <v>493</v>
      </c>
      <c r="L273" s="1536"/>
      <c r="M273" s="1429"/>
      <c r="N273" s="1536">
        <f>869-869</f>
        <v>0</v>
      </c>
      <c r="O273" s="819"/>
      <c r="P273" s="1453"/>
      <c r="Q273" s="1453"/>
      <c r="R273" s="795"/>
      <c r="S273" s="793"/>
      <c r="T273" s="1430"/>
      <c r="U273" s="1447"/>
      <c r="V273" s="796"/>
      <c r="W273" s="793">
        <f>200000+12913.29-212913.29</f>
        <v>0</v>
      </c>
      <c r="X273" s="796"/>
      <c r="Y273" s="1461"/>
      <c r="AB273" s="1535"/>
      <c r="AC273" s="1413"/>
      <c r="AD273" s="1405"/>
      <c r="AE273" s="1414"/>
      <c r="AF273" s="1414">
        <f t="shared" si="43"/>
        <v>0</v>
      </c>
      <c r="AG273" s="1510">
        <f t="shared" si="44"/>
        <v>0</v>
      </c>
      <c r="AH273" s="1414"/>
      <c r="AK273" s="1439"/>
      <c r="AL273" s="1440"/>
      <c r="AM273" s="1440"/>
      <c r="AN273" s="1444"/>
      <c r="AO273" s="1444"/>
      <c r="AP273" s="1442"/>
      <c r="AQ273" s="1500"/>
      <c r="AR273" s="1444"/>
      <c r="AS273" s="1444"/>
      <c r="AT273" s="1444"/>
    </row>
    <row r="274" spans="1:46" s="1407" customFormat="1" ht="12.75" hidden="1" customHeight="1">
      <c r="A274" s="1537">
        <v>78</v>
      </c>
      <c r="B274" s="1450">
        <v>1</v>
      </c>
      <c r="C274" s="1514" t="s">
        <v>545</v>
      </c>
      <c r="D274" s="1466">
        <v>67908</v>
      </c>
      <c r="E274" s="1524">
        <v>39965</v>
      </c>
      <c r="F274" s="1524">
        <v>39759</v>
      </c>
      <c r="G274" s="1514"/>
      <c r="H274" s="1514" t="s">
        <v>546</v>
      </c>
      <c r="I274" s="1514"/>
      <c r="J274" s="1514" t="s">
        <v>382</v>
      </c>
      <c r="K274" s="1514" t="s">
        <v>493</v>
      </c>
      <c r="L274" s="1536"/>
      <c r="M274" s="1429"/>
      <c r="N274" s="1536">
        <f>530-530</f>
        <v>0</v>
      </c>
      <c r="O274" s="819"/>
      <c r="P274" s="1453"/>
      <c r="Q274" s="1453"/>
      <c r="R274" s="795"/>
      <c r="S274" s="793"/>
      <c r="T274" s="1430"/>
      <c r="U274" s="1447"/>
      <c r="V274" s="796"/>
      <c r="W274" s="793">
        <f>67908+12913.29-80821.29</f>
        <v>0</v>
      </c>
      <c r="X274" s="796"/>
      <c r="Y274" s="1461"/>
      <c r="AB274" s="1535"/>
      <c r="AC274" s="1413"/>
      <c r="AD274" s="1405"/>
      <c r="AE274" s="1414"/>
      <c r="AF274" s="1414">
        <f t="shared" si="43"/>
        <v>0</v>
      </c>
      <c r="AG274" s="1510">
        <f t="shared" si="44"/>
        <v>0</v>
      </c>
      <c r="AH274" s="1414"/>
      <c r="AK274" s="1439"/>
      <c r="AL274" s="1440"/>
      <c r="AM274" s="1440"/>
      <c r="AN274" s="1444"/>
      <c r="AO274" s="1444"/>
      <c r="AP274" s="1442"/>
      <c r="AQ274" s="1500"/>
      <c r="AR274" s="1444"/>
      <c r="AS274" s="1444"/>
      <c r="AT274" s="1444"/>
    </row>
    <row r="275" spans="1:46" s="1407" customFormat="1" ht="12.75" hidden="1" customHeight="1">
      <c r="A275" s="1537">
        <v>78</v>
      </c>
      <c r="B275" s="1450">
        <v>2</v>
      </c>
      <c r="C275" s="1514" t="s">
        <v>547</v>
      </c>
      <c r="D275" s="1466">
        <v>55722</v>
      </c>
      <c r="E275" s="1524">
        <v>39965</v>
      </c>
      <c r="F275" s="1524">
        <v>39759</v>
      </c>
      <c r="G275" s="1514"/>
      <c r="H275" s="1514" t="s">
        <v>548</v>
      </c>
      <c r="I275" s="1514"/>
      <c r="J275" s="1514" t="s">
        <v>382</v>
      </c>
      <c r="K275" s="1514" t="s">
        <v>493</v>
      </c>
      <c r="L275" s="1536"/>
      <c r="M275" s="1429"/>
      <c r="N275" s="1536">
        <f>548-548</f>
        <v>0</v>
      </c>
      <c r="O275" s="819"/>
      <c r="P275" s="1453"/>
      <c r="Q275" s="1453"/>
      <c r="R275" s="795"/>
      <c r="S275" s="793"/>
      <c r="T275" s="1430"/>
      <c r="U275" s="1447"/>
      <c r="V275" s="796"/>
      <c r="W275" s="793">
        <f>55722+12913.29-68635.29</f>
        <v>0</v>
      </c>
      <c r="X275" s="796"/>
      <c r="Y275" s="1461"/>
      <c r="AB275" s="1535"/>
      <c r="AC275" s="1413"/>
      <c r="AD275" s="1405"/>
      <c r="AE275" s="1414"/>
      <c r="AF275" s="1414">
        <f t="shared" si="43"/>
        <v>0</v>
      </c>
      <c r="AG275" s="1510">
        <f t="shared" si="44"/>
        <v>0</v>
      </c>
      <c r="AH275" s="1414"/>
      <c r="AK275" s="1439"/>
      <c r="AL275" s="1440"/>
      <c r="AM275" s="1440"/>
      <c r="AN275" s="1444"/>
      <c r="AO275" s="1444"/>
      <c r="AP275" s="1442"/>
      <c r="AQ275" s="1500"/>
      <c r="AR275" s="1444"/>
      <c r="AS275" s="1444"/>
      <c r="AT275" s="1444"/>
    </row>
    <row r="276" spans="1:46" s="1407" customFormat="1" ht="12.75" hidden="1" customHeight="1">
      <c r="A276" s="1537"/>
      <c r="B276" s="1450"/>
      <c r="C276" s="1514" t="s">
        <v>549</v>
      </c>
      <c r="D276" s="1466">
        <v>1276150.75</v>
      </c>
      <c r="E276" s="1524">
        <v>40057</v>
      </c>
      <c r="F276" s="1524">
        <v>40052</v>
      </c>
      <c r="G276" s="1514"/>
      <c r="H276" s="1514">
        <v>7779</v>
      </c>
      <c r="I276" s="1514"/>
      <c r="J276" s="1514" t="s">
        <v>382</v>
      </c>
      <c r="K276" s="1514" t="s">
        <v>493</v>
      </c>
      <c r="L276" s="1536"/>
      <c r="M276" s="1429"/>
      <c r="N276" s="1536">
        <f>18230.72-18230.72</f>
        <v>0</v>
      </c>
      <c r="O276" s="819"/>
      <c r="P276" s="1453"/>
      <c r="Q276" s="1453"/>
      <c r="R276" s="795"/>
      <c r="S276" s="793"/>
      <c r="T276" s="1430"/>
      <c r="U276" s="1447"/>
      <c r="V276" s="796"/>
      <c r="W276" s="793">
        <f>1276150.75+14850+26543.94+10927.76-1328472.45</f>
        <v>0</v>
      </c>
      <c r="X276" s="796"/>
      <c r="Y276" s="1461"/>
      <c r="AB276" s="1535"/>
      <c r="AC276" s="1413"/>
      <c r="AD276" s="1405"/>
      <c r="AE276" s="1414"/>
      <c r="AF276" s="1414">
        <f t="shared" si="43"/>
        <v>0</v>
      </c>
      <c r="AG276" s="1510">
        <f t="shared" si="44"/>
        <v>0</v>
      </c>
      <c r="AH276" s="1414"/>
      <c r="AK276" s="1439"/>
      <c r="AL276" s="1440"/>
      <c r="AM276" s="1440"/>
      <c r="AN276" s="1444"/>
      <c r="AO276" s="1444"/>
      <c r="AP276" s="1442"/>
      <c r="AQ276" s="1500"/>
      <c r="AR276" s="1444"/>
      <c r="AS276" s="1444"/>
      <c r="AT276" s="1444"/>
    </row>
    <row r="277" spans="1:46" s="1407" customFormat="1" ht="12.75" hidden="1" customHeight="1">
      <c r="A277" s="1537"/>
      <c r="B277" s="1450"/>
      <c r="C277" s="1514" t="s">
        <v>550</v>
      </c>
      <c r="D277" s="1466"/>
      <c r="E277" s="1524"/>
      <c r="F277" s="1524"/>
      <c r="G277" s="1514"/>
      <c r="H277" s="1514"/>
      <c r="I277" s="1514"/>
      <c r="J277" s="1514"/>
      <c r="K277" s="1514"/>
      <c r="L277" s="1536"/>
      <c r="M277" s="1429"/>
      <c r="N277" s="1536"/>
      <c r="O277" s="819"/>
      <c r="P277" s="1453"/>
      <c r="Q277" s="1453"/>
      <c r="R277" s="795"/>
      <c r="S277" s="793"/>
      <c r="T277" s="1430"/>
      <c r="U277" s="1447"/>
      <c r="V277" s="796"/>
      <c r="W277" s="793"/>
      <c r="X277" s="796"/>
      <c r="Y277" s="793"/>
      <c r="AB277" s="1535"/>
      <c r="AC277" s="1413"/>
      <c r="AD277" s="1405"/>
      <c r="AE277" s="1414"/>
      <c r="AF277" s="1414"/>
      <c r="AG277" s="1414"/>
      <c r="AH277" s="1414"/>
      <c r="AK277" s="1439"/>
      <c r="AL277" s="1440"/>
      <c r="AM277" s="1440"/>
      <c r="AN277" s="1444"/>
      <c r="AO277" s="1444"/>
      <c r="AP277" s="1442"/>
      <c r="AQ277" s="1500"/>
      <c r="AR277" s="1444"/>
      <c r="AS277" s="1444"/>
      <c r="AT277" s="1444"/>
    </row>
    <row r="278" spans="1:46" s="1407" customFormat="1" ht="12.75" hidden="1" customHeight="1">
      <c r="A278" s="1449" t="s">
        <v>551</v>
      </c>
      <c r="B278" s="1450"/>
      <c r="C278" s="1514" t="s">
        <v>552</v>
      </c>
      <c r="D278" s="1466">
        <v>525373.1</v>
      </c>
      <c r="E278" s="1524">
        <v>40315</v>
      </c>
      <c r="F278" s="1524">
        <v>40315</v>
      </c>
      <c r="G278" s="1514"/>
      <c r="H278" s="1514"/>
      <c r="I278" s="1514"/>
      <c r="J278" s="1514" t="s">
        <v>459</v>
      </c>
      <c r="K278" s="1514" t="s">
        <v>553</v>
      </c>
      <c r="L278" s="1536"/>
      <c r="M278" s="1429"/>
      <c r="N278" s="1536">
        <f>2207.45-2207.45</f>
        <v>0</v>
      </c>
      <c r="O278" s="819"/>
      <c r="P278" s="1453"/>
      <c r="Q278" s="1453"/>
      <c r="R278" s="795"/>
      <c r="S278" s="793"/>
      <c r="T278" s="1430"/>
      <c r="U278" s="1447"/>
      <c r="V278" s="796"/>
      <c r="W278" s="793">
        <f>525373.1-525373.1</f>
        <v>0</v>
      </c>
      <c r="X278" s="796"/>
      <c r="Y278" s="793"/>
      <c r="AB278" s="1535"/>
      <c r="AC278" s="1413"/>
      <c r="AD278" s="1405"/>
      <c r="AK278" s="1439"/>
      <c r="AL278" s="1440"/>
      <c r="AM278" s="1440"/>
      <c r="AN278" s="1444"/>
      <c r="AO278" s="1444"/>
      <c r="AP278" s="1442"/>
      <c r="AQ278" s="1500"/>
      <c r="AR278" s="1444"/>
      <c r="AS278" s="1444"/>
      <c r="AT278" s="1444"/>
    </row>
    <row r="279" spans="1:46" s="1407" customFormat="1" ht="12.75" hidden="1" customHeight="1">
      <c r="A279" s="1449"/>
      <c r="B279" s="1450"/>
      <c r="C279" s="1514"/>
      <c r="D279" s="1466"/>
      <c r="E279" s="1524"/>
      <c r="F279" s="1524"/>
      <c r="G279" s="1514"/>
      <c r="H279" s="1514"/>
      <c r="I279" s="1514"/>
      <c r="J279" s="1514"/>
      <c r="K279" s="1514"/>
      <c r="L279" s="1536"/>
      <c r="M279" s="1429"/>
      <c r="N279" s="1536"/>
      <c r="O279" s="819"/>
      <c r="P279" s="1453"/>
      <c r="Q279" s="1453"/>
      <c r="R279" s="795"/>
      <c r="S279" s="793"/>
      <c r="T279" s="1430"/>
      <c r="U279" s="1447"/>
      <c r="V279" s="796"/>
      <c r="W279" s="793"/>
      <c r="X279" s="796"/>
      <c r="Y279" s="793"/>
      <c r="AB279" s="1535"/>
      <c r="AC279" s="1413"/>
      <c r="AD279" s="1405"/>
      <c r="AK279" s="1439"/>
      <c r="AL279" s="1440"/>
      <c r="AM279" s="1440"/>
      <c r="AN279" s="1444"/>
      <c r="AO279" s="1444"/>
      <c r="AP279" s="1442"/>
      <c r="AQ279" s="1500"/>
      <c r="AR279" s="1444"/>
      <c r="AS279" s="1444"/>
      <c r="AT279" s="1444"/>
    </row>
    <row r="280" spans="1:46" s="1407" customFormat="1" ht="12.75" customHeight="1">
      <c r="A280" s="1449"/>
      <c r="B280" s="1450"/>
      <c r="C280" s="1514"/>
      <c r="D280" s="1466"/>
      <c r="E280" s="1524"/>
      <c r="F280" s="1524"/>
      <c r="G280" s="1514"/>
      <c r="H280" s="1514"/>
      <c r="I280" s="1514"/>
      <c r="J280" s="1514"/>
      <c r="K280" s="1514"/>
      <c r="L280" s="1536"/>
      <c r="M280" s="1429"/>
      <c r="N280" s="1536"/>
      <c r="O280" s="819"/>
      <c r="P280" s="1453"/>
      <c r="Q280" s="1453"/>
      <c r="R280" s="795"/>
      <c r="S280" s="793"/>
      <c r="T280" s="1430"/>
      <c r="U280" s="1447"/>
      <c r="V280" s="796"/>
      <c r="W280" s="793"/>
      <c r="X280" s="796"/>
      <c r="Y280" s="793"/>
      <c r="AB280" s="1535"/>
      <c r="AC280" s="1413"/>
      <c r="AD280" s="1405"/>
      <c r="AK280" s="1439"/>
      <c r="AL280" s="1440"/>
      <c r="AM280" s="1440"/>
      <c r="AN280" s="1444"/>
      <c r="AO280" s="1444"/>
      <c r="AP280" s="1442"/>
      <c r="AQ280" s="1500"/>
      <c r="AR280" s="1444"/>
      <c r="AS280" s="1444"/>
      <c r="AT280" s="1444"/>
    </row>
    <row r="281" spans="1:46" s="1407" customFormat="1" ht="12.75" customHeight="1">
      <c r="A281" s="1449"/>
      <c r="B281" s="1450"/>
      <c r="C281" s="1514"/>
      <c r="D281" s="1466"/>
      <c r="E281" s="1524"/>
      <c r="F281" s="1524"/>
      <c r="G281" s="1514"/>
      <c r="H281" s="1514"/>
      <c r="I281" s="1514"/>
      <c r="J281" s="1514"/>
      <c r="K281" s="1463" t="s">
        <v>98</v>
      </c>
      <c r="L281" s="1536"/>
      <c r="M281" s="1429"/>
      <c r="N281" s="1457">
        <f t="shared" ref="N281:Y281" si="46">SUM(N239:N280)</f>
        <v>288375.78999999998</v>
      </c>
      <c r="O281" s="1457">
        <f t="shared" si="46"/>
        <v>0</v>
      </c>
      <c r="P281" s="1457">
        <f t="shared" si="46"/>
        <v>0</v>
      </c>
      <c r="Q281" s="1457">
        <f t="shared" si="46"/>
        <v>0</v>
      </c>
      <c r="R281" s="1457">
        <f t="shared" si="46"/>
        <v>1850000</v>
      </c>
      <c r="S281" s="1457">
        <f t="shared" si="46"/>
        <v>1156.0147898839273</v>
      </c>
      <c r="T281" s="1457">
        <f t="shared" si="46"/>
        <v>0</v>
      </c>
      <c r="U281" s="1457">
        <f t="shared" si="46"/>
        <v>76126</v>
      </c>
      <c r="V281" s="1457">
        <f t="shared" si="46"/>
        <v>0</v>
      </c>
      <c r="W281" s="1457">
        <f t="shared" si="46"/>
        <v>8159426</v>
      </c>
      <c r="X281" s="1457">
        <f t="shared" si="46"/>
        <v>0</v>
      </c>
      <c r="Y281" s="1457">
        <f t="shared" si="46"/>
        <v>0</v>
      </c>
      <c r="AB281" s="1535"/>
      <c r="AC281" s="1413"/>
      <c r="AD281" s="1405"/>
      <c r="AK281" s="1439"/>
      <c r="AL281" s="1440"/>
      <c r="AM281" s="1440"/>
      <c r="AN281" s="1444"/>
      <c r="AO281" s="1444"/>
      <c r="AP281" s="1442"/>
      <c r="AQ281" s="1500"/>
      <c r="AR281" s="1444"/>
      <c r="AS281" s="1444"/>
      <c r="AT281" s="1444"/>
    </row>
    <row r="282" spans="1:46" ht="11.25">
      <c r="A282" s="1960" t="s">
        <v>554</v>
      </c>
      <c r="B282" s="1961"/>
      <c r="C282" s="1961"/>
      <c r="D282" s="1961"/>
      <c r="E282" s="1961"/>
      <c r="F282" s="1961"/>
      <c r="G282" s="1961"/>
      <c r="H282" s="1961"/>
      <c r="I282" s="1961"/>
      <c r="J282" s="1961"/>
      <c r="K282" s="1961"/>
      <c r="L282" s="1961"/>
      <c r="M282" s="1961"/>
      <c r="N282" s="1961"/>
      <c r="O282" s="1962"/>
      <c r="P282" s="1408"/>
      <c r="Q282" s="1409"/>
      <c r="R282" s="1410"/>
      <c r="S282" s="1411"/>
      <c r="T282" s="1412"/>
      <c r="U282" s="1410"/>
      <c r="V282" s="789"/>
      <c r="W282" s="790"/>
      <c r="X282" s="790"/>
      <c r="Y282" s="791"/>
      <c r="AB282" s="1413"/>
      <c r="AC282" s="1413"/>
      <c r="AK282" s="1439"/>
      <c r="AL282" s="1440"/>
      <c r="AM282" s="1440"/>
      <c r="AN282" s="1444"/>
      <c r="AO282" s="1444"/>
      <c r="AP282" s="1442"/>
      <c r="AQ282" s="1500"/>
      <c r="AR282" s="1444"/>
      <c r="AS282" s="1444"/>
      <c r="AT282" s="1444"/>
    </row>
    <row r="283" spans="1:46" ht="11.25">
      <c r="A283" s="1415"/>
      <c r="B283" s="1416"/>
      <c r="C283" s="1417" t="s">
        <v>256</v>
      </c>
      <c r="D283" s="1417" t="s">
        <v>257</v>
      </c>
      <c r="E283" s="1418" t="s">
        <v>258</v>
      </c>
      <c r="F283" s="1418" t="s">
        <v>259</v>
      </c>
      <c r="G283" s="1418" t="s">
        <v>260</v>
      </c>
      <c r="H283" s="1418" t="s">
        <v>261</v>
      </c>
      <c r="I283" s="1418" t="s">
        <v>262</v>
      </c>
      <c r="J283" s="1418" t="s">
        <v>263</v>
      </c>
      <c r="K283" s="1963" t="s">
        <v>264</v>
      </c>
      <c r="L283" s="1964"/>
      <c r="M283" s="1964"/>
      <c r="N283" s="1964" t="s">
        <v>265</v>
      </c>
      <c r="O283" s="1965"/>
      <c r="P283" s="1466"/>
      <c r="Q283" s="1467"/>
      <c r="R283" s="1421" t="s">
        <v>266</v>
      </c>
      <c r="S283" s="1421" t="s">
        <v>267</v>
      </c>
      <c r="T283" s="1421"/>
      <c r="U283" s="1421"/>
      <c r="V283" s="1966" t="s">
        <v>268</v>
      </c>
      <c r="W283" s="1967"/>
      <c r="X283" s="1967"/>
      <c r="Y283" s="1968"/>
      <c r="AB283" s="1413"/>
      <c r="AC283" s="1413"/>
      <c r="AK283" s="1439"/>
      <c r="AL283" s="1440"/>
      <c r="AM283" s="1440"/>
      <c r="AN283" s="1444"/>
      <c r="AO283" s="1444"/>
      <c r="AP283" s="1442"/>
      <c r="AQ283" s="1500"/>
      <c r="AR283" s="1444"/>
      <c r="AS283" s="1444"/>
      <c r="AT283" s="1444"/>
    </row>
    <row r="284" spans="1:46" ht="13.5" customHeight="1">
      <c r="A284" s="1427" t="s">
        <v>269</v>
      </c>
      <c r="B284" s="1421" t="s">
        <v>270</v>
      </c>
      <c r="C284" s="1427" t="s">
        <v>271</v>
      </c>
      <c r="D284" s="1427"/>
      <c r="E284" s="1427"/>
      <c r="F284" s="1427"/>
      <c r="G284" s="1427"/>
      <c r="H284" s="1427"/>
      <c r="I284" s="1427"/>
      <c r="J284" s="1427"/>
      <c r="K284" s="1427" t="s">
        <v>272</v>
      </c>
      <c r="L284" s="1420" t="s">
        <v>273</v>
      </c>
      <c r="M284" s="1421" t="s">
        <v>274</v>
      </c>
      <c r="N284" s="1421" t="s">
        <v>275</v>
      </c>
      <c r="O284" s="1421" t="s">
        <v>276</v>
      </c>
      <c r="P284" s="1428" t="s">
        <v>277</v>
      </c>
      <c r="Q284" s="1428" t="s">
        <v>278</v>
      </c>
      <c r="R284" s="1429" t="s">
        <v>279</v>
      </c>
      <c r="S284" s="1429" t="s">
        <v>280</v>
      </c>
      <c r="T284" s="1429" t="s">
        <v>281</v>
      </c>
      <c r="U284" s="1429" t="s">
        <v>282</v>
      </c>
      <c r="V284" s="792" t="s">
        <v>283</v>
      </c>
      <c r="W284" s="792" t="s">
        <v>284</v>
      </c>
      <c r="X284" s="792" t="s">
        <v>285</v>
      </c>
      <c r="Y284" s="792" t="s">
        <v>286</v>
      </c>
      <c r="AB284" s="1413"/>
      <c r="AC284" s="1413"/>
      <c r="AK284" s="1439"/>
      <c r="AL284" s="1440"/>
      <c r="AM284" s="1440"/>
      <c r="AN284" s="1444"/>
      <c r="AO284" s="1444"/>
      <c r="AP284" s="1442"/>
      <c r="AQ284" s="1500"/>
      <c r="AR284" s="1444"/>
      <c r="AS284" s="1444"/>
      <c r="AT284" s="1444"/>
    </row>
    <row r="285" spans="1:46" s="1407" customFormat="1" ht="12.75" customHeight="1">
      <c r="A285" s="1449"/>
      <c r="B285" s="1450" t="s">
        <v>555</v>
      </c>
      <c r="C285" s="1514" t="s">
        <v>556</v>
      </c>
      <c r="D285" s="1466">
        <v>3600000</v>
      </c>
      <c r="E285" s="1524">
        <v>39653</v>
      </c>
      <c r="F285" s="1524">
        <v>39722</v>
      </c>
      <c r="G285" s="1514"/>
      <c r="H285" s="1514"/>
      <c r="I285" s="1514"/>
      <c r="J285" s="1514" t="s">
        <v>557</v>
      </c>
      <c r="K285" s="1514" t="s">
        <v>493</v>
      </c>
      <c r="L285" s="1536"/>
      <c r="M285" s="1429"/>
      <c r="N285" s="1536">
        <f>320000-200000</f>
        <v>120000</v>
      </c>
      <c r="O285" s="819"/>
      <c r="P285" s="1453"/>
      <c r="Q285" s="1453"/>
      <c r="R285" s="795"/>
      <c r="S285" s="793"/>
      <c r="T285" s="1430"/>
      <c r="U285" s="1447"/>
      <c r="V285" s="796"/>
      <c r="W285" s="793">
        <f>3600000+74880-2296800</f>
        <v>1378080</v>
      </c>
      <c r="X285" s="796"/>
      <c r="Y285" s="1461"/>
      <c r="AB285" s="1535"/>
      <c r="AC285" s="1413"/>
      <c r="AD285" s="1405"/>
      <c r="AF285" s="1490"/>
      <c r="AK285" s="1439" t="s">
        <v>6936</v>
      </c>
      <c r="AL285" s="1440" t="s">
        <v>376</v>
      </c>
      <c r="AM285" s="1440" t="s">
        <v>376</v>
      </c>
      <c r="AN285" s="1444" t="s">
        <v>5783</v>
      </c>
      <c r="AO285" s="1444" t="s">
        <v>5783</v>
      </c>
      <c r="AP285" s="1442" t="s">
        <v>5621</v>
      </c>
      <c r="AQ285" s="1443">
        <v>120000</v>
      </c>
      <c r="AR285" s="1444" t="s">
        <v>5784</v>
      </c>
      <c r="AS285" s="1444" t="s">
        <v>5609</v>
      </c>
      <c r="AT285" s="1444" t="s">
        <v>5785</v>
      </c>
    </row>
    <row r="286" spans="1:46" s="1407" customFormat="1" ht="12.75" hidden="1" customHeight="1">
      <c r="A286" s="1449"/>
      <c r="B286" s="1450"/>
      <c r="C286" s="1514"/>
      <c r="D286" s="1466"/>
      <c r="E286" s="1524"/>
      <c r="F286" s="1524"/>
      <c r="G286" s="1514"/>
      <c r="H286" s="1514"/>
      <c r="I286" s="1514"/>
      <c r="J286" s="1514"/>
      <c r="K286" s="1514"/>
      <c r="L286" s="1536"/>
      <c r="M286" s="1429"/>
      <c r="N286" s="1536"/>
      <c r="O286" s="819"/>
      <c r="P286" s="1453"/>
      <c r="Q286" s="1453"/>
      <c r="R286" s="795"/>
      <c r="S286" s="793"/>
      <c r="T286" s="1430"/>
      <c r="U286" s="1447"/>
      <c r="V286" s="796"/>
      <c r="W286" s="793"/>
      <c r="X286" s="796"/>
      <c r="Y286" s="793"/>
      <c r="AB286" s="1535"/>
      <c r="AC286" s="1413"/>
      <c r="AD286" s="1405"/>
      <c r="AK286" s="1439"/>
      <c r="AL286" s="1440"/>
      <c r="AM286" s="1440"/>
      <c r="AN286" s="1444"/>
      <c r="AO286" s="1444"/>
      <c r="AP286" s="1442"/>
      <c r="AQ286" s="1443"/>
      <c r="AR286" s="1444"/>
      <c r="AS286" s="1444"/>
      <c r="AT286" s="1444"/>
    </row>
    <row r="287" spans="1:46" s="1407" customFormat="1" ht="12.75" hidden="1" customHeight="1">
      <c r="A287" s="1449"/>
      <c r="B287" s="1450"/>
      <c r="C287" s="1514"/>
      <c r="D287" s="1466"/>
      <c r="E287" s="1524"/>
      <c r="F287" s="1524"/>
      <c r="G287" s="1514"/>
      <c r="H287" s="1514"/>
      <c r="I287" s="1514"/>
      <c r="J287" s="1514"/>
      <c r="K287" s="1514"/>
      <c r="L287" s="1536"/>
      <c r="M287" s="1429"/>
      <c r="N287" s="1536"/>
      <c r="O287" s="819"/>
      <c r="P287" s="1453"/>
      <c r="Q287" s="1453"/>
      <c r="R287" s="795"/>
      <c r="S287" s="793"/>
      <c r="T287" s="1430"/>
      <c r="U287" s="1447"/>
      <c r="V287" s="796"/>
      <c r="W287" s="793"/>
      <c r="X287" s="796"/>
      <c r="Y287" s="793"/>
      <c r="AB287" s="1535"/>
      <c r="AC287" s="1413"/>
      <c r="AD287" s="1405"/>
      <c r="AK287" s="1439"/>
      <c r="AL287" s="1440"/>
      <c r="AM287" s="1440"/>
      <c r="AN287" s="1444"/>
      <c r="AO287" s="1444"/>
      <c r="AP287" s="1442"/>
      <c r="AQ287" s="1443"/>
      <c r="AR287" s="1444"/>
      <c r="AS287" s="1444"/>
      <c r="AT287" s="1444"/>
    </row>
    <row r="288" spans="1:46" s="1407" customFormat="1" ht="12.75" hidden="1" customHeight="1">
      <c r="A288" s="1449"/>
      <c r="B288" s="1450"/>
      <c r="C288" s="1514"/>
      <c r="D288" s="1466"/>
      <c r="E288" s="1524"/>
      <c r="F288" s="1524"/>
      <c r="G288" s="1514"/>
      <c r="H288" s="1514"/>
      <c r="I288" s="1514"/>
      <c r="J288" s="1514"/>
      <c r="K288" s="1514"/>
      <c r="L288" s="1536"/>
      <c r="M288" s="1429"/>
      <c r="N288" s="1536"/>
      <c r="O288" s="819"/>
      <c r="P288" s="1453"/>
      <c r="Q288" s="1453"/>
      <c r="R288" s="795"/>
      <c r="S288" s="793"/>
      <c r="T288" s="1430"/>
      <c r="U288" s="1447"/>
      <c r="V288" s="796"/>
      <c r="W288" s="793"/>
      <c r="X288" s="796"/>
      <c r="Y288" s="793"/>
      <c r="AB288" s="1535"/>
      <c r="AC288" s="1413"/>
      <c r="AD288" s="1405"/>
      <c r="AK288" s="1439"/>
      <c r="AL288" s="1440"/>
      <c r="AM288" s="1440"/>
      <c r="AN288" s="1444"/>
      <c r="AO288" s="1444"/>
      <c r="AP288" s="1442"/>
      <c r="AQ288" s="1443"/>
      <c r="AR288" s="1444"/>
      <c r="AS288" s="1444"/>
      <c r="AT288" s="1444"/>
    </row>
    <row r="289" spans="1:46" s="1407" customFormat="1" ht="12.75" hidden="1" customHeight="1">
      <c r="A289" s="1449"/>
      <c r="B289" s="1450"/>
      <c r="C289" s="1514"/>
      <c r="D289" s="1466"/>
      <c r="E289" s="1524"/>
      <c r="F289" s="1524"/>
      <c r="G289" s="1514"/>
      <c r="H289" s="1514"/>
      <c r="I289" s="1514"/>
      <c r="J289" s="1514"/>
      <c r="K289" s="1514"/>
      <c r="L289" s="1536"/>
      <c r="M289" s="1429"/>
      <c r="N289" s="1536"/>
      <c r="O289" s="819"/>
      <c r="P289" s="1453"/>
      <c r="Q289" s="1453"/>
      <c r="R289" s="795"/>
      <c r="S289" s="793"/>
      <c r="T289" s="1430"/>
      <c r="U289" s="1447"/>
      <c r="V289" s="796"/>
      <c r="W289" s="793"/>
      <c r="X289" s="796"/>
      <c r="Y289" s="793"/>
      <c r="AB289" s="1535"/>
      <c r="AC289" s="1413"/>
      <c r="AD289" s="1405"/>
      <c r="AK289" s="1439"/>
      <c r="AL289" s="1440"/>
      <c r="AM289" s="1440"/>
      <c r="AN289" s="1444"/>
      <c r="AO289" s="1444"/>
      <c r="AP289" s="1442"/>
      <c r="AQ289" s="1443"/>
      <c r="AR289" s="1444"/>
      <c r="AS289" s="1444"/>
      <c r="AT289" s="1444"/>
    </row>
    <row r="290" spans="1:46" s="1407" customFormat="1" ht="12.75" hidden="1" customHeight="1">
      <c r="A290" s="1449"/>
      <c r="B290" s="1450"/>
      <c r="C290" s="1514"/>
      <c r="D290" s="1466"/>
      <c r="E290" s="1524"/>
      <c r="F290" s="1524"/>
      <c r="G290" s="1514"/>
      <c r="H290" s="1514"/>
      <c r="I290" s="1514"/>
      <c r="J290" s="1514"/>
      <c r="K290" s="1514"/>
      <c r="L290" s="1536"/>
      <c r="M290" s="1429"/>
      <c r="N290" s="1536"/>
      <c r="O290" s="819"/>
      <c r="P290" s="1453"/>
      <c r="Q290" s="1453"/>
      <c r="R290" s="795"/>
      <c r="S290" s="793"/>
      <c r="T290" s="1430"/>
      <c r="U290" s="1447"/>
      <c r="V290" s="796"/>
      <c r="W290" s="793"/>
      <c r="X290" s="796"/>
      <c r="Y290" s="793"/>
      <c r="AB290" s="1535"/>
      <c r="AC290" s="1413"/>
      <c r="AD290" s="1405"/>
      <c r="AK290" s="1439"/>
      <c r="AL290" s="1440"/>
      <c r="AM290" s="1440"/>
      <c r="AN290" s="1444"/>
      <c r="AO290" s="1444"/>
      <c r="AP290" s="1442"/>
      <c r="AQ290" s="1443"/>
      <c r="AR290" s="1444"/>
      <c r="AS290" s="1444"/>
      <c r="AT290" s="1444"/>
    </row>
    <row r="291" spans="1:46" s="1407" customFormat="1" ht="12.75" hidden="1" customHeight="1">
      <c r="A291" s="1449"/>
      <c r="B291" s="1450"/>
      <c r="C291" s="1514"/>
      <c r="D291" s="1466"/>
      <c r="E291" s="1524"/>
      <c r="F291" s="1524"/>
      <c r="G291" s="1514"/>
      <c r="H291" s="1514"/>
      <c r="I291" s="1514"/>
      <c r="J291" s="1514"/>
      <c r="K291" s="1514"/>
      <c r="L291" s="1536"/>
      <c r="M291" s="1429"/>
      <c r="N291" s="1536"/>
      <c r="O291" s="819"/>
      <c r="P291" s="1453"/>
      <c r="Q291" s="1453"/>
      <c r="R291" s="795"/>
      <c r="S291" s="793"/>
      <c r="T291" s="1430"/>
      <c r="U291" s="1447"/>
      <c r="V291" s="796"/>
      <c r="W291" s="793"/>
      <c r="X291" s="796"/>
      <c r="Y291" s="793"/>
      <c r="AB291" s="1535"/>
      <c r="AC291" s="1413"/>
      <c r="AD291" s="1405"/>
      <c r="AK291" s="1439"/>
      <c r="AL291" s="1440"/>
      <c r="AM291" s="1440"/>
      <c r="AN291" s="1444"/>
      <c r="AO291" s="1444"/>
      <c r="AP291" s="1442"/>
      <c r="AQ291" s="1443"/>
      <c r="AR291" s="1444"/>
      <c r="AS291" s="1444"/>
      <c r="AT291" s="1444"/>
    </row>
    <row r="292" spans="1:46" s="1407" customFormat="1" ht="12.75" hidden="1" customHeight="1">
      <c r="A292" s="1449"/>
      <c r="B292" s="1450"/>
      <c r="C292" s="1514"/>
      <c r="D292" s="1466"/>
      <c r="E292" s="1524"/>
      <c r="F292" s="1524"/>
      <c r="G292" s="1514"/>
      <c r="H292" s="1514"/>
      <c r="I292" s="1514"/>
      <c r="J292" s="1514"/>
      <c r="K292" s="1514"/>
      <c r="L292" s="1536"/>
      <c r="M292" s="1429"/>
      <c r="N292" s="1536"/>
      <c r="O292" s="819"/>
      <c r="P292" s="1453"/>
      <c r="Q292" s="1453"/>
      <c r="R292" s="795"/>
      <c r="S292" s="793"/>
      <c r="T292" s="1430"/>
      <c r="U292" s="1447"/>
      <c r="V292" s="796"/>
      <c r="W292" s="793"/>
      <c r="X292" s="796"/>
      <c r="Y292" s="793"/>
      <c r="AB292" s="1535"/>
      <c r="AC292" s="1413"/>
      <c r="AD292" s="1405"/>
      <c r="AK292" s="1439"/>
      <c r="AL292" s="1440"/>
      <c r="AM292" s="1440"/>
      <c r="AN292" s="1444"/>
      <c r="AO292" s="1444"/>
      <c r="AP292" s="1442"/>
      <c r="AQ292" s="1443"/>
      <c r="AR292" s="1444"/>
      <c r="AS292" s="1444"/>
      <c r="AT292" s="1444"/>
    </row>
    <row r="293" spans="1:46" s="1407" customFormat="1" ht="12.75" customHeight="1">
      <c r="A293" s="1449"/>
      <c r="B293" s="1450"/>
      <c r="C293" s="1514"/>
      <c r="D293" s="1466"/>
      <c r="E293" s="1524"/>
      <c r="F293" s="1524"/>
      <c r="G293" s="1514"/>
      <c r="H293" s="1514"/>
      <c r="I293" s="1514"/>
      <c r="J293" s="1514"/>
      <c r="K293" s="1514"/>
      <c r="L293" s="1536"/>
      <c r="M293" s="1429"/>
      <c r="N293" s="1536"/>
      <c r="O293" s="819"/>
      <c r="P293" s="1453"/>
      <c r="Q293" s="1453"/>
      <c r="R293" s="795"/>
      <c r="S293" s="793"/>
      <c r="T293" s="1430"/>
      <c r="U293" s="1447"/>
      <c r="V293" s="796"/>
      <c r="W293" s="796"/>
      <c r="X293" s="796"/>
      <c r="Y293" s="793"/>
      <c r="AB293" s="1535"/>
      <c r="AC293" s="1413"/>
      <c r="AD293" s="1405"/>
      <c r="AK293" s="1439"/>
      <c r="AL293" s="1440"/>
      <c r="AM293" s="1440"/>
      <c r="AN293" s="1444"/>
      <c r="AO293" s="1444"/>
      <c r="AP293" s="1442"/>
      <c r="AQ293" s="1443"/>
      <c r="AR293" s="1444"/>
      <c r="AS293" s="1444"/>
      <c r="AT293" s="1444"/>
    </row>
    <row r="294" spans="1:46" ht="13.5" customHeight="1">
      <c r="A294" s="1449"/>
      <c r="B294" s="1450"/>
      <c r="C294" s="1538" t="s">
        <v>493</v>
      </c>
      <c r="D294" s="1538"/>
      <c r="E294" s="1538"/>
      <c r="F294" s="1538"/>
      <c r="G294" s="1538"/>
      <c r="H294" s="1538"/>
      <c r="I294" s="1538"/>
      <c r="J294" s="1538"/>
      <c r="K294" s="1463" t="s">
        <v>98</v>
      </c>
      <c r="L294" s="1460">
        <f>SUM(L239:L249)</f>
        <v>3875.6</v>
      </c>
      <c r="M294" s="1460">
        <f>SUM(M239:M249)</f>
        <v>0</v>
      </c>
      <c r="N294" s="1460">
        <f t="shared" ref="N294:Y294" si="47">SUM(N285:N293)</f>
        <v>120000</v>
      </c>
      <c r="O294" s="1460">
        <f t="shared" si="47"/>
        <v>0</v>
      </c>
      <c r="P294" s="1460">
        <f t="shared" si="47"/>
        <v>0</v>
      </c>
      <c r="Q294" s="1460">
        <f t="shared" si="47"/>
        <v>0</v>
      </c>
      <c r="R294" s="1460">
        <f t="shared" si="47"/>
        <v>0</v>
      </c>
      <c r="S294" s="1460">
        <f t="shared" si="47"/>
        <v>0</v>
      </c>
      <c r="T294" s="1460">
        <f t="shared" si="47"/>
        <v>0</v>
      </c>
      <c r="U294" s="1460">
        <f t="shared" si="47"/>
        <v>0</v>
      </c>
      <c r="V294" s="1460">
        <f t="shared" si="47"/>
        <v>0</v>
      </c>
      <c r="W294" s="1460">
        <f t="shared" si="47"/>
        <v>1378080</v>
      </c>
      <c r="X294" s="1460">
        <f t="shared" si="47"/>
        <v>0</v>
      </c>
      <c r="Y294" s="1460">
        <f t="shared" si="47"/>
        <v>0</v>
      </c>
      <c r="AB294" s="1413"/>
      <c r="AC294" s="1413"/>
      <c r="AK294" s="1439"/>
      <c r="AL294" s="1440"/>
      <c r="AM294" s="1440"/>
      <c r="AN294" s="1444"/>
      <c r="AO294" s="1444"/>
      <c r="AP294" s="1442"/>
      <c r="AQ294" s="1443"/>
      <c r="AR294" s="1444"/>
      <c r="AS294" s="1444"/>
      <c r="AT294" s="1444"/>
    </row>
    <row r="295" spans="1:46" ht="11.25" customHeight="1">
      <c r="B295" s="1488"/>
      <c r="C295" s="1459"/>
      <c r="D295" s="1459"/>
      <c r="E295" s="1459"/>
      <c r="F295" s="1459"/>
      <c r="G295" s="1459"/>
      <c r="H295" s="1459"/>
      <c r="I295" s="1459"/>
      <c r="J295" s="1459"/>
      <c r="K295" s="1459" t="s">
        <v>365</v>
      </c>
      <c r="L295" s="1490">
        <f>L294</f>
        <v>3875.6</v>
      </c>
      <c r="M295" s="1490">
        <f>M294</f>
        <v>0</v>
      </c>
      <c r="N295" s="1490">
        <f>N281+N294</f>
        <v>408375.79</v>
      </c>
      <c r="O295" s="1490">
        <f t="shared" ref="O295:Y295" si="48">O281+O294</f>
        <v>0</v>
      </c>
      <c r="P295" s="1490">
        <f t="shared" si="48"/>
        <v>0</v>
      </c>
      <c r="Q295" s="1490">
        <f t="shared" si="48"/>
        <v>0</v>
      </c>
      <c r="R295" s="1490">
        <f t="shared" si="48"/>
        <v>1850000</v>
      </c>
      <c r="S295" s="1490">
        <f t="shared" si="48"/>
        <v>1156.0147898839273</v>
      </c>
      <c r="T295" s="1490">
        <f t="shared" si="48"/>
        <v>0</v>
      </c>
      <c r="U295" s="1490">
        <f t="shared" si="48"/>
        <v>76126</v>
      </c>
      <c r="V295" s="1490">
        <f t="shared" si="48"/>
        <v>0</v>
      </c>
      <c r="W295" s="1490">
        <f t="shared" si="48"/>
        <v>9537506</v>
      </c>
      <c r="X295" s="1490">
        <f t="shared" si="48"/>
        <v>0</v>
      </c>
      <c r="Y295" s="1490">
        <f t="shared" si="48"/>
        <v>0</v>
      </c>
      <c r="AB295" s="1413"/>
      <c r="AC295" s="1413"/>
      <c r="AK295" s="1439"/>
      <c r="AL295" s="1440"/>
      <c r="AM295" s="1440"/>
      <c r="AN295" s="1444"/>
      <c r="AO295" s="1444"/>
      <c r="AP295" s="1442"/>
      <c r="AQ295" s="1443"/>
      <c r="AR295" s="1444"/>
      <c r="AS295" s="1444"/>
      <c r="AT295" s="1444"/>
    </row>
    <row r="296" spans="1:46" ht="11.25">
      <c r="C296" s="1405" t="s">
        <v>558</v>
      </c>
      <c r="AB296" s="1413"/>
      <c r="AC296" s="1413"/>
      <c r="AK296" s="1439"/>
      <c r="AL296" s="1440"/>
      <c r="AM296" s="1440"/>
      <c r="AN296" s="1444"/>
      <c r="AO296" s="1444"/>
      <c r="AP296" s="1442"/>
      <c r="AQ296" s="1443"/>
      <c r="AR296" s="1444"/>
      <c r="AS296" s="1444"/>
      <c r="AT296" s="1444"/>
    </row>
    <row r="297" spans="1:46" ht="11.25">
      <c r="C297" s="1405" t="s">
        <v>559</v>
      </c>
      <c r="K297" s="820">
        <f>7500000*0.8</f>
        <v>6000000</v>
      </c>
      <c r="AB297" s="1413"/>
      <c r="AC297" s="1413"/>
      <c r="AK297" s="1439"/>
      <c r="AL297" s="1440"/>
      <c r="AM297" s="1440"/>
      <c r="AN297" s="1444"/>
      <c r="AO297" s="1444"/>
      <c r="AP297" s="1442"/>
      <c r="AQ297" s="1443"/>
      <c r="AR297" s="1444"/>
      <c r="AS297" s="1444"/>
      <c r="AT297" s="1444"/>
    </row>
    <row r="298" spans="1:46" ht="11.25">
      <c r="C298" s="1405" t="s">
        <v>560</v>
      </c>
      <c r="K298" s="821">
        <f>1750000*0.8</f>
        <v>1400000</v>
      </c>
      <c r="AB298" s="1413"/>
      <c r="AC298" s="1413"/>
      <c r="AK298" s="1439"/>
      <c r="AL298" s="1440"/>
      <c r="AM298" s="1440"/>
      <c r="AN298" s="1444"/>
      <c r="AO298" s="1444"/>
      <c r="AP298" s="1442"/>
      <c r="AQ298" s="1443"/>
      <c r="AR298" s="1444"/>
      <c r="AS298" s="1444"/>
      <c r="AT298" s="1444"/>
    </row>
    <row r="299" spans="1:46" ht="11.25" hidden="1">
      <c r="K299" s="822">
        <f>SUM(K297:K298)</f>
        <v>7400000</v>
      </c>
      <c r="L299" s="1407" t="s">
        <v>561</v>
      </c>
      <c r="AB299" s="1413"/>
      <c r="AC299" s="1413"/>
      <c r="AK299" s="1439"/>
      <c r="AL299" s="1440"/>
      <c r="AM299" s="1440"/>
      <c r="AN299" s="1444"/>
      <c r="AO299" s="1444"/>
      <c r="AP299" s="1442"/>
      <c r="AQ299" s="1443"/>
      <c r="AR299" s="1444"/>
      <c r="AS299" s="1444"/>
      <c r="AT299" s="1444"/>
    </row>
    <row r="300" spans="1:46" ht="11.25">
      <c r="A300" s="1414"/>
      <c r="B300" s="1414"/>
      <c r="C300" s="1414"/>
      <c r="D300" s="1414"/>
      <c r="E300" s="1414"/>
      <c r="F300" s="1414"/>
      <c r="G300" s="1414"/>
      <c r="H300" s="1414"/>
      <c r="I300" s="1414"/>
      <c r="J300" s="1414"/>
      <c r="K300" s="1414"/>
      <c r="L300" s="1414"/>
      <c r="M300" s="1414"/>
      <c r="N300" s="1414"/>
      <c r="O300" s="1414"/>
      <c r="AB300" s="1413"/>
      <c r="AC300" s="1413"/>
      <c r="AK300" s="1439"/>
      <c r="AL300" s="1440"/>
      <c r="AM300" s="1440"/>
      <c r="AN300" s="1444"/>
      <c r="AO300" s="1444"/>
      <c r="AP300" s="1442"/>
      <c r="AQ300" s="1443"/>
      <c r="AR300" s="1444"/>
      <c r="AS300" s="1444"/>
      <c r="AT300" s="1444"/>
    </row>
    <row r="301" spans="1:46" ht="11.25">
      <c r="A301" s="1414"/>
      <c r="B301" s="1414"/>
      <c r="C301" s="1414"/>
      <c r="D301" s="1414"/>
      <c r="E301" s="1414"/>
      <c r="F301" s="1414"/>
      <c r="G301" s="1414"/>
      <c r="H301" s="1414"/>
      <c r="I301" s="1414"/>
      <c r="J301" s="1414"/>
      <c r="K301" s="1414"/>
      <c r="L301" s="1414"/>
      <c r="M301" s="1414"/>
      <c r="N301" s="1414"/>
      <c r="O301" s="1414"/>
      <c r="AB301" s="1413"/>
      <c r="AC301" s="1413"/>
      <c r="AK301" s="1439"/>
      <c r="AL301" s="1440"/>
      <c r="AM301" s="1440"/>
      <c r="AN301" s="1444"/>
      <c r="AO301" s="1444"/>
      <c r="AP301" s="1442"/>
      <c r="AQ301" s="1443"/>
      <c r="AR301" s="1444"/>
      <c r="AS301" s="1444"/>
      <c r="AT301" s="1444"/>
    </row>
    <row r="302" spans="1:46" ht="11.25">
      <c r="A302" s="1960" t="s">
        <v>562</v>
      </c>
      <c r="B302" s="1961"/>
      <c r="C302" s="1961"/>
      <c r="D302" s="1961"/>
      <c r="E302" s="1961"/>
      <c r="F302" s="1961"/>
      <c r="G302" s="1961"/>
      <c r="H302" s="1961"/>
      <c r="I302" s="1961"/>
      <c r="J302" s="1961"/>
      <c r="K302" s="1961"/>
      <c r="L302" s="1961"/>
      <c r="M302" s="1961"/>
      <c r="N302" s="1961"/>
      <c r="O302" s="1962"/>
      <c r="P302" s="1408"/>
      <c r="Q302" s="1409"/>
      <c r="R302" s="1410"/>
      <c r="S302" s="1411"/>
      <c r="T302" s="1412"/>
      <c r="U302" s="1410"/>
      <c r="V302" s="789"/>
      <c r="W302" s="790"/>
      <c r="X302" s="790"/>
      <c r="Y302" s="791"/>
      <c r="AB302" s="1413"/>
      <c r="AC302" s="1413"/>
      <c r="AK302" s="1439"/>
      <c r="AL302" s="1440"/>
      <c r="AM302" s="1440"/>
      <c r="AN302" s="1444"/>
      <c r="AO302" s="1444"/>
      <c r="AP302" s="1442"/>
      <c r="AQ302" s="1443"/>
      <c r="AR302" s="1444"/>
      <c r="AS302" s="1444"/>
      <c r="AT302" s="1444"/>
    </row>
    <row r="303" spans="1:46" ht="11.25">
      <c r="A303" s="1415"/>
      <c r="B303" s="1416"/>
      <c r="C303" s="1417" t="s">
        <v>256</v>
      </c>
      <c r="D303" s="1417" t="s">
        <v>257</v>
      </c>
      <c r="E303" s="1418" t="s">
        <v>258</v>
      </c>
      <c r="F303" s="1418" t="s">
        <v>259</v>
      </c>
      <c r="G303" s="1418" t="s">
        <v>260</v>
      </c>
      <c r="H303" s="1418" t="s">
        <v>261</v>
      </c>
      <c r="I303" s="1418" t="s">
        <v>262</v>
      </c>
      <c r="J303" s="1418" t="s">
        <v>263</v>
      </c>
      <c r="K303" s="1963" t="s">
        <v>264</v>
      </c>
      <c r="L303" s="1964"/>
      <c r="M303" s="1964"/>
      <c r="N303" s="1964" t="s">
        <v>265</v>
      </c>
      <c r="O303" s="1965"/>
      <c r="P303" s="1466"/>
      <c r="Q303" s="1467"/>
      <c r="R303" s="1421" t="s">
        <v>266</v>
      </c>
      <c r="S303" s="1421" t="s">
        <v>267</v>
      </c>
      <c r="T303" s="1421"/>
      <c r="U303" s="1421"/>
      <c r="V303" s="1966" t="s">
        <v>268</v>
      </c>
      <c r="W303" s="1967"/>
      <c r="X303" s="1967"/>
      <c r="Y303" s="1968"/>
      <c r="AB303" s="1413"/>
      <c r="AC303" s="1413"/>
      <c r="AK303" s="1439"/>
      <c r="AL303" s="1440"/>
      <c r="AM303" s="1440"/>
      <c r="AN303" s="1444"/>
      <c r="AO303" s="1444"/>
      <c r="AP303" s="1442"/>
      <c r="AQ303" s="1443"/>
      <c r="AR303" s="1444"/>
      <c r="AS303" s="1444"/>
      <c r="AT303" s="1444"/>
    </row>
    <row r="304" spans="1:46" ht="12.75" customHeight="1">
      <c r="A304" s="1427" t="s">
        <v>269</v>
      </c>
      <c r="B304" s="1421" t="s">
        <v>270</v>
      </c>
      <c r="C304" s="1427" t="s">
        <v>271</v>
      </c>
      <c r="D304" s="1427"/>
      <c r="E304" s="1427"/>
      <c r="F304" s="1427"/>
      <c r="G304" s="1427"/>
      <c r="H304" s="1427"/>
      <c r="I304" s="1427"/>
      <c r="J304" s="1427"/>
      <c r="K304" s="1427" t="s">
        <v>272</v>
      </c>
      <c r="L304" s="1420" t="s">
        <v>273</v>
      </c>
      <c r="M304" s="1421" t="s">
        <v>274</v>
      </c>
      <c r="N304" s="1421" t="s">
        <v>275</v>
      </c>
      <c r="O304" s="1421" t="s">
        <v>276</v>
      </c>
      <c r="P304" s="1428" t="s">
        <v>277</v>
      </c>
      <c r="Q304" s="1460" t="s">
        <v>278</v>
      </c>
      <c r="R304" s="1429" t="s">
        <v>279</v>
      </c>
      <c r="S304" s="1429" t="s">
        <v>280</v>
      </c>
      <c r="T304" s="1429" t="s">
        <v>281</v>
      </c>
      <c r="U304" s="1429" t="s">
        <v>282</v>
      </c>
      <c r="V304" s="792" t="s">
        <v>283</v>
      </c>
      <c r="W304" s="792" t="s">
        <v>284</v>
      </c>
      <c r="X304" s="792" t="s">
        <v>285</v>
      </c>
      <c r="Y304" s="792" t="s">
        <v>286</v>
      </c>
      <c r="AB304" s="1413"/>
      <c r="AC304" s="1413"/>
      <c r="AK304" s="1439"/>
      <c r="AL304" s="1440"/>
      <c r="AM304" s="1440"/>
      <c r="AN304" s="1444"/>
      <c r="AO304" s="1444"/>
      <c r="AP304" s="1442"/>
      <c r="AQ304" s="1443"/>
      <c r="AR304" s="1444"/>
      <c r="AS304" s="1444"/>
      <c r="AT304" s="1444"/>
    </row>
    <row r="305" spans="1:46" ht="12.75" customHeight="1">
      <c r="A305" s="1430"/>
      <c r="B305" s="1431"/>
      <c r="C305" s="1430" t="s">
        <v>2955</v>
      </c>
      <c r="D305" s="1430"/>
      <c r="E305" s="1430"/>
      <c r="F305" s="1430"/>
      <c r="G305" s="1430"/>
      <c r="H305" s="1430"/>
      <c r="I305" s="1430"/>
      <c r="J305" s="1430"/>
      <c r="K305" s="1433" t="s">
        <v>562</v>
      </c>
      <c r="L305" s="1433">
        <v>76089.899999999994</v>
      </c>
      <c r="M305" s="1433"/>
      <c r="N305" s="1433"/>
      <c r="O305" s="1434">
        <f>+L305-10000-10000-10000-2700-2300-6169.97-1700+6169.97+1700</f>
        <v>41089.899999999994</v>
      </c>
      <c r="P305" s="1433">
        <v>7000270.7999999998</v>
      </c>
      <c r="Q305" s="1433">
        <f>+L305</f>
        <v>76089.899999999994</v>
      </c>
      <c r="R305" s="1433">
        <f>+P305</f>
        <v>7000270.7999999998</v>
      </c>
      <c r="S305" s="1435">
        <f>+P305/Q305</f>
        <v>92</v>
      </c>
      <c r="T305" s="1436" t="s">
        <v>335</v>
      </c>
      <c r="U305" s="1437">
        <v>38405</v>
      </c>
      <c r="V305" s="793"/>
      <c r="W305" s="793">
        <f>+R305-920000-920000-920000-248400+594569.46+222145.68+203463.88+337220.36+655384.06-4510.73-318053.97-853210.2-235083.37+853210.2+131108.73+235083.37</f>
        <v>5813198.2700000005</v>
      </c>
      <c r="X305" s="793"/>
      <c r="Y305" s="793"/>
      <c r="Z305" s="1405" t="s">
        <v>292</v>
      </c>
      <c r="AA305" s="1405" t="s">
        <v>563</v>
      </c>
      <c r="AB305" s="1413"/>
      <c r="AC305" s="1413"/>
      <c r="AK305" s="1430" t="s">
        <v>6937</v>
      </c>
      <c r="AL305" s="1440"/>
      <c r="AM305" s="1440"/>
      <c r="AN305" s="1444"/>
      <c r="AO305" s="1444"/>
      <c r="AP305" s="1442"/>
      <c r="AQ305" s="1443"/>
      <c r="AR305" s="1444"/>
      <c r="AS305" s="1444"/>
      <c r="AT305" s="1444"/>
    </row>
    <row r="306" spans="1:46" ht="12.75" customHeight="1">
      <c r="A306" s="1430"/>
      <c r="B306" s="1431"/>
      <c r="C306" s="1430" t="s">
        <v>564</v>
      </c>
      <c r="D306" s="1430">
        <v>45176715.219999999</v>
      </c>
      <c r="E306" s="1524">
        <v>40026</v>
      </c>
      <c r="F306" s="1524">
        <v>39940</v>
      </c>
      <c r="G306" s="1430"/>
      <c r="H306" s="1430"/>
      <c r="I306" s="1430"/>
      <c r="J306" s="1430" t="s">
        <v>565</v>
      </c>
      <c r="K306" s="1433" t="s">
        <v>562</v>
      </c>
      <c r="L306" s="1433"/>
      <c r="M306" s="1433"/>
      <c r="N306" s="1433"/>
      <c r="O306" s="1434">
        <f>2007854.01</f>
        <v>2007854.01</v>
      </c>
      <c r="P306" s="1433"/>
      <c r="Q306" s="1433"/>
      <c r="R306" s="1433"/>
      <c r="S306" s="1435"/>
      <c r="T306" s="1436"/>
      <c r="U306" s="1437"/>
      <c r="V306" s="793"/>
      <c r="W306" s="793">
        <f>45176715.22+36141.37+151082+1142970.95+253362.87</f>
        <v>46760272.409999996</v>
      </c>
      <c r="X306" s="793"/>
      <c r="Y306" s="793"/>
      <c r="AB306" s="1413"/>
      <c r="AC306" s="1413"/>
      <c r="AK306" s="1439" t="s">
        <v>6938</v>
      </c>
      <c r="AL306" s="1440" t="s">
        <v>376</v>
      </c>
      <c r="AM306" s="1440" t="s">
        <v>376</v>
      </c>
      <c r="AN306" s="1444" t="s">
        <v>5786</v>
      </c>
      <c r="AO306" s="1444" t="s">
        <v>5786</v>
      </c>
      <c r="AP306" s="1442" t="s">
        <v>5621</v>
      </c>
      <c r="AQ306" s="1443">
        <v>2007854.01</v>
      </c>
      <c r="AR306" s="1444" t="s">
        <v>5787</v>
      </c>
      <c r="AS306" s="1444" t="s">
        <v>5788</v>
      </c>
      <c r="AT306" s="1442" t="s">
        <v>5609</v>
      </c>
    </row>
    <row r="307" spans="1:46" ht="12.75" customHeight="1">
      <c r="A307" s="1430"/>
      <c r="B307" s="1431"/>
      <c r="C307" s="1430"/>
      <c r="D307" s="1430"/>
      <c r="E307" s="1524"/>
      <c r="F307" s="1524"/>
      <c r="G307" s="1430"/>
      <c r="H307" s="1430"/>
      <c r="I307" s="1430"/>
      <c r="J307" s="1430"/>
      <c r="K307" s="1433"/>
      <c r="L307" s="1433"/>
      <c r="M307" s="1433"/>
      <c r="N307" s="1433"/>
      <c r="O307" s="1434"/>
      <c r="P307" s="1433"/>
      <c r="Q307" s="1433"/>
      <c r="R307" s="1433"/>
      <c r="S307" s="1435"/>
      <c r="T307" s="1436"/>
      <c r="U307" s="1437"/>
      <c r="V307" s="793"/>
      <c r="W307" s="793"/>
      <c r="X307" s="793"/>
      <c r="Y307" s="793"/>
      <c r="AB307" s="1413"/>
      <c r="AC307" s="1413"/>
      <c r="AK307" s="1439"/>
      <c r="AL307" s="1440"/>
      <c r="AM307" s="1440"/>
      <c r="AN307" s="1444"/>
      <c r="AO307" s="1444"/>
      <c r="AP307" s="1442"/>
      <c r="AQ307" s="1443"/>
      <c r="AR307" s="1444"/>
      <c r="AS307" s="1444"/>
      <c r="AT307" s="1442"/>
    </row>
    <row r="308" spans="1:46" ht="12.75" customHeight="1">
      <c r="A308" s="1430"/>
      <c r="B308" s="1431"/>
      <c r="C308" s="1499" t="s">
        <v>562</v>
      </c>
      <c r="D308" s="1499"/>
      <c r="E308" s="1499"/>
      <c r="F308" s="1499"/>
      <c r="G308" s="1499"/>
      <c r="H308" s="1499"/>
      <c r="I308" s="1499"/>
      <c r="J308" s="1499"/>
      <c r="K308" s="1463" t="s">
        <v>98</v>
      </c>
      <c r="L308" s="1446">
        <f>SUM(L305:L305)</f>
        <v>76089.899999999994</v>
      </c>
      <c r="M308" s="798">
        <f>SUM(M305:M305)</f>
        <v>0</v>
      </c>
      <c r="N308" s="1446">
        <f t="shared" ref="N308:Y308" si="49">SUM(N305:N307)</f>
        <v>0</v>
      </c>
      <c r="O308" s="1446">
        <f t="shared" si="49"/>
        <v>2048943.91</v>
      </c>
      <c r="P308" s="1446">
        <f t="shared" si="49"/>
        <v>7000270.7999999998</v>
      </c>
      <c r="Q308" s="1446">
        <f t="shared" si="49"/>
        <v>76089.899999999994</v>
      </c>
      <c r="R308" s="1446">
        <f t="shared" si="49"/>
        <v>7000270.7999999998</v>
      </c>
      <c r="S308" s="1446">
        <f t="shared" si="49"/>
        <v>92</v>
      </c>
      <c r="T308" s="1446">
        <f t="shared" si="49"/>
        <v>0</v>
      </c>
      <c r="U308" s="1446">
        <f t="shared" si="49"/>
        <v>38405</v>
      </c>
      <c r="V308" s="1446">
        <f t="shared" si="49"/>
        <v>0</v>
      </c>
      <c r="W308" s="1446">
        <f t="shared" si="49"/>
        <v>52573470.68</v>
      </c>
      <c r="X308" s="1446">
        <f t="shared" si="49"/>
        <v>0</v>
      </c>
      <c r="Y308" s="1446">
        <f t="shared" si="49"/>
        <v>0</v>
      </c>
      <c r="AB308" s="1413"/>
      <c r="AC308" s="1413"/>
      <c r="AK308" s="1439"/>
      <c r="AL308" s="1440"/>
      <c r="AM308" s="1440"/>
      <c r="AN308" s="1444"/>
      <c r="AO308" s="1444"/>
      <c r="AP308" s="1442"/>
      <c r="AQ308" s="1443"/>
      <c r="AR308" s="1444"/>
      <c r="AS308" s="1444"/>
      <c r="AT308" s="1442"/>
    </row>
    <row r="309" spans="1:46" ht="12.75" customHeight="1">
      <c r="B309" s="1488"/>
      <c r="C309" s="1458"/>
      <c r="D309" s="1458"/>
      <c r="E309" s="1458"/>
      <c r="F309" s="1458"/>
      <c r="G309" s="1458"/>
      <c r="H309" s="1458"/>
      <c r="I309" s="1458"/>
      <c r="J309" s="1458"/>
      <c r="K309" s="1459" t="s">
        <v>365</v>
      </c>
      <c r="L309" s="1490">
        <f>L308</f>
        <v>76089.899999999994</v>
      </c>
      <c r="M309" s="1490">
        <f t="shared" ref="M309:Y309" si="50">M308</f>
        <v>0</v>
      </c>
      <c r="N309" s="1490">
        <f t="shared" si="50"/>
        <v>0</v>
      </c>
      <c r="O309" s="1490">
        <f t="shared" si="50"/>
        <v>2048943.91</v>
      </c>
      <c r="P309" s="1490"/>
      <c r="Q309" s="1490"/>
      <c r="R309" s="1490"/>
      <c r="S309" s="1490">
        <f t="shared" si="50"/>
        <v>92</v>
      </c>
      <c r="T309" s="1490">
        <f t="shared" si="50"/>
        <v>0</v>
      </c>
      <c r="U309" s="1490">
        <f t="shared" si="50"/>
        <v>38405</v>
      </c>
      <c r="V309" s="1490">
        <f t="shared" si="50"/>
        <v>0</v>
      </c>
      <c r="W309" s="1490">
        <f t="shared" si="50"/>
        <v>52573470.68</v>
      </c>
      <c r="X309" s="1490">
        <f t="shared" si="50"/>
        <v>0</v>
      </c>
      <c r="Y309" s="1490">
        <f t="shared" si="50"/>
        <v>0</v>
      </c>
      <c r="AB309" s="1413"/>
      <c r="AC309" s="1413"/>
      <c r="AK309" s="1439"/>
      <c r="AL309" s="1440"/>
      <c r="AM309" s="1440"/>
      <c r="AN309" s="1444"/>
      <c r="AO309" s="1444"/>
      <c r="AP309" s="1442"/>
      <c r="AQ309" s="1443"/>
      <c r="AR309" s="1444"/>
      <c r="AS309" s="1444"/>
      <c r="AT309" s="1442"/>
    </row>
    <row r="310" spans="1:46" ht="11.25">
      <c r="A310" s="1414"/>
      <c r="B310" s="1414"/>
      <c r="C310" s="1414"/>
      <c r="D310" s="1414"/>
      <c r="E310" s="1414"/>
      <c r="F310" s="1414"/>
      <c r="G310" s="1414"/>
      <c r="H310" s="1414"/>
      <c r="I310" s="1414"/>
      <c r="J310" s="1414"/>
      <c r="K310" s="1414"/>
      <c r="L310" s="1414"/>
      <c r="M310" s="1414"/>
      <c r="N310" s="1414"/>
      <c r="O310" s="1414"/>
      <c r="AB310" s="1413"/>
      <c r="AC310" s="1413"/>
      <c r="AK310" s="1439"/>
      <c r="AL310" s="1440"/>
      <c r="AM310" s="1440"/>
      <c r="AN310" s="1444"/>
      <c r="AO310" s="1444"/>
      <c r="AP310" s="1442"/>
      <c r="AQ310" s="1443"/>
      <c r="AR310" s="1444"/>
      <c r="AS310" s="1444"/>
      <c r="AT310" s="1442"/>
    </row>
    <row r="311" spans="1:46" ht="11.25">
      <c r="A311" s="1414"/>
      <c r="B311" s="1414"/>
      <c r="C311" s="1414"/>
      <c r="D311" s="1414"/>
      <c r="E311" s="1414"/>
      <c r="F311" s="1414"/>
      <c r="G311" s="1414"/>
      <c r="H311" s="1414"/>
      <c r="I311" s="1414"/>
      <c r="J311" s="1414"/>
      <c r="K311" s="1414"/>
      <c r="L311" s="1414"/>
      <c r="M311" s="1414"/>
      <c r="N311" s="1414"/>
      <c r="O311" s="1414"/>
      <c r="AB311" s="1413"/>
      <c r="AC311" s="1413"/>
      <c r="AK311" s="1439"/>
      <c r="AL311" s="1440"/>
      <c r="AM311" s="1440"/>
      <c r="AN311" s="1444"/>
      <c r="AO311" s="1444"/>
      <c r="AP311" s="1442"/>
      <c r="AQ311" s="1443"/>
      <c r="AR311" s="1444"/>
      <c r="AS311" s="1444"/>
      <c r="AT311" s="1442"/>
    </row>
    <row r="312" spans="1:46" ht="11.25">
      <c r="A312" s="1414"/>
      <c r="B312" s="1414"/>
      <c r="C312" s="1414"/>
      <c r="D312" s="1414"/>
      <c r="E312" s="1414"/>
      <c r="F312" s="1414"/>
      <c r="G312" s="1414"/>
      <c r="H312" s="1414"/>
      <c r="I312" s="1414"/>
      <c r="J312" s="1414"/>
      <c r="K312" s="1414"/>
      <c r="L312" s="1414"/>
      <c r="M312" s="1414"/>
      <c r="N312" s="1414"/>
      <c r="O312" s="1414"/>
      <c r="AB312" s="1413"/>
      <c r="AC312" s="1413"/>
      <c r="AK312" s="1439"/>
      <c r="AL312" s="1440"/>
      <c r="AM312" s="1440"/>
      <c r="AN312" s="1444"/>
      <c r="AO312" s="1444"/>
      <c r="AP312" s="1442"/>
      <c r="AQ312" s="1443"/>
      <c r="AR312" s="1444"/>
      <c r="AS312" s="1444"/>
      <c r="AT312" s="1442"/>
    </row>
    <row r="313" spans="1:46" ht="11.25">
      <c r="A313" s="1960" t="s">
        <v>566</v>
      </c>
      <c r="B313" s="1961"/>
      <c r="C313" s="1961"/>
      <c r="D313" s="1961"/>
      <c r="E313" s="1961"/>
      <c r="F313" s="1961"/>
      <c r="G313" s="1961"/>
      <c r="H313" s="1961"/>
      <c r="I313" s="1961"/>
      <c r="J313" s="1961"/>
      <c r="K313" s="1961"/>
      <c r="L313" s="1961"/>
      <c r="M313" s="1961"/>
      <c r="N313" s="1961"/>
      <c r="O313" s="1962"/>
      <c r="P313" s="1411"/>
      <c r="Q313" s="1412"/>
      <c r="R313" s="1410"/>
      <c r="S313" s="1411"/>
      <c r="T313" s="1412"/>
      <c r="U313" s="1410"/>
      <c r="V313" s="789"/>
      <c r="W313" s="790"/>
      <c r="X313" s="790"/>
      <c r="Y313" s="791"/>
      <c r="AB313" s="1413"/>
      <c r="AC313" s="1413"/>
      <c r="AK313" s="1439"/>
      <c r="AL313" s="1440"/>
      <c r="AM313" s="1440"/>
      <c r="AN313" s="1444"/>
      <c r="AO313" s="1444"/>
      <c r="AP313" s="1442"/>
      <c r="AQ313" s="1443"/>
      <c r="AR313" s="1444"/>
      <c r="AS313" s="1444"/>
      <c r="AT313" s="1442"/>
    </row>
    <row r="314" spans="1:46" ht="11.25">
      <c r="A314" s="1415"/>
      <c r="B314" s="1416"/>
      <c r="C314" s="1417" t="s">
        <v>256</v>
      </c>
      <c r="D314" s="1417" t="s">
        <v>257</v>
      </c>
      <c r="E314" s="1418" t="s">
        <v>258</v>
      </c>
      <c r="F314" s="1418" t="s">
        <v>259</v>
      </c>
      <c r="G314" s="1418" t="s">
        <v>260</v>
      </c>
      <c r="H314" s="1418" t="s">
        <v>261</v>
      </c>
      <c r="I314" s="1418" t="s">
        <v>262</v>
      </c>
      <c r="J314" s="1418" t="s">
        <v>263</v>
      </c>
      <c r="K314" s="1963" t="s">
        <v>264</v>
      </c>
      <c r="L314" s="1964"/>
      <c r="M314" s="1964"/>
      <c r="N314" s="1964" t="s">
        <v>265</v>
      </c>
      <c r="O314" s="1965"/>
      <c r="P314" s="1419"/>
      <c r="Q314" s="1420"/>
      <c r="R314" s="1421" t="s">
        <v>266</v>
      </c>
      <c r="S314" s="1421" t="s">
        <v>267</v>
      </c>
      <c r="T314" s="1421"/>
      <c r="U314" s="1421"/>
      <c r="V314" s="1966" t="s">
        <v>268</v>
      </c>
      <c r="W314" s="1967"/>
      <c r="X314" s="1967"/>
      <c r="Y314" s="1968"/>
      <c r="AB314" s="1413"/>
      <c r="AC314" s="1413"/>
      <c r="AK314" s="1439"/>
      <c r="AL314" s="1440"/>
      <c r="AM314" s="1440"/>
      <c r="AN314" s="1444"/>
      <c r="AO314" s="1444"/>
      <c r="AP314" s="1442"/>
      <c r="AQ314" s="1443"/>
      <c r="AR314" s="1444"/>
      <c r="AS314" s="1444"/>
      <c r="AT314" s="1442"/>
    </row>
    <row r="315" spans="1:46" ht="11.25">
      <c r="A315" s="1427" t="s">
        <v>269</v>
      </c>
      <c r="B315" s="1421" t="s">
        <v>270</v>
      </c>
      <c r="C315" s="1427" t="s">
        <v>271</v>
      </c>
      <c r="D315" s="1427"/>
      <c r="E315" s="1427"/>
      <c r="F315" s="1427"/>
      <c r="G315" s="1427"/>
      <c r="H315" s="1427"/>
      <c r="I315" s="1427"/>
      <c r="J315" s="1427"/>
      <c r="K315" s="1427" t="s">
        <v>272</v>
      </c>
      <c r="L315" s="1420" t="s">
        <v>273</v>
      </c>
      <c r="M315" s="1421" t="s">
        <v>274</v>
      </c>
      <c r="N315" s="1421" t="s">
        <v>275</v>
      </c>
      <c r="O315" s="1421" t="s">
        <v>276</v>
      </c>
      <c r="P315" s="1428" t="s">
        <v>277</v>
      </c>
      <c r="Q315" s="1428" t="s">
        <v>278</v>
      </c>
      <c r="R315" s="1429" t="s">
        <v>279</v>
      </c>
      <c r="S315" s="1429" t="s">
        <v>280</v>
      </c>
      <c r="T315" s="1429" t="s">
        <v>281</v>
      </c>
      <c r="U315" s="1429" t="s">
        <v>282</v>
      </c>
      <c r="V315" s="792" t="s">
        <v>283</v>
      </c>
      <c r="W315" s="792" t="s">
        <v>284</v>
      </c>
      <c r="X315" s="792" t="s">
        <v>285</v>
      </c>
      <c r="Y315" s="792" t="s">
        <v>286</v>
      </c>
      <c r="AB315" s="1413"/>
      <c r="AC315" s="1413"/>
      <c r="AK315" s="1439"/>
      <c r="AL315" s="1440"/>
      <c r="AM315" s="1440"/>
      <c r="AN315" s="1444"/>
      <c r="AO315" s="1444"/>
      <c r="AP315" s="1442"/>
      <c r="AQ315" s="1443"/>
      <c r="AR315" s="1444"/>
      <c r="AS315" s="1444"/>
      <c r="AT315" s="1442"/>
    </row>
    <row r="316" spans="1:46" ht="12.75" customHeight="1">
      <c r="A316" s="1430"/>
      <c r="B316" s="1431"/>
      <c r="C316" s="1430" t="s">
        <v>567</v>
      </c>
      <c r="D316" s="1430"/>
      <c r="E316" s="1430"/>
      <c r="F316" s="1430"/>
      <c r="G316" s="1430">
        <v>348</v>
      </c>
      <c r="H316" s="1430" t="s">
        <v>313</v>
      </c>
      <c r="I316" s="1430">
        <v>99</v>
      </c>
      <c r="J316" s="1430" t="s">
        <v>263</v>
      </c>
      <c r="K316" s="1433" t="s">
        <v>566</v>
      </c>
      <c r="L316" s="1433">
        <v>373276.8</v>
      </c>
      <c r="M316" s="1430"/>
      <c r="N316" s="1433"/>
      <c r="O316" s="1433">
        <f>+L316-185000+135000-100000-100000-104287.62+50000-40000</f>
        <v>28989.179999999993</v>
      </c>
      <c r="P316" s="1433">
        <v>5076564</v>
      </c>
      <c r="Q316" s="1433">
        <f>+L316</f>
        <v>373276.8</v>
      </c>
      <c r="R316" s="1433">
        <f>+P316</f>
        <v>5076564</v>
      </c>
      <c r="S316" s="1435">
        <f>+P316/Q316</f>
        <v>13.599998714090992</v>
      </c>
      <c r="T316" s="1436" t="s">
        <v>335</v>
      </c>
      <c r="U316" s="1437">
        <v>38411</v>
      </c>
      <c r="V316" s="793"/>
      <c r="W316" s="793">
        <f>+R316-2515999.78+1835999.82-1359999.86-1359999.86-1418311.5+680000-544000</f>
        <v>394252.8199999996</v>
      </c>
      <c r="X316" s="793"/>
      <c r="Y316" s="793"/>
      <c r="Z316" s="1405" t="s">
        <v>292</v>
      </c>
      <c r="AA316" s="1405" t="s">
        <v>568</v>
      </c>
      <c r="AB316" s="1413"/>
      <c r="AC316" s="1413"/>
      <c r="AK316" s="1439" t="s">
        <v>6939</v>
      </c>
      <c r="AL316" s="1440" t="s">
        <v>376</v>
      </c>
      <c r="AM316" s="1440" t="s">
        <v>376</v>
      </c>
      <c r="AN316" s="1441" t="s">
        <v>566</v>
      </c>
      <c r="AO316" s="1441" t="s">
        <v>566</v>
      </c>
      <c r="AP316" s="1442" t="s">
        <v>5621</v>
      </c>
      <c r="AQ316" s="1443">
        <v>28989.18</v>
      </c>
      <c r="AR316" s="1444" t="s">
        <v>5789</v>
      </c>
      <c r="AS316" s="1444" t="s">
        <v>5790</v>
      </c>
      <c r="AT316" s="1442" t="s">
        <v>5609</v>
      </c>
    </row>
    <row r="317" spans="1:46" ht="12.75" customHeight="1">
      <c r="A317" s="1430"/>
      <c r="B317" s="1431"/>
      <c r="C317" s="1430" t="s">
        <v>569</v>
      </c>
      <c r="D317" s="1430"/>
      <c r="E317" s="1430"/>
      <c r="F317" s="1430"/>
      <c r="G317" s="1430"/>
      <c r="H317" s="1430"/>
      <c r="I317" s="1430"/>
      <c r="J317" s="1430"/>
      <c r="K317" s="1433" t="s">
        <v>566</v>
      </c>
      <c r="L317" s="1433">
        <v>208538.59</v>
      </c>
      <c r="M317" s="794"/>
      <c r="N317" s="1433"/>
      <c r="O317" s="1433">
        <f>+L317-10000-8617.74-10000-19583.31-14036.65-7223.48-3400-698.7-3012-20089.49-10000</f>
        <v>101877.21999999999</v>
      </c>
      <c r="P317" s="1433">
        <v>2268900</v>
      </c>
      <c r="Q317" s="1433">
        <f>+L317</f>
        <v>208538.59</v>
      </c>
      <c r="R317" s="1433">
        <f>+P317</f>
        <v>2268900</v>
      </c>
      <c r="S317" s="1435">
        <f>+P317/Q317</f>
        <v>10.880000675174797</v>
      </c>
      <c r="T317" s="1436" t="s">
        <v>335</v>
      </c>
      <c r="U317" s="1437">
        <v>38411</v>
      </c>
      <c r="V317" s="793"/>
      <c r="W317" s="793">
        <f>+R317-108800-93761.02-108800.01-213066.42-152718.75-48591.47-37725.41-7752.57-33420.27-222907.11-110957.08+1499123.96+357967.18+202432.95+1532127.13+1361439.78+43017.77</f>
        <v>6126508.6600000001</v>
      </c>
      <c r="X317" s="793"/>
      <c r="Y317" s="793"/>
      <c r="Z317" s="1405" t="s">
        <v>292</v>
      </c>
      <c r="AA317" s="1405" t="s">
        <v>568</v>
      </c>
      <c r="AB317" s="1413"/>
      <c r="AC317" s="1413"/>
      <c r="AK317" s="1430" t="s">
        <v>6940</v>
      </c>
      <c r="AL317" s="1440"/>
      <c r="AM317" s="1440"/>
      <c r="AN317" s="1441"/>
      <c r="AO317" s="1441"/>
      <c r="AP317" s="1442"/>
      <c r="AQ317" s="1443"/>
      <c r="AR317" s="1444"/>
      <c r="AS317" s="1444"/>
      <c r="AT317" s="1442"/>
    </row>
    <row r="318" spans="1:46" ht="12.75" customHeight="1">
      <c r="A318" s="1430"/>
      <c r="B318" s="1431"/>
      <c r="C318" s="1461" t="s">
        <v>365</v>
      </c>
      <c r="D318" s="1461"/>
      <c r="E318" s="1461"/>
      <c r="F318" s="1461"/>
      <c r="G318" s="1461"/>
      <c r="H318" s="1461"/>
      <c r="I318" s="1461"/>
      <c r="J318" s="1461"/>
      <c r="K318" s="1463" t="s">
        <v>98</v>
      </c>
      <c r="L318" s="1446">
        <f t="shared" ref="L318:Q318" si="51">SUM(L316:L317)</f>
        <v>581815.39</v>
      </c>
      <c r="M318" s="1446">
        <f t="shared" si="51"/>
        <v>0</v>
      </c>
      <c r="N318" s="1446">
        <f t="shared" si="51"/>
        <v>0</v>
      </c>
      <c r="O318" s="1446">
        <f t="shared" si="51"/>
        <v>130866.39999999998</v>
      </c>
      <c r="P318" s="1446">
        <f t="shared" si="51"/>
        <v>7345464</v>
      </c>
      <c r="Q318" s="1446">
        <f t="shared" si="51"/>
        <v>581815.39</v>
      </c>
      <c r="R318" s="1446">
        <f>SUM(R316:R317)</f>
        <v>7345464</v>
      </c>
      <c r="S318" s="1446"/>
      <c r="T318" s="1446"/>
      <c r="U318" s="1446"/>
      <c r="V318" s="796">
        <f>SUM(V316:V317)</f>
        <v>0</v>
      </c>
      <c r="W318" s="796">
        <f>SUM(W316:W317)</f>
        <v>6520761.4799999995</v>
      </c>
      <c r="X318" s="796">
        <f>SUM(X316:X317)</f>
        <v>0</v>
      </c>
      <c r="Y318" s="796">
        <f>SUM(Y316:Y317)</f>
        <v>0</v>
      </c>
      <c r="AB318" s="1413"/>
      <c r="AC318" s="1413"/>
      <c r="AK318" s="1439"/>
      <c r="AL318" s="1440"/>
      <c r="AM318" s="1440"/>
      <c r="AN318" s="1441"/>
      <c r="AO318" s="1441"/>
      <c r="AP318" s="1442"/>
      <c r="AQ318" s="1443"/>
      <c r="AR318" s="1444"/>
      <c r="AS318" s="1444"/>
      <c r="AT318" s="1442"/>
    </row>
    <row r="319" spans="1:46" ht="12.75" customHeight="1">
      <c r="B319" s="1488"/>
      <c r="C319" s="1407"/>
      <c r="D319" s="1407"/>
      <c r="E319" s="1407"/>
      <c r="F319" s="1407"/>
      <c r="G319" s="1407"/>
      <c r="H319" s="1407"/>
      <c r="I319" s="1407"/>
      <c r="J319" s="1407"/>
      <c r="K319" s="1459" t="s">
        <v>365</v>
      </c>
      <c r="L319" s="1490">
        <f>L318</f>
        <v>581815.39</v>
      </c>
      <c r="M319" s="1490">
        <f t="shared" ref="M319:Y319" si="52">M318</f>
        <v>0</v>
      </c>
      <c r="N319" s="1490">
        <f t="shared" si="52"/>
        <v>0</v>
      </c>
      <c r="O319" s="1490">
        <f t="shared" si="52"/>
        <v>130866.39999999998</v>
      </c>
      <c r="P319" s="1490"/>
      <c r="Q319" s="1490"/>
      <c r="R319" s="1490"/>
      <c r="S319" s="1490">
        <f t="shared" si="52"/>
        <v>0</v>
      </c>
      <c r="T319" s="1490">
        <f t="shared" si="52"/>
        <v>0</v>
      </c>
      <c r="U319" s="1490">
        <f t="shared" si="52"/>
        <v>0</v>
      </c>
      <c r="V319" s="1490">
        <f t="shared" si="52"/>
        <v>0</v>
      </c>
      <c r="W319" s="1490">
        <f t="shared" si="52"/>
        <v>6520761.4799999995</v>
      </c>
      <c r="X319" s="1490">
        <f t="shared" si="52"/>
        <v>0</v>
      </c>
      <c r="Y319" s="1490">
        <f t="shared" si="52"/>
        <v>0</v>
      </c>
      <c r="AB319" s="1413"/>
      <c r="AC319" s="1413"/>
      <c r="AK319" s="1439"/>
      <c r="AL319" s="1440"/>
      <c r="AM319" s="1440"/>
      <c r="AN319" s="1441"/>
      <c r="AO319" s="1441"/>
      <c r="AP319" s="1442"/>
      <c r="AQ319" s="1443"/>
      <c r="AR319" s="1444"/>
      <c r="AS319" s="1444"/>
      <c r="AT319" s="1442"/>
    </row>
    <row r="320" spans="1:46" ht="12.75" customHeight="1">
      <c r="B320" s="1488"/>
      <c r="C320" s="1407"/>
      <c r="D320" s="1407"/>
      <c r="E320" s="1407"/>
      <c r="F320" s="1407"/>
      <c r="G320" s="1407"/>
      <c r="H320" s="1407"/>
      <c r="I320" s="1407"/>
      <c r="J320" s="1407"/>
      <c r="K320" s="1459"/>
      <c r="L320" s="1490"/>
      <c r="M320" s="1490"/>
      <c r="N320" s="1490"/>
      <c r="O320" s="1490"/>
      <c r="P320" s="1490"/>
      <c r="Q320" s="1490"/>
      <c r="R320" s="1490"/>
      <c r="S320" s="1490"/>
      <c r="T320" s="1490"/>
      <c r="U320" s="1490"/>
      <c r="V320" s="801"/>
      <c r="W320" s="801"/>
      <c r="X320" s="801"/>
      <c r="Y320" s="801"/>
      <c r="AB320" s="1413"/>
      <c r="AC320" s="1413"/>
      <c r="AK320" s="1439"/>
      <c r="AL320" s="1440"/>
      <c r="AM320" s="1440"/>
      <c r="AN320" s="1441"/>
      <c r="AO320" s="1441"/>
      <c r="AP320" s="1442"/>
      <c r="AQ320" s="1443"/>
      <c r="AR320" s="1444"/>
      <c r="AS320" s="1444"/>
      <c r="AT320" s="1442"/>
    </row>
    <row r="321" spans="1:46" ht="11.25">
      <c r="AB321" s="1413"/>
      <c r="AC321" s="1413"/>
      <c r="AK321" s="1439"/>
      <c r="AL321" s="1440"/>
      <c r="AM321" s="1440"/>
      <c r="AN321" s="1441"/>
      <c r="AO321" s="1441"/>
      <c r="AP321" s="1442"/>
      <c r="AQ321" s="1443"/>
      <c r="AR321" s="1444"/>
      <c r="AS321" s="1444"/>
      <c r="AT321" s="1442"/>
    </row>
    <row r="322" spans="1:46" ht="11.25">
      <c r="AB322" s="1413"/>
      <c r="AC322" s="1413"/>
      <c r="AK322" s="1439"/>
      <c r="AL322" s="1440"/>
      <c r="AM322" s="1440"/>
      <c r="AN322" s="1441"/>
      <c r="AO322" s="1441"/>
      <c r="AP322" s="1442"/>
      <c r="AQ322" s="1443"/>
      <c r="AR322" s="1444"/>
      <c r="AS322" s="1444"/>
      <c r="AT322" s="1442"/>
    </row>
    <row r="323" spans="1:46" ht="11.25">
      <c r="A323" s="1960" t="s">
        <v>570</v>
      </c>
      <c r="B323" s="1961"/>
      <c r="C323" s="1961"/>
      <c r="D323" s="1961"/>
      <c r="E323" s="1961"/>
      <c r="F323" s="1961"/>
      <c r="G323" s="1961"/>
      <c r="H323" s="1961"/>
      <c r="I323" s="1961"/>
      <c r="J323" s="1961"/>
      <c r="K323" s="1961"/>
      <c r="L323" s="1961"/>
      <c r="M323" s="1961"/>
      <c r="N323" s="1961"/>
      <c r="O323" s="1962"/>
      <c r="P323" s="1408"/>
      <c r="Q323" s="1409"/>
      <c r="R323" s="1410"/>
      <c r="S323" s="1411"/>
      <c r="T323" s="1412"/>
      <c r="U323" s="1410"/>
      <c r="V323" s="789"/>
      <c r="W323" s="790"/>
      <c r="X323" s="790"/>
      <c r="Y323" s="791"/>
      <c r="AB323" s="1413"/>
      <c r="AC323" s="1413"/>
      <c r="AK323" s="1439"/>
      <c r="AL323" s="1440"/>
      <c r="AM323" s="1440"/>
      <c r="AN323" s="1441"/>
      <c r="AO323" s="1441"/>
      <c r="AP323" s="1442"/>
      <c r="AQ323" s="1443"/>
      <c r="AR323" s="1444"/>
      <c r="AS323" s="1444"/>
      <c r="AT323" s="1442"/>
    </row>
    <row r="324" spans="1:46" ht="11.25">
      <c r="A324" s="1415"/>
      <c r="B324" s="1416"/>
      <c r="C324" s="1417" t="s">
        <v>256</v>
      </c>
      <c r="D324" s="1417" t="s">
        <v>257</v>
      </c>
      <c r="E324" s="1418" t="s">
        <v>258</v>
      </c>
      <c r="F324" s="1418" t="s">
        <v>259</v>
      </c>
      <c r="G324" s="1418" t="s">
        <v>260</v>
      </c>
      <c r="H324" s="1418" t="s">
        <v>261</v>
      </c>
      <c r="I324" s="1418" t="s">
        <v>262</v>
      </c>
      <c r="J324" s="1418" t="s">
        <v>263</v>
      </c>
      <c r="K324" s="1963" t="s">
        <v>264</v>
      </c>
      <c r="L324" s="1964"/>
      <c r="M324" s="1964"/>
      <c r="N324" s="1964" t="s">
        <v>265</v>
      </c>
      <c r="O324" s="1965"/>
      <c r="P324" s="1466"/>
      <c r="Q324" s="1467"/>
      <c r="R324" s="1421" t="s">
        <v>266</v>
      </c>
      <c r="S324" s="1421" t="s">
        <v>267</v>
      </c>
      <c r="T324" s="1421"/>
      <c r="U324" s="1421"/>
      <c r="V324" s="1966" t="s">
        <v>268</v>
      </c>
      <c r="W324" s="1967"/>
      <c r="X324" s="1967"/>
      <c r="Y324" s="1968"/>
      <c r="AB324" s="1413"/>
      <c r="AC324" s="1413"/>
      <c r="AK324" s="1439"/>
      <c r="AL324" s="1440"/>
      <c r="AM324" s="1440"/>
      <c r="AN324" s="1441"/>
      <c r="AO324" s="1441"/>
      <c r="AP324" s="1442"/>
      <c r="AQ324" s="1443"/>
      <c r="AR324" s="1444"/>
      <c r="AS324" s="1444"/>
      <c r="AT324" s="1442"/>
    </row>
    <row r="325" spans="1:46" ht="11.25">
      <c r="A325" s="1427" t="s">
        <v>269</v>
      </c>
      <c r="B325" s="1421" t="s">
        <v>270</v>
      </c>
      <c r="C325" s="1427" t="s">
        <v>271</v>
      </c>
      <c r="D325" s="1427"/>
      <c r="E325" s="1427"/>
      <c r="F325" s="1427"/>
      <c r="G325" s="1427"/>
      <c r="H325" s="1427"/>
      <c r="I325" s="1427"/>
      <c r="J325" s="1427"/>
      <c r="K325" s="1427" t="s">
        <v>272</v>
      </c>
      <c r="L325" s="1420" t="s">
        <v>273</v>
      </c>
      <c r="M325" s="1421" t="s">
        <v>274</v>
      </c>
      <c r="N325" s="1421" t="s">
        <v>275</v>
      </c>
      <c r="O325" s="1421" t="s">
        <v>276</v>
      </c>
      <c r="P325" s="1428" t="s">
        <v>277</v>
      </c>
      <c r="Q325" s="1428" t="s">
        <v>278</v>
      </c>
      <c r="R325" s="1429" t="s">
        <v>279</v>
      </c>
      <c r="S325" s="1429" t="s">
        <v>280</v>
      </c>
      <c r="T325" s="1429" t="s">
        <v>281</v>
      </c>
      <c r="U325" s="1429" t="s">
        <v>282</v>
      </c>
      <c r="V325" s="792" t="s">
        <v>283</v>
      </c>
      <c r="W325" s="792" t="s">
        <v>284</v>
      </c>
      <c r="X325" s="792" t="s">
        <v>285</v>
      </c>
      <c r="Y325" s="792" t="s">
        <v>286</v>
      </c>
      <c r="AB325" s="1413"/>
      <c r="AC325" s="1413"/>
      <c r="AK325" s="1439"/>
      <c r="AL325" s="1440"/>
      <c r="AM325" s="1440"/>
      <c r="AN325" s="1441"/>
      <c r="AO325" s="1441"/>
      <c r="AP325" s="1442"/>
      <c r="AQ325" s="1443"/>
      <c r="AR325" s="1444"/>
      <c r="AS325" s="1444"/>
      <c r="AT325" s="1442"/>
    </row>
    <row r="326" spans="1:46" ht="11.25" hidden="1">
      <c r="A326" s="1430"/>
      <c r="B326" s="1431"/>
      <c r="C326" s="1430" t="s">
        <v>385</v>
      </c>
      <c r="D326" s="1430"/>
      <c r="E326" s="1430"/>
      <c r="F326" s="1430"/>
      <c r="G326" s="1430"/>
      <c r="H326" s="1430"/>
      <c r="I326" s="1430"/>
      <c r="J326" s="1430"/>
      <c r="K326" s="1433" t="s">
        <v>571</v>
      </c>
      <c r="L326" s="1433">
        <v>49701.33</v>
      </c>
      <c r="M326" s="1433"/>
      <c r="N326" s="1433"/>
      <c r="O326" s="1434">
        <f>+L326-49701.33</f>
        <v>0</v>
      </c>
      <c r="P326" s="1433">
        <v>1590442.59</v>
      </c>
      <c r="Q326" s="1433">
        <f>+L326</f>
        <v>49701.33</v>
      </c>
      <c r="R326" s="1433">
        <f>+P326</f>
        <v>1590442.59</v>
      </c>
      <c r="S326" s="1435">
        <f>+P326/Q326</f>
        <v>32.000000603605578</v>
      </c>
      <c r="T326" s="1436" t="s">
        <v>335</v>
      </c>
      <c r="U326" s="1437">
        <v>38411</v>
      </c>
      <c r="V326" s="793"/>
      <c r="W326" s="793">
        <f>+R326-1590442.59</f>
        <v>0</v>
      </c>
      <c r="X326" s="793"/>
      <c r="Y326" s="793"/>
      <c r="Z326" s="1405" t="s">
        <v>292</v>
      </c>
      <c r="AA326" s="1405" t="s">
        <v>572</v>
      </c>
      <c r="AB326" s="1413"/>
      <c r="AC326" s="1413"/>
      <c r="AK326" s="1439"/>
      <c r="AL326" s="1440"/>
      <c r="AM326" s="1440"/>
      <c r="AN326" s="1441"/>
      <c r="AO326" s="1441"/>
      <c r="AP326" s="1442"/>
      <c r="AQ326" s="1443"/>
      <c r="AR326" s="1444"/>
      <c r="AS326" s="1444"/>
      <c r="AT326" s="1442"/>
    </row>
    <row r="327" spans="1:46" ht="11.25">
      <c r="A327" s="1430"/>
      <c r="B327" s="1431"/>
      <c r="C327" s="1499" t="s">
        <v>571</v>
      </c>
      <c r="D327" s="1499"/>
      <c r="E327" s="1499"/>
      <c r="F327" s="1499"/>
      <c r="G327" s="1499"/>
      <c r="H327" s="1499"/>
      <c r="I327" s="1499"/>
      <c r="J327" s="1499"/>
      <c r="K327" s="1463" t="s">
        <v>98</v>
      </c>
      <c r="L327" s="1446">
        <f t="shared" ref="L327:R327" si="53">SUM(L326:L326)</f>
        <v>49701.33</v>
      </c>
      <c r="M327" s="798">
        <f t="shared" si="53"/>
        <v>0</v>
      </c>
      <c r="N327" s="1446">
        <f t="shared" si="53"/>
        <v>0</v>
      </c>
      <c r="O327" s="1446">
        <f t="shared" si="53"/>
        <v>0</v>
      </c>
      <c r="P327" s="1446">
        <f t="shared" si="53"/>
        <v>1590442.59</v>
      </c>
      <c r="Q327" s="1446">
        <f t="shared" si="53"/>
        <v>49701.33</v>
      </c>
      <c r="R327" s="1446">
        <f t="shared" si="53"/>
        <v>1590442.59</v>
      </c>
      <c r="S327" s="1430"/>
      <c r="T327" s="1430"/>
      <c r="U327" s="1430"/>
      <c r="V327" s="793">
        <f>SUM(V326)</f>
        <v>0</v>
      </c>
      <c r="W327" s="796">
        <f>SUM(W326)</f>
        <v>0</v>
      </c>
      <c r="X327" s="793">
        <f>SUM(X326)</f>
        <v>0</v>
      </c>
      <c r="Y327" s="793">
        <f>SUM(Y326)</f>
        <v>0</v>
      </c>
      <c r="AB327" s="1413"/>
      <c r="AC327" s="1413"/>
      <c r="AK327" s="1439"/>
      <c r="AL327" s="1440"/>
      <c r="AM327" s="1440"/>
      <c r="AN327" s="1441"/>
      <c r="AO327" s="1441"/>
      <c r="AP327" s="1442"/>
      <c r="AQ327" s="1443"/>
      <c r="AR327" s="1444"/>
      <c r="AS327" s="1444"/>
      <c r="AT327" s="1442"/>
    </row>
    <row r="328" spans="1:46" ht="12" customHeight="1">
      <c r="B328" s="1488"/>
      <c r="C328" s="1458"/>
      <c r="D328" s="1458"/>
      <c r="E328" s="1458"/>
      <c r="F328" s="1458"/>
      <c r="G328" s="1458"/>
      <c r="H328" s="1458"/>
      <c r="I328" s="1458"/>
      <c r="J328" s="1458"/>
      <c r="K328" s="1459" t="s">
        <v>365</v>
      </c>
      <c r="L328" s="1490">
        <f>L327</f>
        <v>49701.33</v>
      </c>
      <c r="M328" s="1490">
        <f t="shared" ref="M328:AD328" si="54">M327</f>
        <v>0</v>
      </c>
      <c r="N328" s="1490">
        <f t="shared" si="54"/>
        <v>0</v>
      </c>
      <c r="O328" s="1490">
        <f t="shared" si="54"/>
        <v>0</v>
      </c>
      <c r="P328" s="1490"/>
      <c r="Q328" s="1490"/>
      <c r="R328" s="1490"/>
      <c r="S328" s="1490">
        <f t="shared" si="54"/>
        <v>0</v>
      </c>
      <c r="T328" s="1490">
        <f t="shared" si="54"/>
        <v>0</v>
      </c>
      <c r="U328" s="1490">
        <f t="shared" si="54"/>
        <v>0</v>
      </c>
      <c r="V328" s="1490">
        <f t="shared" si="54"/>
        <v>0</v>
      </c>
      <c r="W328" s="1490">
        <f t="shared" si="54"/>
        <v>0</v>
      </c>
      <c r="X328" s="1490">
        <f t="shared" si="54"/>
        <v>0</v>
      </c>
      <c r="Y328" s="1490">
        <f t="shared" si="54"/>
        <v>0</v>
      </c>
      <c r="Z328" s="1490">
        <f t="shared" si="54"/>
        <v>0</v>
      </c>
      <c r="AA328" s="1490">
        <f t="shared" si="54"/>
        <v>0</v>
      </c>
      <c r="AB328" s="1490">
        <f t="shared" si="54"/>
        <v>0</v>
      </c>
      <c r="AC328" s="1490">
        <f t="shared" si="54"/>
        <v>0</v>
      </c>
      <c r="AD328" s="1490">
        <f t="shared" si="54"/>
        <v>0</v>
      </c>
      <c r="AK328" s="1439"/>
      <c r="AL328" s="1440"/>
      <c r="AM328" s="1440"/>
      <c r="AN328" s="1441"/>
      <c r="AO328" s="1441"/>
      <c r="AP328" s="1442"/>
      <c r="AQ328" s="1443"/>
      <c r="AR328" s="1444"/>
      <c r="AS328" s="1444"/>
      <c r="AT328" s="1442"/>
    </row>
    <row r="329" spans="1:46" ht="11.25">
      <c r="B329" s="1488"/>
      <c r="C329" s="1407"/>
      <c r="D329" s="1407"/>
      <c r="E329" s="1407"/>
      <c r="F329" s="1407"/>
      <c r="G329" s="1407"/>
      <c r="H329" s="1407"/>
      <c r="I329" s="1407"/>
      <c r="J329" s="1407"/>
      <c r="K329" s="1490"/>
      <c r="L329" s="1490"/>
      <c r="M329" s="823"/>
      <c r="N329" s="1490"/>
      <c r="O329" s="1490"/>
      <c r="P329" s="1490"/>
      <c r="Q329" s="1490"/>
      <c r="R329" s="1490"/>
      <c r="V329" s="799"/>
      <c r="W329" s="801"/>
      <c r="X329" s="799"/>
      <c r="Y329" s="799"/>
      <c r="AB329" s="1413"/>
      <c r="AC329" s="1413"/>
      <c r="AK329" s="1439"/>
      <c r="AL329" s="1440"/>
      <c r="AM329" s="1440"/>
      <c r="AN329" s="1441"/>
      <c r="AO329" s="1441"/>
      <c r="AP329" s="1442"/>
      <c r="AQ329" s="1443"/>
      <c r="AR329" s="1444"/>
      <c r="AS329" s="1444"/>
      <c r="AT329" s="1442"/>
    </row>
    <row r="330" spans="1:46" ht="11.25">
      <c r="AB330" s="1413"/>
      <c r="AC330" s="1413"/>
      <c r="AK330" s="1439"/>
      <c r="AL330" s="1440"/>
      <c r="AM330" s="1440"/>
      <c r="AN330" s="1441"/>
      <c r="AO330" s="1441"/>
      <c r="AP330" s="1442"/>
      <c r="AQ330" s="1443"/>
      <c r="AR330" s="1444"/>
      <c r="AS330" s="1444"/>
      <c r="AT330" s="1442"/>
    </row>
    <row r="331" spans="1:46" ht="11.25">
      <c r="AB331" s="1413"/>
      <c r="AC331" s="1413"/>
      <c r="AK331" s="1439"/>
      <c r="AL331" s="1440"/>
      <c r="AM331" s="1440"/>
      <c r="AN331" s="1441"/>
      <c r="AO331" s="1441"/>
      <c r="AP331" s="1442"/>
      <c r="AQ331" s="1443"/>
      <c r="AR331" s="1444"/>
      <c r="AS331" s="1444"/>
      <c r="AT331" s="1442"/>
    </row>
    <row r="332" spans="1:46" ht="11.25">
      <c r="A332" s="1960" t="s">
        <v>573</v>
      </c>
      <c r="B332" s="1961"/>
      <c r="C332" s="1961"/>
      <c r="D332" s="1961"/>
      <c r="E332" s="1961"/>
      <c r="F332" s="1961"/>
      <c r="G332" s="1961"/>
      <c r="H332" s="1961"/>
      <c r="I332" s="1961"/>
      <c r="J332" s="1961"/>
      <c r="K332" s="1961"/>
      <c r="L332" s="1961"/>
      <c r="M332" s="1961"/>
      <c r="N332" s="1961"/>
      <c r="O332" s="1962"/>
      <c r="P332" s="1408"/>
      <c r="Q332" s="1409"/>
      <c r="R332" s="1410"/>
      <c r="S332" s="1411"/>
      <c r="T332" s="1412"/>
      <c r="U332" s="1410"/>
      <c r="V332" s="789"/>
      <c r="W332" s="790"/>
      <c r="X332" s="790"/>
      <c r="Y332" s="791"/>
      <c r="AB332" s="1413"/>
      <c r="AC332" s="1413"/>
      <c r="AK332" s="1439"/>
      <c r="AL332" s="1440"/>
      <c r="AM332" s="1440"/>
      <c r="AN332" s="1441"/>
      <c r="AO332" s="1441"/>
      <c r="AP332" s="1442"/>
      <c r="AQ332" s="1443"/>
      <c r="AR332" s="1444"/>
      <c r="AS332" s="1444"/>
      <c r="AT332" s="1442"/>
    </row>
    <row r="333" spans="1:46" ht="11.25">
      <c r="A333" s="1415"/>
      <c r="B333" s="1416"/>
      <c r="C333" s="1417" t="s">
        <v>256</v>
      </c>
      <c r="D333" s="1417" t="s">
        <v>257</v>
      </c>
      <c r="E333" s="1418" t="s">
        <v>258</v>
      </c>
      <c r="F333" s="1418" t="s">
        <v>259</v>
      </c>
      <c r="G333" s="1418" t="s">
        <v>260</v>
      </c>
      <c r="H333" s="1418" t="s">
        <v>261</v>
      </c>
      <c r="I333" s="1418" t="s">
        <v>262</v>
      </c>
      <c r="J333" s="1418" t="s">
        <v>263</v>
      </c>
      <c r="K333" s="1963" t="s">
        <v>264</v>
      </c>
      <c r="L333" s="1964"/>
      <c r="M333" s="1964"/>
      <c r="N333" s="1964" t="s">
        <v>265</v>
      </c>
      <c r="O333" s="1965"/>
      <c r="P333" s="1466"/>
      <c r="Q333" s="1467"/>
      <c r="R333" s="1421" t="s">
        <v>266</v>
      </c>
      <c r="S333" s="1421" t="s">
        <v>267</v>
      </c>
      <c r="T333" s="1421"/>
      <c r="U333" s="1421"/>
      <c r="V333" s="1966" t="s">
        <v>268</v>
      </c>
      <c r="W333" s="1967"/>
      <c r="X333" s="1967"/>
      <c r="Y333" s="1968"/>
      <c r="AB333" s="1413"/>
      <c r="AC333" s="1413"/>
      <c r="AK333" s="1439"/>
      <c r="AL333" s="1440"/>
      <c r="AM333" s="1440"/>
      <c r="AN333" s="1441"/>
      <c r="AO333" s="1441"/>
      <c r="AP333" s="1442"/>
      <c r="AQ333" s="1443"/>
      <c r="AR333" s="1444"/>
      <c r="AS333" s="1444"/>
      <c r="AT333" s="1442"/>
    </row>
    <row r="334" spans="1:46" ht="13.5" customHeight="1">
      <c r="A334" s="1427" t="s">
        <v>269</v>
      </c>
      <c r="B334" s="1421" t="s">
        <v>270</v>
      </c>
      <c r="C334" s="1427" t="s">
        <v>271</v>
      </c>
      <c r="D334" s="1427"/>
      <c r="E334" s="1427"/>
      <c r="F334" s="1427"/>
      <c r="G334" s="1427"/>
      <c r="H334" s="1427"/>
      <c r="I334" s="1427"/>
      <c r="J334" s="1427"/>
      <c r="K334" s="1427" t="s">
        <v>272</v>
      </c>
      <c r="L334" s="1420" t="s">
        <v>273</v>
      </c>
      <c r="M334" s="1421" t="s">
        <v>274</v>
      </c>
      <c r="N334" s="1421" t="s">
        <v>275</v>
      </c>
      <c r="O334" s="1421" t="s">
        <v>276</v>
      </c>
      <c r="P334" s="1428" t="s">
        <v>277</v>
      </c>
      <c r="Q334" s="1428" t="s">
        <v>278</v>
      </c>
      <c r="R334" s="1429" t="s">
        <v>279</v>
      </c>
      <c r="S334" s="1462" t="s">
        <v>280</v>
      </c>
      <c r="T334" s="1462" t="s">
        <v>281</v>
      </c>
      <c r="U334" s="1462" t="s">
        <v>282</v>
      </c>
      <c r="V334" s="792" t="s">
        <v>283</v>
      </c>
      <c r="W334" s="792" t="s">
        <v>284</v>
      </c>
      <c r="X334" s="792" t="s">
        <v>285</v>
      </c>
      <c r="Y334" s="792" t="s">
        <v>286</v>
      </c>
      <c r="AB334" s="1413"/>
      <c r="AC334" s="1413"/>
      <c r="AK334" s="1439"/>
      <c r="AL334" s="1440"/>
      <c r="AM334" s="1440"/>
      <c r="AN334" s="1441"/>
      <c r="AO334" s="1441"/>
      <c r="AP334" s="1442"/>
      <c r="AQ334" s="1443"/>
      <c r="AR334" s="1444"/>
      <c r="AS334" s="1444"/>
      <c r="AT334" s="1442"/>
    </row>
    <row r="335" spans="1:46" s="1407" customFormat="1" ht="13.5" customHeight="1">
      <c r="A335" s="1461"/>
      <c r="B335" s="1462"/>
      <c r="C335" s="1430"/>
      <c r="D335" s="1430"/>
      <c r="E335" s="1430"/>
      <c r="F335" s="1447">
        <v>38134</v>
      </c>
      <c r="G335" s="1430">
        <v>199</v>
      </c>
      <c r="H335" s="1430" t="s">
        <v>313</v>
      </c>
      <c r="I335" s="1430">
        <v>57</v>
      </c>
      <c r="J335" s="1430" t="s">
        <v>573</v>
      </c>
      <c r="K335" s="1433" t="s">
        <v>573</v>
      </c>
      <c r="L335" s="1433">
        <v>70279</v>
      </c>
      <c r="M335" s="1446"/>
      <c r="N335" s="1446"/>
      <c r="O335" s="1434"/>
      <c r="P335" s="1433">
        <v>3437841.6</v>
      </c>
      <c r="Q335" s="1433">
        <v>107432.55</v>
      </c>
      <c r="R335" s="793">
        <v>9200000</v>
      </c>
      <c r="S335" s="1435">
        <f>+P335/Q335</f>
        <v>32</v>
      </c>
      <c r="T335" s="1436" t="s">
        <v>335</v>
      </c>
      <c r="U335" s="1437">
        <v>38411</v>
      </c>
      <c r="V335" s="793"/>
      <c r="W335" s="793"/>
      <c r="X335" s="793"/>
      <c r="Y335" s="793"/>
      <c r="Z335" s="1407" t="s">
        <v>292</v>
      </c>
      <c r="AB335" s="1465" t="s">
        <v>439</v>
      </c>
      <c r="AC335" s="1465"/>
      <c r="AK335" s="1439"/>
      <c r="AL335" s="1440"/>
      <c r="AM335" s="1440"/>
      <c r="AN335" s="1441"/>
      <c r="AO335" s="1441"/>
      <c r="AP335" s="1442"/>
      <c r="AQ335" s="1443"/>
      <c r="AR335" s="1444"/>
      <c r="AS335" s="1444"/>
      <c r="AT335" s="1442"/>
    </row>
    <row r="336" spans="1:46" ht="13.5" customHeight="1">
      <c r="A336" s="1449"/>
      <c r="B336" s="1450"/>
      <c r="C336" s="1499" t="s">
        <v>573</v>
      </c>
      <c r="D336" s="1499"/>
      <c r="E336" s="1499"/>
      <c r="F336" s="1499"/>
      <c r="G336" s="1499"/>
      <c r="H336" s="1499"/>
      <c r="I336" s="1499"/>
      <c r="J336" s="1499"/>
      <c r="K336" s="1463" t="s">
        <v>98</v>
      </c>
      <c r="L336" s="1460">
        <f t="shared" ref="L336:R336" si="55">SUM(L335:L335)</f>
        <v>70279</v>
      </c>
      <c r="M336" s="1460">
        <f t="shared" si="55"/>
        <v>0</v>
      </c>
      <c r="N336" s="1460">
        <f t="shared" si="55"/>
        <v>0</v>
      </c>
      <c r="O336" s="1460">
        <f t="shared" si="55"/>
        <v>0</v>
      </c>
      <c r="P336" s="1460">
        <f t="shared" si="55"/>
        <v>3437841.6</v>
      </c>
      <c r="Q336" s="1460">
        <f t="shared" si="55"/>
        <v>107432.55</v>
      </c>
      <c r="R336" s="1460">
        <f t="shared" si="55"/>
        <v>9200000</v>
      </c>
      <c r="S336" s="1430"/>
      <c r="T336" s="1430"/>
      <c r="U336" s="1430"/>
      <c r="V336" s="796">
        <f>SUM(V335)</f>
        <v>0</v>
      </c>
      <c r="W336" s="796">
        <f>SUM(W335)</f>
        <v>0</v>
      </c>
      <c r="X336" s="796">
        <f>SUM(X335)</f>
        <v>0</v>
      </c>
      <c r="Y336" s="796">
        <f>SUM(Y335)</f>
        <v>0</v>
      </c>
      <c r="AB336" s="1413"/>
      <c r="AC336" s="1413"/>
      <c r="AK336" s="1439"/>
      <c r="AL336" s="1440"/>
      <c r="AM336" s="1440"/>
      <c r="AN336" s="1441"/>
      <c r="AO336" s="1441"/>
      <c r="AP336" s="1442"/>
      <c r="AQ336" s="1443"/>
      <c r="AR336" s="1444"/>
      <c r="AS336" s="1444"/>
      <c r="AT336" s="1442"/>
    </row>
    <row r="337" spans="1:46" s="1407" customFormat="1" ht="10.5" customHeight="1">
      <c r="K337" s="1459" t="s">
        <v>365</v>
      </c>
      <c r="L337" s="1490">
        <f>L336</f>
        <v>70279</v>
      </c>
      <c r="M337" s="1490">
        <f t="shared" ref="M337:Y337" si="56">M336</f>
        <v>0</v>
      </c>
      <c r="N337" s="1490">
        <f t="shared" si="56"/>
        <v>0</v>
      </c>
      <c r="O337" s="1490">
        <f t="shared" si="56"/>
        <v>0</v>
      </c>
      <c r="P337" s="1490"/>
      <c r="Q337" s="1490"/>
      <c r="R337" s="1490"/>
      <c r="S337" s="1490">
        <f t="shared" si="56"/>
        <v>0</v>
      </c>
      <c r="T337" s="1490">
        <f t="shared" si="56"/>
        <v>0</v>
      </c>
      <c r="U337" s="1490">
        <f t="shared" si="56"/>
        <v>0</v>
      </c>
      <c r="V337" s="1490">
        <f t="shared" si="56"/>
        <v>0</v>
      </c>
      <c r="W337" s="1490">
        <f t="shared" si="56"/>
        <v>0</v>
      </c>
      <c r="X337" s="1490">
        <f t="shared" si="56"/>
        <v>0</v>
      </c>
      <c r="Y337" s="1490">
        <f t="shared" si="56"/>
        <v>0</v>
      </c>
      <c r="AB337" s="1465"/>
      <c r="AC337" s="1465"/>
      <c r="AK337" s="1439"/>
      <c r="AL337" s="1440"/>
      <c r="AM337" s="1440"/>
      <c r="AN337" s="1441"/>
      <c r="AO337" s="1441"/>
      <c r="AP337" s="1442"/>
      <c r="AQ337" s="1443"/>
      <c r="AR337" s="1444"/>
      <c r="AS337" s="1444"/>
      <c r="AT337" s="1442"/>
    </row>
    <row r="338" spans="1:46" s="1407" customFormat="1" ht="10.5" customHeight="1">
      <c r="K338" s="1459"/>
      <c r="L338" s="1490"/>
      <c r="M338" s="1490"/>
      <c r="N338" s="1490"/>
      <c r="O338" s="1490"/>
      <c r="P338" s="1490"/>
      <c r="Q338" s="1490"/>
      <c r="R338" s="1490"/>
      <c r="S338" s="1490"/>
      <c r="T338" s="1490"/>
      <c r="U338" s="1490"/>
      <c r="V338" s="1490"/>
      <c r="W338" s="1490"/>
      <c r="X338" s="1490"/>
      <c r="Y338" s="1490"/>
      <c r="AB338" s="1465"/>
      <c r="AC338" s="1465"/>
      <c r="AK338" s="1439"/>
      <c r="AL338" s="1440"/>
      <c r="AM338" s="1440"/>
      <c r="AN338" s="1441"/>
      <c r="AO338" s="1441"/>
      <c r="AP338" s="1442"/>
      <c r="AQ338" s="1443"/>
      <c r="AR338" s="1444"/>
      <c r="AS338" s="1444"/>
      <c r="AT338" s="1442"/>
    </row>
    <row r="339" spans="1:46" s="1407" customFormat="1" ht="10.5" customHeight="1">
      <c r="K339" s="1459"/>
      <c r="L339" s="1490"/>
      <c r="M339" s="1490"/>
      <c r="N339" s="1490"/>
      <c r="O339" s="1490"/>
      <c r="P339" s="1490"/>
      <c r="Q339" s="1490"/>
      <c r="R339" s="1490"/>
      <c r="S339" s="1490"/>
      <c r="T339" s="1490"/>
      <c r="U339" s="1490"/>
      <c r="V339" s="1490"/>
      <c r="W339" s="1490"/>
      <c r="X339" s="1490"/>
      <c r="Y339" s="1490"/>
      <c r="AB339" s="1465"/>
      <c r="AC339" s="1465"/>
      <c r="AK339" s="1439"/>
      <c r="AL339" s="1440"/>
      <c r="AM339" s="1440"/>
      <c r="AN339" s="1441"/>
      <c r="AO339" s="1441"/>
      <c r="AP339" s="1442"/>
      <c r="AQ339" s="1443"/>
      <c r="AR339" s="1444"/>
      <c r="AS339" s="1444"/>
      <c r="AT339" s="1442"/>
    </row>
    <row r="340" spans="1:46" s="1407" customFormat="1" ht="10.5" customHeight="1">
      <c r="K340" s="1459"/>
      <c r="L340" s="1490"/>
      <c r="M340" s="1490"/>
      <c r="N340" s="1490"/>
      <c r="O340" s="1490"/>
      <c r="P340" s="1490"/>
      <c r="Q340" s="1490"/>
      <c r="R340" s="1490"/>
      <c r="S340" s="1490"/>
      <c r="T340" s="1490"/>
      <c r="U340" s="1490"/>
      <c r="V340" s="1490"/>
      <c r="W340" s="1490"/>
      <c r="X340" s="1490"/>
      <c r="Y340" s="1490"/>
      <c r="AB340" s="1465"/>
      <c r="AC340" s="1465"/>
      <c r="AK340" s="1439"/>
      <c r="AL340" s="1440"/>
      <c r="AM340" s="1440"/>
      <c r="AN340" s="1441"/>
      <c r="AO340" s="1441"/>
      <c r="AP340" s="1442"/>
      <c r="AQ340" s="1443"/>
      <c r="AR340" s="1444"/>
      <c r="AS340" s="1444"/>
      <c r="AT340" s="1442"/>
    </row>
    <row r="341" spans="1:46" s="1407" customFormat="1" ht="10.5" customHeight="1">
      <c r="A341" s="1960" t="s">
        <v>574</v>
      </c>
      <c r="B341" s="1961"/>
      <c r="C341" s="1961"/>
      <c r="D341" s="1961"/>
      <c r="E341" s="1961"/>
      <c r="F341" s="1961"/>
      <c r="G341" s="1961"/>
      <c r="H341" s="1961"/>
      <c r="I341" s="1961"/>
      <c r="J341" s="1961"/>
      <c r="K341" s="1961"/>
      <c r="L341" s="1961"/>
      <c r="M341" s="1961"/>
      <c r="N341" s="1961"/>
      <c r="O341" s="1962"/>
      <c r="P341" s="1408"/>
      <c r="Q341" s="1409"/>
      <c r="R341" s="1410"/>
      <c r="S341" s="1411"/>
      <c r="T341" s="1412"/>
      <c r="U341" s="1410"/>
      <c r="V341" s="789"/>
      <c r="W341" s="790"/>
      <c r="X341" s="790"/>
      <c r="Y341" s="791"/>
      <c r="AB341" s="1465"/>
      <c r="AC341" s="1465"/>
      <c r="AG341" s="1407" t="s">
        <v>287</v>
      </c>
      <c r="AH341" s="1407" t="s">
        <v>280</v>
      </c>
      <c r="AK341" s="1439"/>
      <c r="AL341" s="1440"/>
      <c r="AM341" s="1440"/>
      <c r="AN341" s="1441"/>
      <c r="AO341" s="1441"/>
      <c r="AP341" s="1442"/>
      <c r="AQ341" s="1443"/>
      <c r="AR341" s="1444"/>
      <c r="AS341" s="1444"/>
      <c r="AT341" s="1442"/>
    </row>
    <row r="342" spans="1:46" s="1407" customFormat="1" ht="10.5" customHeight="1">
      <c r="A342" s="1415"/>
      <c r="B342" s="1416"/>
      <c r="C342" s="1417" t="s">
        <v>256</v>
      </c>
      <c r="D342" s="1417" t="s">
        <v>257</v>
      </c>
      <c r="E342" s="1418" t="s">
        <v>258</v>
      </c>
      <c r="F342" s="1418" t="s">
        <v>259</v>
      </c>
      <c r="G342" s="1418" t="s">
        <v>260</v>
      </c>
      <c r="H342" s="1418" t="s">
        <v>261</v>
      </c>
      <c r="I342" s="1418" t="s">
        <v>262</v>
      </c>
      <c r="J342" s="1418" t="s">
        <v>263</v>
      </c>
      <c r="K342" s="1963" t="s">
        <v>264</v>
      </c>
      <c r="L342" s="1964"/>
      <c r="M342" s="1964"/>
      <c r="N342" s="1964" t="s">
        <v>265</v>
      </c>
      <c r="O342" s="1965"/>
      <c r="P342" s="1466"/>
      <c r="Q342" s="1467"/>
      <c r="R342" s="1421" t="s">
        <v>266</v>
      </c>
      <c r="S342" s="1421" t="s">
        <v>267</v>
      </c>
      <c r="T342" s="1421"/>
      <c r="U342" s="1421"/>
      <c r="V342" s="1966" t="s">
        <v>268</v>
      </c>
      <c r="W342" s="1967"/>
      <c r="X342" s="1967"/>
      <c r="Y342" s="1968"/>
      <c r="AB342" s="1465"/>
      <c r="AC342" s="1465"/>
      <c r="AG342" s="1490">
        <v>104578</v>
      </c>
      <c r="AH342" s="1490">
        <f>SUM(O344:O353)</f>
        <v>4179346.9899999998</v>
      </c>
      <c r="AK342" s="1439"/>
      <c r="AL342" s="1440"/>
      <c r="AM342" s="1440"/>
      <c r="AN342" s="1441"/>
      <c r="AO342" s="1441"/>
      <c r="AP342" s="1442"/>
      <c r="AQ342" s="1443"/>
      <c r="AR342" s="1444"/>
      <c r="AS342" s="1444"/>
      <c r="AT342" s="1442"/>
    </row>
    <row r="343" spans="1:46" s="1407" customFormat="1" ht="10.5" customHeight="1">
      <c r="A343" s="1427" t="s">
        <v>269</v>
      </c>
      <c r="B343" s="1421" t="s">
        <v>270</v>
      </c>
      <c r="C343" s="1427" t="s">
        <v>271</v>
      </c>
      <c r="D343" s="1427"/>
      <c r="E343" s="1427"/>
      <c r="F343" s="1427"/>
      <c r="G343" s="1427"/>
      <c r="H343" s="1427"/>
      <c r="I343" s="1427"/>
      <c r="J343" s="1427"/>
      <c r="K343" s="1427" t="s">
        <v>272</v>
      </c>
      <c r="L343" s="1420" t="s">
        <v>273</v>
      </c>
      <c r="M343" s="1421" t="s">
        <v>274</v>
      </c>
      <c r="N343" s="1421" t="s">
        <v>275</v>
      </c>
      <c r="O343" s="1421" t="s">
        <v>276</v>
      </c>
      <c r="P343" s="1428" t="s">
        <v>277</v>
      </c>
      <c r="Q343" s="1428" t="s">
        <v>278</v>
      </c>
      <c r="R343" s="1429" t="s">
        <v>279</v>
      </c>
      <c r="S343" s="1462" t="s">
        <v>280</v>
      </c>
      <c r="T343" s="1462" t="s">
        <v>281</v>
      </c>
      <c r="U343" s="1462" t="s">
        <v>282</v>
      </c>
      <c r="V343" s="792" t="s">
        <v>283</v>
      </c>
      <c r="W343" s="792" t="s">
        <v>284</v>
      </c>
      <c r="X343" s="792" t="s">
        <v>285</v>
      </c>
      <c r="Y343" s="792" t="s">
        <v>286</v>
      </c>
      <c r="AB343" s="1465"/>
      <c r="AC343" s="1465"/>
      <c r="AH343" s="1539">
        <v>1</v>
      </c>
      <c r="AK343" s="1439"/>
      <c r="AL343" s="1440"/>
      <c r="AM343" s="1440"/>
      <c r="AN343" s="1441"/>
      <c r="AO343" s="1441"/>
      <c r="AP343" s="1442"/>
      <c r="AQ343" s="1443"/>
      <c r="AR343" s="1444"/>
      <c r="AS343" s="1444"/>
      <c r="AT343" s="1442"/>
    </row>
    <row r="344" spans="1:46" ht="10.5" customHeight="1">
      <c r="A344" s="1514">
        <v>2</v>
      </c>
      <c r="B344" s="1516" t="s">
        <v>575</v>
      </c>
      <c r="C344" s="1514" t="s">
        <v>576</v>
      </c>
      <c r="D344" s="1514"/>
      <c r="E344" s="1524"/>
      <c r="F344" s="1524"/>
      <c r="G344" s="1514"/>
      <c r="H344" s="1514"/>
      <c r="I344" s="1514"/>
      <c r="J344" s="1514"/>
      <c r="K344" s="1514" t="s">
        <v>577</v>
      </c>
      <c r="L344" s="1419">
        <v>10000</v>
      </c>
      <c r="M344" s="1516"/>
      <c r="N344" s="1430"/>
      <c r="O344" s="1419">
        <v>10000</v>
      </c>
      <c r="P344" s="1513"/>
      <c r="Q344" s="1513"/>
      <c r="R344" s="1450"/>
      <c r="S344" s="1431"/>
      <c r="T344" s="1431"/>
      <c r="U344" s="1431"/>
      <c r="V344" s="818"/>
      <c r="W344" s="818">
        <f>1610000+30.2+399070-1127000+23955.73+2145.08+1133.6-2145.08-1133.6+258.57</f>
        <v>906314.49999999988</v>
      </c>
      <c r="X344" s="818"/>
      <c r="Y344" s="1430"/>
      <c r="AB344" s="1413"/>
      <c r="AC344" s="1413"/>
      <c r="AG344" s="1510">
        <f>O344*$AH$343/$AH$342</f>
        <v>2.3927182940127211E-3</v>
      </c>
      <c r="AH344" s="1414">
        <f>$AG$342*AG344</f>
        <v>250.22569375126236</v>
      </c>
      <c r="AJ344" s="1414"/>
      <c r="AK344" s="1439" t="s">
        <v>6941</v>
      </c>
      <c r="AL344" s="1440" t="s">
        <v>5791</v>
      </c>
      <c r="AM344" s="1440">
        <v>54</v>
      </c>
      <c r="AN344" s="1441" t="s">
        <v>577</v>
      </c>
      <c r="AO344" s="1441" t="s">
        <v>577</v>
      </c>
      <c r="AP344" s="1442" t="s">
        <v>5621</v>
      </c>
      <c r="AQ344" s="1443">
        <v>10000</v>
      </c>
      <c r="AR344" s="1444" t="s">
        <v>5792</v>
      </c>
      <c r="AS344" s="1444" t="s">
        <v>5793</v>
      </c>
      <c r="AT344" s="1444" t="s">
        <v>5609</v>
      </c>
    </row>
    <row r="345" spans="1:46" ht="10.5" customHeight="1">
      <c r="A345" s="1514"/>
      <c r="B345" s="1516"/>
      <c r="C345" s="1514" t="s">
        <v>578</v>
      </c>
      <c r="D345" s="1514"/>
      <c r="E345" s="1524"/>
      <c r="F345" s="1524"/>
      <c r="G345" s="1514"/>
      <c r="H345" s="1514"/>
      <c r="I345" s="1514"/>
      <c r="J345" s="1514"/>
      <c r="K345" s="1514"/>
      <c r="L345" s="1419">
        <v>1700000</v>
      </c>
      <c r="M345" s="1516"/>
      <c r="N345" s="1430"/>
      <c r="O345" s="1419">
        <v>1700000</v>
      </c>
      <c r="P345" s="1513"/>
      <c r="Q345" s="1513"/>
      <c r="R345" s="1450"/>
      <c r="S345" s="1431"/>
      <c r="T345" s="1431"/>
      <c r="U345" s="1431"/>
      <c r="V345" s="818"/>
      <c r="W345" s="818">
        <f>354140+96428+5133.9+364663.89+192711.39-364663.9-192711.39+43956.28</f>
        <v>499658.17000000004</v>
      </c>
      <c r="X345" s="818"/>
      <c r="Y345" s="1430"/>
      <c r="AB345" s="1413"/>
      <c r="AC345" s="1413"/>
      <c r="AG345" s="1510">
        <f t="shared" ref="AG345:AG352" si="57">O345*$AH$343/$AH$342</f>
        <v>0.40676210998216256</v>
      </c>
      <c r="AH345" s="1414">
        <f t="shared" ref="AH345:AH352" si="58">$AG$342*AG345</f>
        <v>42538.367937714596</v>
      </c>
      <c r="AJ345" s="1414"/>
      <c r="AK345" s="1439" t="s">
        <v>6942</v>
      </c>
      <c r="AL345" s="1440" t="s">
        <v>376</v>
      </c>
      <c r="AM345" s="1440" t="s">
        <v>376</v>
      </c>
      <c r="AN345" s="1444" t="s">
        <v>577</v>
      </c>
      <c r="AO345" s="1444" t="s">
        <v>577</v>
      </c>
      <c r="AP345" s="1442" t="s">
        <v>5621</v>
      </c>
      <c r="AQ345" s="1443">
        <v>1700000</v>
      </c>
      <c r="AR345" s="1444" t="s">
        <v>5794</v>
      </c>
      <c r="AS345" s="1444" t="s">
        <v>5795</v>
      </c>
      <c r="AT345" s="1444" t="s">
        <v>5609</v>
      </c>
    </row>
    <row r="346" spans="1:46" ht="10.5" customHeight="1">
      <c r="A346" s="1514" t="s">
        <v>579</v>
      </c>
      <c r="B346" s="1516"/>
      <c r="C346" s="1514" t="s">
        <v>580</v>
      </c>
      <c r="D346" s="1466">
        <v>19121.2</v>
      </c>
      <c r="E346" s="1524">
        <v>38835</v>
      </c>
      <c r="F346" s="1524">
        <v>38878</v>
      </c>
      <c r="G346" s="1514"/>
      <c r="H346" s="1514"/>
      <c r="I346" s="1514"/>
      <c r="J346" s="1514" t="s">
        <v>581</v>
      </c>
      <c r="K346" s="1514" t="s">
        <v>582</v>
      </c>
      <c r="L346" s="1419">
        <v>1702595.17</v>
      </c>
      <c r="M346" s="1516"/>
      <c r="N346" s="1430"/>
      <c r="O346" s="1419">
        <v>1702595.17</v>
      </c>
      <c r="P346" s="1513"/>
      <c r="Q346" s="1513"/>
      <c r="R346" s="1450"/>
      <c r="S346" s="1431"/>
      <c r="T346" s="1431"/>
      <c r="U346" s="1431"/>
      <c r="V346" s="818"/>
      <c r="W346" s="818">
        <f>19121.2+5141.74+23955.71+363223+365220.57+193005.58-365220.57-193005.58+44023.38</f>
        <v>455465.03</v>
      </c>
      <c r="X346" s="818"/>
      <c r="Y346" s="1430"/>
      <c r="AB346" s="1413"/>
      <c r="AC346" s="1413"/>
      <c r="AG346" s="1510">
        <f t="shared" si="57"/>
        <v>0.40738306105566985</v>
      </c>
      <c r="AH346" s="1414">
        <f t="shared" si="58"/>
        <v>42603.305759079842</v>
      </c>
      <c r="AJ346" s="1414"/>
      <c r="AK346" s="1439" t="s">
        <v>6943</v>
      </c>
      <c r="AL346" s="1440" t="s">
        <v>376</v>
      </c>
      <c r="AM346" s="1440" t="s">
        <v>376</v>
      </c>
      <c r="AN346" s="1444" t="s">
        <v>577</v>
      </c>
      <c r="AO346" s="1444" t="s">
        <v>577</v>
      </c>
      <c r="AP346" s="1442" t="s">
        <v>5748</v>
      </c>
      <c r="AQ346" s="1500">
        <v>1702595.17</v>
      </c>
      <c r="AR346" s="1444" t="s">
        <v>5794</v>
      </c>
      <c r="AS346" s="1442" t="s">
        <v>5796</v>
      </c>
      <c r="AT346" s="1444" t="s">
        <v>5609</v>
      </c>
    </row>
    <row r="347" spans="1:46" ht="10.5" customHeight="1">
      <c r="A347" s="1514"/>
      <c r="B347" s="1516"/>
      <c r="C347" s="1514" t="s">
        <v>583</v>
      </c>
      <c r="D347" s="1514"/>
      <c r="E347" s="1524"/>
      <c r="F347" s="1524"/>
      <c r="G347" s="1514"/>
      <c r="H347" s="1514"/>
      <c r="I347" s="1514"/>
      <c r="J347" s="1514"/>
      <c r="K347" s="1514"/>
      <c r="L347" s="1419"/>
      <c r="M347" s="1516"/>
      <c r="N347" s="1430"/>
      <c r="O347" s="1419">
        <v>200000</v>
      </c>
      <c r="P347" s="1513"/>
      <c r="Q347" s="1513"/>
      <c r="R347" s="1450"/>
      <c r="S347" s="1431"/>
      <c r="T347" s="1431"/>
      <c r="U347" s="1431"/>
      <c r="V347" s="818"/>
      <c r="W347" s="818">
        <f>11296+124800+42901.63+22671.93-42901.63-22671.93+5171.33</f>
        <v>141267.32999999999</v>
      </c>
      <c r="X347" s="818"/>
      <c r="Y347" s="1430"/>
      <c r="AB347" s="1413"/>
      <c r="AC347" s="1413"/>
      <c r="AG347" s="1510">
        <f t="shared" si="57"/>
        <v>4.7854365880254421E-2</v>
      </c>
      <c r="AH347" s="1414">
        <f t="shared" si="58"/>
        <v>5004.5138750252472</v>
      </c>
      <c r="AJ347" s="1414"/>
      <c r="AK347" s="1439" t="s">
        <v>6944</v>
      </c>
      <c r="AL347" s="1440" t="s">
        <v>376</v>
      </c>
      <c r="AM347" s="1440" t="s">
        <v>376</v>
      </c>
      <c r="AN347" s="1444" t="s">
        <v>577</v>
      </c>
      <c r="AO347" s="1444" t="s">
        <v>577</v>
      </c>
      <c r="AP347" s="1442" t="s">
        <v>5748</v>
      </c>
      <c r="AQ347" s="1443">
        <v>200000</v>
      </c>
      <c r="AR347" s="1444" t="s">
        <v>5794</v>
      </c>
      <c r="AS347" s="1442" t="s">
        <v>5796</v>
      </c>
      <c r="AT347" s="1444" t="s">
        <v>5609</v>
      </c>
    </row>
    <row r="348" spans="1:46" ht="10.5" customHeight="1">
      <c r="A348" s="1514"/>
      <c r="B348" s="1516"/>
      <c r="C348" s="1514" t="s">
        <v>584</v>
      </c>
      <c r="D348" s="1514"/>
      <c r="E348" s="1524">
        <v>38954</v>
      </c>
      <c r="F348" s="1524">
        <v>39083</v>
      </c>
      <c r="G348" s="1514">
        <v>738</v>
      </c>
      <c r="H348" s="1514" t="s">
        <v>585</v>
      </c>
      <c r="I348" s="1514">
        <v>40</v>
      </c>
      <c r="J348" s="1514" t="s">
        <v>581</v>
      </c>
      <c r="K348" s="1514" t="s">
        <v>582</v>
      </c>
      <c r="L348" s="1419"/>
      <c r="M348" s="1516"/>
      <c r="N348" s="1430"/>
      <c r="O348" s="1419">
        <v>150000</v>
      </c>
      <c r="P348" s="1513"/>
      <c r="Q348" s="1513"/>
      <c r="R348" s="1450"/>
      <c r="S348" s="1431"/>
      <c r="T348" s="1431"/>
      <c r="U348" s="1431"/>
      <c r="V348" s="818"/>
      <c r="W348" s="818">
        <f>2960000+32176.23+17003.95-32176.23-17003.95+3878.5</f>
        <v>2963878.5</v>
      </c>
      <c r="X348" s="818"/>
      <c r="Y348" s="1430"/>
      <c r="AB348" s="1413"/>
      <c r="AC348" s="1413"/>
      <c r="AG348" s="1510">
        <f t="shared" si="57"/>
        <v>3.5890774410190812E-2</v>
      </c>
      <c r="AH348" s="1414">
        <f t="shared" si="58"/>
        <v>3753.3854062689347</v>
      </c>
      <c r="AJ348" s="1414"/>
      <c r="AK348" s="1439" t="s">
        <v>6945</v>
      </c>
      <c r="AL348" s="1440" t="s">
        <v>376</v>
      </c>
      <c r="AM348" s="1440" t="s">
        <v>376</v>
      </c>
      <c r="AN348" s="1444" t="s">
        <v>582</v>
      </c>
      <c r="AO348" s="1444" t="s">
        <v>582</v>
      </c>
      <c r="AP348" s="1442" t="s">
        <v>5748</v>
      </c>
      <c r="AQ348" s="1443">
        <v>150000</v>
      </c>
      <c r="AR348" s="1444" t="s">
        <v>5797</v>
      </c>
      <c r="AS348" s="1444" t="s">
        <v>5796</v>
      </c>
      <c r="AT348" s="1444" t="s">
        <v>5609</v>
      </c>
    </row>
    <row r="349" spans="1:46" ht="10.5" customHeight="1">
      <c r="A349" s="1514">
        <v>5</v>
      </c>
      <c r="B349" s="1516" t="s">
        <v>586</v>
      </c>
      <c r="C349" s="1514" t="s">
        <v>587</v>
      </c>
      <c r="D349" s="1466">
        <v>6000000.9000000004</v>
      </c>
      <c r="E349" s="1524">
        <v>39044</v>
      </c>
      <c r="F349" s="1524">
        <v>39083</v>
      </c>
      <c r="G349" s="1514">
        <v>653</v>
      </c>
      <c r="H349" s="1514" t="s">
        <v>588</v>
      </c>
      <c r="I349" s="1514">
        <v>92</v>
      </c>
      <c r="J349" s="1514" t="s">
        <v>581</v>
      </c>
      <c r="K349" s="1514" t="s">
        <v>582</v>
      </c>
      <c r="L349" s="1419"/>
      <c r="M349" s="1516"/>
      <c r="N349" s="1430"/>
      <c r="O349" s="1419">
        <v>200000</v>
      </c>
      <c r="P349" s="1513"/>
      <c r="Q349" s="1513"/>
      <c r="R349" s="1450"/>
      <c r="S349" s="1431"/>
      <c r="T349" s="1431"/>
      <c r="U349" s="1431"/>
      <c r="V349" s="818"/>
      <c r="W349" s="818">
        <f>6000000.9+42901.64+22671.93-42901.63-22671.92+5171.33</f>
        <v>6005172.25</v>
      </c>
      <c r="X349" s="818"/>
      <c r="Y349" s="1430"/>
      <c r="AB349" s="1413"/>
      <c r="AC349" s="1413"/>
      <c r="AG349" s="1510">
        <f t="shared" si="57"/>
        <v>4.7854365880254421E-2</v>
      </c>
      <c r="AH349" s="1414">
        <f t="shared" si="58"/>
        <v>5004.5138750252472</v>
      </c>
      <c r="AJ349" s="1414"/>
      <c r="AK349" s="1439" t="s">
        <v>6946</v>
      </c>
      <c r="AL349" s="1440" t="s">
        <v>5703</v>
      </c>
      <c r="AM349" s="1502" t="s">
        <v>5798</v>
      </c>
      <c r="AN349" s="1444" t="s">
        <v>582</v>
      </c>
      <c r="AO349" s="1444" t="s">
        <v>582</v>
      </c>
      <c r="AP349" s="1442" t="s">
        <v>5621</v>
      </c>
      <c r="AQ349" s="1443">
        <v>200000</v>
      </c>
      <c r="AR349" s="1444" t="s">
        <v>5799</v>
      </c>
      <c r="AS349" s="1444" t="s">
        <v>5800</v>
      </c>
      <c r="AT349" s="1444" t="s">
        <v>5609</v>
      </c>
    </row>
    <row r="350" spans="1:46" ht="10.5" hidden="1" customHeight="1">
      <c r="A350" s="1514"/>
      <c r="B350" s="1516"/>
      <c r="C350" s="1514" t="s">
        <v>589</v>
      </c>
      <c r="D350" s="1466"/>
      <c r="E350" s="1524"/>
      <c r="F350" s="1524"/>
      <c r="G350" s="1514"/>
      <c r="H350" s="1514"/>
      <c r="I350" s="1514"/>
      <c r="J350" s="1514"/>
      <c r="K350" s="1514"/>
      <c r="L350" s="1419"/>
      <c r="M350" s="1516"/>
      <c r="N350" s="1432"/>
      <c r="O350" s="1419"/>
      <c r="P350" s="1513"/>
      <c r="Q350" s="1513"/>
      <c r="R350" s="1450"/>
      <c r="S350" s="1431"/>
      <c r="T350" s="1431"/>
      <c r="U350" s="1431"/>
      <c r="V350" s="818"/>
      <c r="W350" s="818"/>
      <c r="X350" s="818"/>
      <c r="Y350" s="1430"/>
      <c r="AB350" s="1413"/>
      <c r="AC350" s="1413"/>
      <c r="AG350" s="1510">
        <f t="shared" si="57"/>
        <v>0</v>
      </c>
      <c r="AH350" s="1414">
        <f t="shared" si="58"/>
        <v>0</v>
      </c>
      <c r="AJ350" s="1414"/>
      <c r="AK350" s="1439"/>
      <c r="AL350" s="1440"/>
      <c r="AM350" s="1502"/>
      <c r="AN350" s="1444"/>
      <c r="AO350" s="1444"/>
      <c r="AP350" s="1442"/>
      <c r="AQ350" s="1443"/>
      <c r="AR350" s="1444"/>
      <c r="AS350" s="1444"/>
      <c r="AT350" s="1444"/>
    </row>
    <row r="351" spans="1:46" ht="10.5" customHeight="1">
      <c r="A351" s="1514"/>
      <c r="B351" s="1516"/>
      <c r="C351" s="1514" t="s">
        <v>590</v>
      </c>
      <c r="D351" s="1466">
        <v>403750</v>
      </c>
      <c r="E351" s="1524">
        <v>39401</v>
      </c>
      <c r="F351" s="1524">
        <v>39845</v>
      </c>
      <c r="G351" s="1514">
        <v>730</v>
      </c>
      <c r="H351" s="1514" t="s">
        <v>313</v>
      </c>
      <c r="I351" s="1514">
        <v>109</v>
      </c>
      <c r="J351" s="1514" t="s">
        <v>577</v>
      </c>
      <c r="K351" s="1514" t="s">
        <v>582</v>
      </c>
      <c r="L351" s="1419"/>
      <c r="M351" s="1516"/>
      <c r="N351" s="1430"/>
      <c r="O351" s="1419">
        <v>21937.5</v>
      </c>
      <c r="P351" s="1513"/>
      <c r="Q351" s="1513"/>
      <c r="R351" s="1450"/>
      <c r="S351" s="1431"/>
      <c r="T351" s="1431"/>
      <c r="U351" s="1431"/>
      <c r="V351" s="818"/>
      <c r="W351" s="818">
        <f>403750+34050.49+4705.77+2486.83-4705.77-2486.83+567.23</f>
        <v>438367.72</v>
      </c>
      <c r="X351" s="818"/>
      <c r="Y351" s="1430"/>
      <c r="AB351" s="1413"/>
      <c r="AC351" s="1413"/>
      <c r="AG351" s="1510">
        <f t="shared" si="57"/>
        <v>5.2490257574904064E-3</v>
      </c>
      <c r="AH351" s="1414">
        <f t="shared" si="58"/>
        <v>548.93261566683168</v>
      </c>
      <c r="AJ351" s="1414"/>
      <c r="AK351" s="1439" t="s">
        <v>6947</v>
      </c>
      <c r="AL351" s="1440" t="s">
        <v>376</v>
      </c>
      <c r="AM351" s="1440" t="s">
        <v>376</v>
      </c>
      <c r="AN351" s="1444" t="s">
        <v>582</v>
      </c>
      <c r="AO351" s="1444" t="s">
        <v>582</v>
      </c>
      <c r="AP351" s="1442" t="s">
        <v>5621</v>
      </c>
      <c r="AQ351" s="1443">
        <v>21937.5</v>
      </c>
      <c r="AR351" s="1444" t="s">
        <v>5801</v>
      </c>
      <c r="AS351" s="1444" t="s">
        <v>5802</v>
      </c>
      <c r="AT351" s="1444" t="s">
        <v>5609</v>
      </c>
    </row>
    <row r="352" spans="1:46" ht="10.5" customHeight="1">
      <c r="A352" s="1514">
        <v>2</v>
      </c>
      <c r="B352" s="1516">
        <v>1</v>
      </c>
      <c r="C352" s="1514" t="s">
        <v>591</v>
      </c>
      <c r="D352" s="1466">
        <v>4800000</v>
      </c>
      <c r="E352" s="1524">
        <v>39965</v>
      </c>
      <c r="F352" s="1524"/>
      <c r="G352" s="1514"/>
      <c r="H352" s="1514"/>
      <c r="I352" s="1514"/>
      <c r="J352" s="1514" t="s">
        <v>577</v>
      </c>
      <c r="K352" s="1514" t="s">
        <v>582</v>
      </c>
      <c r="L352" s="1419"/>
      <c r="M352" s="1516"/>
      <c r="N352" s="1430"/>
      <c r="O352" s="1419">
        <v>60000</v>
      </c>
      <c r="P352" s="1513"/>
      <c r="Q352" s="1513"/>
      <c r="R352" s="1450"/>
      <c r="S352" s="1431"/>
      <c r="T352" s="1431"/>
      <c r="U352" s="1431"/>
      <c r="V352" s="818"/>
      <c r="W352" s="818">
        <f>4800000+12870.49+6801.58-12870.49-6801.58+1551.4</f>
        <v>4801551.4000000004</v>
      </c>
      <c r="X352" s="818"/>
      <c r="Y352" s="1430"/>
      <c r="AB352" s="1413"/>
      <c r="AC352" s="1413"/>
      <c r="AG352" s="1510">
        <f t="shared" si="57"/>
        <v>1.4356309764076326E-2</v>
      </c>
      <c r="AH352" s="1414">
        <f t="shared" si="58"/>
        <v>1501.3541625075741</v>
      </c>
      <c r="AJ352" s="1414"/>
      <c r="AK352" s="1439" t="s">
        <v>6948</v>
      </c>
      <c r="AL352" s="1440" t="s">
        <v>5591</v>
      </c>
      <c r="AM352" s="1502" t="s">
        <v>5691</v>
      </c>
      <c r="AN352" s="1444" t="s">
        <v>582</v>
      </c>
      <c r="AO352" s="1444" t="s">
        <v>582</v>
      </c>
      <c r="AP352" s="1442" t="s">
        <v>5621</v>
      </c>
      <c r="AQ352" s="1443">
        <v>60000</v>
      </c>
      <c r="AR352" s="1444" t="s">
        <v>5803</v>
      </c>
      <c r="AS352" s="1444" t="s">
        <v>5796</v>
      </c>
      <c r="AT352" s="1444" t="s">
        <v>5609</v>
      </c>
    </row>
    <row r="353" spans="1:46" ht="16.5" customHeight="1">
      <c r="A353" s="1430" t="s">
        <v>468</v>
      </c>
      <c r="B353" s="1431">
        <v>54</v>
      </c>
      <c r="C353" s="1514" t="s">
        <v>470</v>
      </c>
      <c r="D353" s="1430"/>
      <c r="E353" s="1430"/>
      <c r="F353" s="1430"/>
      <c r="G353" s="1430"/>
      <c r="H353" s="1430" t="s">
        <v>471</v>
      </c>
      <c r="I353" s="1430"/>
      <c r="J353" s="1430"/>
      <c r="K353" s="1433" t="s">
        <v>472</v>
      </c>
      <c r="L353" s="1433">
        <f>74.75*10000</f>
        <v>747500</v>
      </c>
      <c r="M353" s="1476"/>
      <c r="N353" s="1433"/>
      <c r="O353" s="1434">
        <v>134814.32</v>
      </c>
      <c r="P353" s="1433"/>
      <c r="Q353" s="1433"/>
      <c r="R353" s="793">
        <f>+S353*L353</f>
        <v>4485000</v>
      </c>
      <c r="S353" s="793">
        <v>6</v>
      </c>
      <c r="T353" s="1430" t="s">
        <v>344</v>
      </c>
      <c r="U353" s="1447">
        <v>38108</v>
      </c>
      <c r="V353" s="793"/>
      <c r="W353" s="793">
        <f>1651421.52+16082.49+35954+17222</f>
        <v>1720680.01</v>
      </c>
      <c r="X353" s="793"/>
      <c r="Y353" s="793"/>
      <c r="Z353" s="1405" t="s">
        <v>345</v>
      </c>
      <c r="AB353" s="1413" t="s">
        <v>469</v>
      </c>
      <c r="AC353" s="1413"/>
      <c r="AE353" s="1414">
        <f>O353</f>
        <v>134814.32</v>
      </c>
      <c r="AF353" s="1405">
        <f>(AE353*AF208/AF204)</f>
        <v>0.13560755640116864</v>
      </c>
      <c r="AG353" s="1414">
        <f>$AG$206*AF353</f>
        <v>40829.638432269567</v>
      </c>
      <c r="AJ353" s="1414"/>
      <c r="AK353" s="1439" t="s">
        <v>6949</v>
      </c>
      <c r="AL353" s="1440" t="s">
        <v>5741</v>
      </c>
      <c r="AM353" s="1502" t="s">
        <v>5804</v>
      </c>
      <c r="AN353" s="1444" t="s">
        <v>5743</v>
      </c>
      <c r="AO353" s="1444" t="s">
        <v>5743</v>
      </c>
      <c r="AP353" s="1442" t="s">
        <v>5621</v>
      </c>
      <c r="AQ353" s="1500">
        <v>134814.32</v>
      </c>
      <c r="AR353" s="1444" t="s">
        <v>5805</v>
      </c>
      <c r="AS353" s="1444" t="s">
        <v>5806</v>
      </c>
      <c r="AT353" s="1440" t="s">
        <v>5609</v>
      </c>
    </row>
    <row r="354" spans="1:46" ht="10.5" customHeight="1">
      <c r="A354" s="1514"/>
      <c r="B354" s="1516"/>
      <c r="C354" s="1514"/>
      <c r="D354" s="1466"/>
      <c r="E354" s="1524"/>
      <c r="F354" s="1524"/>
      <c r="G354" s="1514"/>
      <c r="H354" s="1514"/>
      <c r="I354" s="1514"/>
      <c r="J354" s="1514"/>
      <c r="K354" s="1463" t="s">
        <v>98</v>
      </c>
      <c r="L354" s="1419"/>
      <c r="M354" s="1516"/>
      <c r="N354" s="1446">
        <f t="shared" ref="N354:Y354" si="59">SUM(N344:N353)</f>
        <v>0</v>
      </c>
      <c r="O354" s="1446">
        <f t="shared" si="59"/>
        <v>4179346.9899999998</v>
      </c>
      <c r="P354" s="1446">
        <f t="shared" si="59"/>
        <v>0</v>
      </c>
      <c r="Q354" s="1446">
        <f t="shared" si="59"/>
        <v>0</v>
      </c>
      <c r="R354" s="1446">
        <f t="shared" si="59"/>
        <v>4485000</v>
      </c>
      <c r="S354" s="1446">
        <f t="shared" si="59"/>
        <v>6</v>
      </c>
      <c r="T354" s="1446">
        <f t="shared" si="59"/>
        <v>0</v>
      </c>
      <c r="U354" s="1446">
        <f t="shared" si="59"/>
        <v>38108</v>
      </c>
      <c r="V354" s="1446">
        <f t="shared" si="59"/>
        <v>0</v>
      </c>
      <c r="W354" s="1446">
        <f t="shared" si="59"/>
        <v>17932354.910000004</v>
      </c>
      <c r="X354" s="1446">
        <f t="shared" si="59"/>
        <v>0</v>
      </c>
      <c r="Y354" s="1446">
        <f t="shared" si="59"/>
        <v>0</v>
      </c>
      <c r="AB354" s="1413"/>
      <c r="AC354" s="1413"/>
      <c r="AG354" s="1510"/>
      <c r="AH354" s="1414"/>
      <c r="AK354" s="1439"/>
      <c r="AL354" s="1440"/>
      <c r="AM354" s="1502"/>
      <c r="AN354" s="1444"/>
      <c r="AO354" s="1444"/>
      <c r="AP354" s="1442"/>
      <c r="AQ354" s="1500"/>
      <c r="AR354" s="1444"/>
      <c r="AS354" s="1444"/>
      <c r="AT354" s="1440"/>
    </row>
    <row r="355" spans="1:46" ht="10.5" customHeight="1">
      <c r="A355" s="1514"/>
      <c r="B355" s="1516"/>
      <c r="C355" s="1514"/>
      <c r="D355" s="1466"/>
      <c r="E355" s="1524"/>
      <c r="F355" s="1524"/>
      <c r="G355" s="1514"/>
      <c r="H355" s="1514"/>
      <c r="I355" s="1514"/>
      <c r="J355" s="1514"/>
      <c r="K355" s="1514"/>
      <c r="L355" s="1419"/>
      <c r="M355" s="1516"/>
      <c r="N355" s="1430"/>
      <c r="O355" s="1419"/>
      <c r="P355" s="1513"/>
      <c r="Q355" s="1513"/>
      <c r="R355" s="1450"/>
      <c r="S355" s="1431"/>
      <c r="T355" s="1431"/>
      <c r="U355" s="1431"/>
      <c r="V355" s="818"/>
      <c r="W355" s="818"/>
      <c r="X355" s="818"/>
      <c r="Y355" s="1430"/>
      <c r="AB355" s="1413"/>
      <c r="AC355" s="1413"/>
      <c r="AG355" s="1510"/>
      <c r="AH355" s="1414"/>
      <c r="AK355" s="1439"/>
      <c r="AL355" s="1440"/>
      <c r="AM355" s="1502"/>
      <c r="AN355" s="1444"/>
      <c r="AO355" s="1444"/>
      <c r="AP355" s="1442"/>
      <c r="AQ355" s="1500"/>
      <c r="AR355" s="1444"/>
      <c r="AS355" s="1444"/>
      <c r="AT355" s="1440"/>
    </row>
    <row r="356" spans="1:46" s="1407" customFormat="1" ht="10.5" customHeight="1">
      <c r="A356" s="1960" t="s">
        <v>592</v>
      </c>
      <c r="B356" s="1961"/>
      <c r="C356" s="1961"/>
      <c r="D356" s="1961"/>
      <c r="E356" s="1961"/>
      <c r="F356" s="1961"/>
      <c r="G356" s="1961"/>
      <c r="H356" s="1961"/>
      <c r="I356" s="1961"/>
      <c r="J356" s="1961"/>
      <c r="K356" s="1961"/>
      <c r="L356" s="1961"/>
      <c r="M356" s="1961"/>
      <c r="N356" s="1961"/>
      <c r="O356" s="1962"/>
      <c r="P356" s="1408"/>
      <c r="Q356" s="1409"/>
      <c r="R356" s="1410"/>
      <c r="S356" s="1411"/>
      <c r="T356" s="1412"/>
      <c r="U356" s="1410"/>
      <c r="V356" s="789"/>
      <c r="W356" s="790"/>
      <c r="X356" s="790"/>
      <c r="Y356" s="791"/>
      <c r="AB356" s="1465"/>
      <c r="AC356" s="1465"/>
      <c r="AG356" s="1407" t="s">
        <v>287</v>
      </c>
      <c r="AH356" s="1407" t="s">
        <v>280</v>
      </c>
      <c r="AK356" s="1439"/>
      <c r="AL356" s="1440"/>
      <c r="AM356" s="1502"/>
      <c r="AN356" s="1444"/>
      <c r="AO356" s="1444"/>
      <c r="AP356" s="1442"/>
      <c r="AQ356" s="1500"/>
      <c r="AR356" s="1444"/>
      <c r="AS356" s="1444"/>
      <c r="AT356" s="1440"/>
    </row>
    <row r="357" spans="1:46" s="1407" customFormat="1" ht="10.5" customHeight="1">
      <c r="A357" s="1415"/>
      <c r="B357" s="1416"/>
      <c r="C357" s="1417" t="s">
        <v>256</v>
      </c>
      <c r="D357" s="1417" t="s">
        <v>257</v>
      </c>
      <c r="E357" s="1418" t="s">
        <v>258</v>
      </c>
      <c r="F357" s="1418" t="s">
        <v>259</v>
      </c>
      <c r="G357" s="1418" t="s">
        <v>260</v>
      </c>
      <c r="H357" s="1418" t="s">
        <v>261</v>
      </c>
      <c r="I357" s="1418" t="s">
        <v>262</v>
      </c>
      <c r="J357" s="1418" t="s">
        <v>263</v>
      </c>
      <c r="K357" s="1963" t="s">
        <v>264</v>
      </c>
      <c r="L357" s="1964"/>
      <c r="M357" s="1964"/>
      <c r="N357" s="1964" t="s">
        <v>265</v>
      </c>
      <c r="O357" s="1965"/>
      <c r="P357" s="1466"/>
      <c r="Q357" s="1467"/>
      <c r="R357" s="1421" t="s">
        <v>266</v>
      </c>
      <c r="S357" s="1421" t="s">
        <v>267</v>
      </c>
      <c r="T357" s="1421"/>
      <c r="U357" s="1421"/>
      <c r="V357" s="1966" t="s">
        <v>268</v>
      </c>
      <c r="W357" s="1967"/>
      <c r="X357" s="1967"/>
      <c r="Y357" s="1968"/>
      <c r="AB357" s="1465"/>
      <c r="AC357" s="1465"/>
      <c r="AG357" s="1490">
        <v>10305.84</v>
      </c>
      <c r="AH357" s="1490">
        <f>SUM(O359:O361)</f>
        <v>140000</v>
      </c>
      <c r="AK357" s="1439"/>
      <c r="AL357" s="1440"/>
      <c r="AM357" s="1502"/>
      <c r="AN357" s="1444"/>
      <c r="AO357" s="1444"/>
      <c r="AP357" s="1442"/>
      <c r="AQ357" s="1500"/>
      <c r="AR357" s="1444"/>
      <c r="AS357" s="1444"/>
      <c r="AT357" s="1440"/>
    </row>
    <row r="358" spans="1:46" s="1407" customFormat="1" ht="10.5" customHeight="1">
      <c r="A358" s="1427" t="s">
        <v>269</v>
      </c>
      <c r="B358" s="1421" t="s">
        <v>270</v>
      </c>
      <c r="C358" s="1427" t="s">
        <v>271</v>
      </c>
      <c r="D358" s="1427"/>
      <c r="E358" s="1427"/>
      <c r="F358" s="1427"/>
      <c r="G358" s="1427"/>
      <c r="H358" s="1427"/>
      <c r="I358" s="1427"/>
      <c r="J358" s="1427"/>
      <c r="K358" s="1427" t="s">
        <v>272</v>
      </c>
      <c r="L358" s="1420" t="s">
        <v>273</v>
      </c>
      <c r="M358" s="1421" t="s">
        <v>274</v>
      </c>
      <c r="N358" s="1421" t="s">
        <v>275</v>
      </c>
      <c r="O358" s="1421" t="s">
        <v>276</v>
      </c>
      <c r="P358" s="1428" t="s">
        <v>277</v>
      </c>
      <c r="Q358" s="1428" t="s">
        <v>278</v>
      </c>
      <c r="R358" s="1429" t="s">
        <v>279</v>
      </c>
      <c r="S358" s="1462" t="s">
        <v>280</v>
      </c>
      <c r="T358" s="1462" t="s">
        <v>281</v>
      </c>
      <c r="U358" s="1462" t="s">
        <v>282</v>
      </c>
      <c r="V358" s="792" t="s">
        <v>283</v>
      </c>
      <c r="W358" s="792" t="s">
        <v>284</v>
      </c>
      <c r="X358" s="792" t="s">
        <v>285</v>
      </c>
      <c r="Y358" s="792" t="s">
        <v>286</v>
      </c>
      <c r="AB358" s="1465"/>
      <c r="AC358" s="1465"/>
      <c r="AH358" s="1539">
        <v>1</v>
      </c>
      <c r="AK358" s="1439"/>
      <c r="AL358" s="1440"/>
      <c r="AM358" s="1502"/>
      <c r="AN358" s="1444"/>
      <c r="AO358" s="1444"/>
      <c r="AP358" s="1442"/>
      <c r="AQ358" s="1500"/>
      <c r="AR358" s="1444"/>
      <c r="AS358" s="1444"/>
      <c r="AT358" s="1440"/>
    </row>
    <row r="359" spans="1:46" ht="10.5" customHeight="1">
      <c r="A359" s="1514"/>
      <c r="B359" s="1516">
        <v>597</v>
      </c>
      <c r="C359" s="1514" t="s">
        <v>593</v>
      </c>
      <c r="D359" s="1466">
        <v>15000000</v>
      </c>
      <c r="E359" s="1524">
        <v>39309</v>
      </c>
      <c r="F359" s="1524">
        <v>39447</v>
      </c>
      <c r="G359" s="1514"/>
      <c r="H359" s="1514"/>
      <c r="I359" s="1514"/>
      <c r="J359" s="1514" t="s">
        <v>594</v>
      </c>
      <c r="K359" s="1514" t="s">
        <v>577</v>
      </c>
      <c r="L359" s="1419"/>
      <c r="M359" s="1516"/>
      <c r="N359" s="1432">
        <f>100000-1500</f>
        <v>98500</v>
      </c>
      <c r="O359" s="1419">
        <f>200000-60000</f>
        <v>140000</v>
      </c>
      <c r="P359" s="1513"/>
      <c r="Q359" s="1513"/>
      <c r="R359" s="1450"/>
      <c r="S359" s="1431"/>
      <c r="T359" s="1431"/>
      <c r="U359" s="1431"/>
      <c r="V359" s="818"/>
      <c r="W359" s="818">
        <f>10000000-3000002.5+867585.3+458486.78+1563653.15</f>
        <v>9889722.7300000004</v>
      </c>
      <c r="X359" s="818"/>
      <c r="Y359" s="818">
        <f>15000000+312000+60545.34+1878391.38+566918.18+437627.16+737278.84+859177.6+383893.66+519870.05+479389.05+479831.18+1551249.72+594580.94+1369353.96+438240+1022560-10000000-250363.61</f>
        <v>16440543.450000003</v>
      </c>
      <c r="AB359" s="1413"/>
      <c r="AC359" s="1413"/>
      <c r="AG359" s="1510"/>
      <c r="AH359" s="1414"/>
      <c r="AK359" s="1439" t="s">
        <v>6950</v>
      </c>
      <c r="AL359" s="1440" t="s">
        <v>376</v>
      </c>
      <c r="AM359" s="1440" t="s">
        <v>376</v>
      </c>
      <c r="AN359" s="1444" t="s">
        <v>577</v>
      </c>
      <c r="AO359" s="1444" t="s">
        <v>577</v>
      </c>
      <c r="AP359" s="1442" t="s">
        <v>5621</v>
      </c>
      <c r="AQ359" s="1443">
        <v>139999.95000000001</v>
      </c>
      <c r="AR359" s="1444" t="s">
        <v>5807</v>
      </c>
      <c r="AS359" s="1444" t="s">
        <v>5808</v>
      </c>
      <c r="AT359" s="1444" t="s">
        <v>5609</v>
      </c>
    </row>
    <row r="360" spans="1:46" ht="10.5" hidden="1" customHeight="1">
      <c r="A360" s="1514"/>
      <c r="B360" s="1516"/>
      <c r="C360" s="1514"/>
      <c r="D360" s="1466"/>
      <c r="E360" s="1524"/>
      <c r="F360" s="1524"/>
      <c r="G360" s="1514"/>
      <c r="H360" s="1514"/>
      <c r="I360" s="1514"/>
      <c r="J360" s="1514"/>
      <c r="K360" s="1514"/>
      <c r="L360" s="1419"/>
      <c r="M360" s="1516"/>
      <c r="N360" s="1430"/>
      <c r="O360" s="1419"/>
      <c r="P360" s="1513"/>
      <c r="Q360" s="1513"/>
      <c r="R360" s="1450"/>
      <c r="S360" s="1431"/>
      <c r="T360" s="1431"/>
      <c r="U360" s="1431"/>
      <c r="V360" s="818"/>
      <c r="W360" s="818"/>
      <c r="X360" s="818"/>
      <c r="Y360" s="1430"/>
      <c r="AB360" s="1413"/>
      <c r="AC360" s="1413"/>
      <c r="AG360" s="1510"/>
      <c r="AH360" s="1414"/>
      <c r="AK360" s="1439"/>
      <c r="AL360" s="1440"/>
      <c r="AM360" s="1440"/>
      <c r="AN360" s="1444"/>
      <c r="AO360" s="1444"/>
      <c r="AP360" s="1442"/>
      <c r="AQ360" s="1443"/>
      <c r="AR360" s="1444"/>
      <c r="AS360" s="1444"/>
      <c r="AT360" s="1444"/>
    </row>
    <row r="361" spans="1:46" ht="10.5" hidden="1" customHeight="1">
      <c r="A361" s="1514"/>
      <c r="B361" s="1516"/>
      <c r="C361" s="1514"/>
      <c r="D361" s="1466"/>
      <c r="E361" s="1524"/>
      <c r="F361" s="1524"/>
      <c r="G361" s="1514"/>
      <c r="H361" s="1514"/>
      <c r="I361" s="1514"/>
      <c r="J361" s="1514"/>
      <c r="K361" s="1514"/>
      <c r="L361" s="1419"/>
      <c r="M361" s="1516"/>
      <c r="N361" s="1430"/>
      <c r="O361" s="1419"/>
      <c r="P361" s="1513"/>
      <c r="Q361" s="1513"/>
      <c r="R361" s="1450"/>
      <c r="S361" s="1431"/>
      <c r="T361" s="1431"/>
      <c r="U361" s="1431"/>
      <c r="V361" s="818"/>
      <c r="W361" s="818"/>
      <c r="X361" s="818"/>
      <c r="Y361" s="1430"/>
      <c r="AB361" s="1413"/>
      <c r="AC361" s="1413"/>
      <c r="AG361" s="1510"/>
      <c r="AH361" s="1414"/>
      <c r="AK361" s="1439"/>
      <c r="AL361" s="1440"/>
      <c r="AM361" s="1440"/>
      <c r="AN361" s="1444"/>
      <c r="AO361" s="1444"/>
      <c r="AP361" s="1442"/>
      <c r="AQ361" s="1443"/>
      <c r="AR361" s="1444"/>
      <c r="AS361" s="1444"/>
      <c r="AT361" s="1444"/>
    </row>
    <row r="362" spans="1:46" ht="10.5" hidden="1" customHeight="1">
      <c r="A362" s="1514"/>
      <c r="B362" s="1516"/>
      <c r="C362" s="1514"/>
      <c r="D362" s="1466"/>
      <c r="E362" s="1524"/>
      <c r="F362" s="1524"/>
      <c r="G362" s="1514"/>
      <c r="H362" s="1514"/>
      <c r="I362" s="1514"/>
      <c r="J362" s="1514"/>
      <c r="K362" s="1514"/>
      <c r="L362" s="1419"/>
      <c r="M362" s="1516"/>
      <c r="N362" s="1430"/>
      <c r="O362" s="1419"/>
      <c r="P362" s="1513"/>
      <c r="Q362" s="1513"/>
      <c r="R362" s="1450"/>
      <c r="S362" s="1431"/>
      <c r="T362" s="1431"/>
      <c r="U362" s="1431"/>
      <c r="V362" s="818"/>
      <c r="W362" s="818"/>
      <c r="X362" s="818"/>
      <c r="Y362" s="1430"/>
      <c r="AB362" s="1413"/>
      <c r="AC362" s="1413"/>
      <c r="AG362" s="1510"/>
      <c r="AH362" s="1414"/>
      <c r="AK362" s="1439"/>
      <c r="AL362" s="1440"/>
      <c r="AM362" s="1440"/>
      <c r="AN362" s="1444"/>
      <c r="AO362" s="1444"/>
      <c r="AP362" s="1442"/>
      <c r="AQ362" s="1443"/>
      <c r="AR362" s="1444"/>
      <c r="AS362" s="1444"/>
      <c r="AT362" s="1444"/>
    </row>
    <row r="363" spans="1:46" ht="10.5" hidden="1" customHeight="1">
      <c r="A363" s="1514"/>
      <c r="B363" s="1516"/>
      <c r="C363" s="1514"/>
      <c r="D363" s="1466"/>
      <c r="E363" s="1524"/>
      <c r="F363" s="1524"/>
      <c r="G363" s="1514"/>
      <c r="H363" s="1514"/>
      <c r="I363" s="1514"/>
      <c r="J363" s="1514"/>
      <c r="K363" s="1514"/>
      <c r="L363" s="1419"/>
      <c r="M363" s="1516"/>
      <c r="N363" s="1430"/>
      <c r="O363" s="1419"/>
      <c r="P363" s="1513"/>
      <c r="Q363" s="1513"/>
      <c r="R363" s="1450"/>
      <c r="S363" s="1431"/>
      <c r="T363" s="1431"/>
      <c r="U363" s="1431"/>
      <c r="V363" s="818"/>
      <c r="W363" s="818"/>
      <c r="X363" s="818"/>
      <c r="Y363" s="1430"/>
      <c r="AB363" s="1413"/>
      <c r="AC363" s="1413"/>
      <c r="AG363" s="1510"/>
      <c r="AH363" s="1414"/>
      <c r="AK363" s="1439"/>
      <c r="AL363" s="1440"/>
      <c r="AM363" s="1440"/>
      <c r="AN363" s="1444"/>
      <c r="AO363" s="1444"/>
      <c r="AP363" s="1442"/>
      <c r="AQ363" s="1443"/>
      <c r="AR363" s="1444"/>
      <c r="AS363" s="1444"/>
      <c r="AT363" s="1444"/>
    </row>
    <row r="364" spans="1:46" ht="10.5" customHeight="1">
      <c r="A364" s="1430"/>
      <c r="B364" s="1431"/>
      <c r="C364" s="1430"/>
      <c r="D364" s="1430"/>
      <c r="E364" s="1447"/>
      <c r="F364" s="1447"/>
      <c r="G364" s="1430"/>
      <c r="H364" s="1430"/>
      <c r="I364" s="1430"/>
      <c r="J364" s="1430"/>
      <c r="K364" s="1433"/>
      <c r="L364" s="1433"/>
      <c r="M364" s="1433"/>
      <c r="N364" s="1433"/>
      <c r="O364" s="1434"/>
      <c r="P364" s="1433"/>
      <c r="Q364" s="1433"/>
      <c r="R364" s="793"/>
      <c r="S364" s="1435"/>
      <c r="T364" s="1436"/>
      <c r="U364" s="1437"/>
      <c r="V364" s="793"/>
      <c r="W364" s="793"/>
      <c r="X364" s="793"/>
      <c r="Y364" s="793"/>
      <c r="AB364" s="1413"/>
      <c r="AC364" s="1413"/>
      <c r="AK364" s="1439"/>
      <c r="AL364" s="1440"/>
      <c r="AM364" s="1440"/>
      <c r="AN364" s="1444"/>
      <c r="AO364" s="1444"/>
      <c r="AP364" s="1442"/>
      <c r="AQ364" s="1443"/>
      <c r="AR364" s="1444"/>
      <c r="AS364" s="1444"/>
      <c r="AT364" s="1444"/>
    </row>
    <row r="365" spans="1:46" s="1407" customFormat="1" ht="10.5" customHeight="1">
      <c r="A365" s="1449"/>
      <c r="B365" s="1450"/>
      <c r="C365" s="1499" t="s">
        <v>573</v>
      </c>
      <c r="D365" s="1499"/>
      <c r="E365" s="1499"/>
      <c r="F365" s="1499"/>
      <c r="G365" s="1499"/>
      <c r="H365" s="1499"/>
      <c r="I365" s="1499"/>
      <c r="J365" s="1499"/>
      <c r="K365" s="1463" t="s">
        <v>98</v>
      </c>
      <c r="L365" s="1460">
        <f>SUM(L342:L364)</f>
        <v>4160095.17</v>
      </c>
      <c r="M365" s="1460">
        <f>SUM(M364:M364)</f>
        <v>0</v>
      </c>
      <c r="N365" s="1460">
        <f>SUM(N355:N364)</f>
        <v>98500</v>
      </c>
      <c r="O365" s="1460">
        <f t="shared" ref="O365:Y365" si="60">SUM(O355:O364)</f>
        <v>140000</v>
      </c>
      <c r="P365" s="1460">
        <f t="shared" si="60"/>
        <v>0</v>
      </c>
      <c r="Q365" s="1460">
        <f t="shared" si="60"/>
        <v>0</v>
      </c>
      <c r="R365" s="1460">
        <f t="shared" si="60"/>
        <v>0</v>
      </c>
      <c r="S365" s="1460">
        <f t="shared" si="60"/>
        <v>0</v>
      </c>
      <c r="T365" s="1460">
        <f t="shared" si="60"/>
        <v>0</v>
      </c>
      <c r="U365" s="1460">
        <f t="shared" si="60"/>
        <v>0</v>
      </c>
      <c r="V365" s="1460">
        <f t="shared" si="60"/>
        <v>0</v>
      </c>
      <c r="W365" s="1460">
        <f t="shared" si="60"/>
        <v>9889722.7300000004</v>
      </c>
      <c r="X365" s="1460">
        <f t="shared" si="60"/>
        <v>0</v>
      </c>
      <c r="Y365" s="1460">
        <f t="shared" si="60"/>
        <v>16440543.450000003</v>
      </c>
      <c r="AB365" s="1465"/>
      <c r="AC365" s="1465"/>
      <c r="AK365" s="1439"/>
      <c r="AL365" s="1440"/>
      <c r="AM365" s="1440"/>
      <c r="AN365" s="1444"/>
      <c r="AO365" s="1444"/>
      <c r="AP365" s="1442"/>
      <c r="AQ365" s="1443"/>
      <c r="AR365" s="1444"/>
      <c r="AS365" s="1444"/>
      <c r="AT365" s="1444"/>
    </row>
    <row r="366" spans="1:46" s="1407" customFormat="1" ht="10.5" customHeight="1">
      <c r="K366" s="1459" t="s">
        <v>365</v>
      </c>
      <c r="L366" s="1490">
        <f>L365</f>
        <v>4160095.17</v>
      </c>
      <c r="M366" s="1490">
        <f>M365</f>
        <v>0</v>
      </c>
      <c r="N366" s="1490">
        <f>N354+N365</f>
        <v>98500</v>
      </c>
      <c r="O366" s="1490">
        <f t="shared" ref="O366:Y366" si="61">O354+O365</f>
        <v>4319346.99</v>
      </c>
      <c r="P366" s="1490">
        <f t="shared" si="61"/>
        <v>0</v>
      </c>
      <c r="Q366" s="1490">
        <f t="shared" si="61"/>
        <v>0</v>
      </c>
      <c r="R366" s="1490">
        <f t="shared" si="61"/>
        <v>4485000</v>
      </c>
      <c r="S366" s="1490">
        <f t="shared" si="61"/>
        <v>6</v>
      </c>
      <c r="T366" s="1490">
        <f t="shared" si="61"/>
        <v>0</v>
      </c>
      <c r="U366" s="1490">
        <f t="shared" si="61"/>
        <v>38108</v>
      </c>
      <c r="V366" s="1490">
        <f t="shared" si="61"/>
        <v>0</v>
      </c>
      <c r="W366" s="1490">
        <f t="shared" si="61"/>
        <v>27822077.640000004</v>
      </c>
      <c r="X366" s="1490">
        <f t="shared" si="61"/>
        <v>0</v>
      </c>
      <c r="Y366" s="1490">
        <f t="shared" si="61"/>
        <v>16440543.450000003</v>
      </c>
      <c r="AB366" s="1465"/>
      <c r="AC366" s="1465"/>
      <c r="AK366" s="1439"/>
      <c r="AL366" s="1440"/>
      <c r="AM366" s="1440"/>
      <c r="AN366" s="1444"/>
      <c r="AO366" s="1444"/>
      <c r="AP366" s="1442"/>
      <c r="AQ366" s="1443"/>
      <c r="AR366" s="1444"/>
      <c r="AS366" s="1444"/>
      <c r="AT366" s="1444"/>
    </row>
    <row r="367" spans="1:46" s="1407" customFormat="1" ht="10.5" customHeight="1">
      <c r="K367" s="1459"/>
      <c r="L367" s="1490"/>
      <c r="M367" s="1490"/>
      <c r="N367" s="1490"/>
      <c r="O367" s="1490"/>
      <c r="P367" s="1490"/>
      <c r="Q367" s="1490"/>
      <c r="R367" s="1490"/>
      <c r="S367" s="1490"/>
      <c r="T367" s="1490"/>
      <c r="U367" s="1490"/>
      <c r="V367" s="1490"/>
      <c r="W367" s="1490"/>
      <c r="X367" s="1490"/>
      <c r="Y367" s="1490"/>
      <c r="AB367" s="1465"/>
      <c r="AC367" s="1465"/>
      <c r="AK367" s="1439"/>
      <c r="AL367" s="1440"/>
      <c r="AM367" s="1440"/>
      <c r="AN367" s="1444"/>
      <c r="AO367" s="1444"/>
      <c r="AP367" s="1442"/>
      <c r="AQ367" s="1443"/>
      <c r="AR367" s="1444"/>
      <c r="AS367" s="1444"/>
      <c r="AT367" s="1444"/>
    </row>
    <row r="368" spans="1:46" s="1407" customFormat="1" ht="10.5" customHeight="1">
      <c r="K368" s="1459"/>
      <c r="L368" s="1490"/>
      <c r="M368" s="1490"/>
      <c r="N368" s="1490"/>
      <c r="O368" s="1490"/>
      <c r="P368" s="1490"/>
      <c r="Q368" s="1490"/>
      <c r="R368" s="1490"/>
      <c r="S368" s="1490"/>
      <c r="T368" s="1490"/>
      <c r="U368" s="1490"/>
      <c r="V368" s="1490"/>
      <c r="W368" s="1490"/>
      <c r="X368" s="1490"/>
      <c r="Y368" s="1490"/>
      <c r="AB368" s="1465"/>
      <c r="AC368" s="1465"/>
      <c r="AK368" s="1439"/>
      <c r="AL368" s="1440"/>
      <c r="AM368" s="1440"/>
      <c r="AN368" s="1444"/>
      <c r="AO368" s="1444"/>
      <c r="AP368" s="1442"/>
      <c r="AQ368" s="1443"/>
      <c r="AR368" s="1444"/>
      <c r="AS368" s="1444"/>
      <c r="AT368" s="1444"/>
    </row>
    <row r="369" spans="1:46" s="1407" customFormat="1" ht="10.5" customHeight="1">
      <c r="K369" s="1459"/>
      <c r="L369" s="1490"/>
      <c r="M369" s="1490"/>
      <c r="N369" s="1490"/>
      <c r="O369" s="1490"/>
      <c r="P369" s="1490"/>
      <c r="Q369" s="1490"/>
      <c r="R369" s="1490"/>
      <c r="S369" s="1490"/>
      <c r="T369" s="1490"/>
      <c r="U369" s="1490"/>
      <c r="V369" s="1490"/>
      <c r="W369" s="1490"/>
      <c r="X369" s="1490"/>
      <c r="Y369" s="1490"/>
      <c r="AB369" s="1465"/>
      <c r="AC369" s="1465"/>
      <c r="AK369" s="1439"/>
      <c r="AL369" s="1440"/>
      <c r="AM369" s="1440"/>
      <c r="AN369" s="1444"/>
      <c r="AO369" s="1444"/>
      <c r="AP369" s="1442"/>
      <c r="AQ369" s="1443"/>
      <c r="AR369" s="1444"/>
      <c r="AS369" s="1444"/>
      <c r="AT369" s="1444"/>
    </row>
    <row r="370" spans="1:46" s="1407" customFormat="1" ht="10.5" customHeight="1">
      <c r="A370" s="1960" t="s">
        <v>595</v>
      </c>
      <c r="B370" s="1961"/>
      <c r="C370" s="1961"/>
      <c r="D370" s="1961"/>
      <c r="E370" s="1961"/>
      <c r="F370" s="1961"/>
      <c r="G370" s="1961"/>
      <c r="H370" s="1961"/>
      <c r="I370" s="1961"/>
      <c r="J370" s="1961"/>
      <c r="K370" s="1961"/>
      <c r="L370" s="1961"/>
      <c r="M370" s="1961"/>
      <c r="N370" s="1961"/>
      <c r="O370" s="1962"/>
      <c r="P370" s="1408"/>
      <c r="Q370" s="1409"/>
      <c r="R370" s="1410"/>
      <c r="S370" s="1411"/>
      <c r="T370" s="1412"/>
      <c r="U370" s="1410"/>
      <c r="V370" s="789"/>
      <c r="W370" s="790"/>
      <c r="X370" s="790"/>
      <c r="Y370" s="791"/>
      <c r="AB370" s="1465"/>
      <c r="AC370" s="1465"/>
      <c r="AG370" s="1407" t="s">
        <v>287</v>
      </c>
      <c r="AH370" s="1407" t="s">
        <v>280</v>
      </c>
      <c r="AK370" s="1439"/>
      <c r="AL370" s="1440"/>
      <c r="AM370" s="1440"/>
      <c r="AN370" s="1444"/>
      <c r="AO370" s="1444"/>
      <c r="AP370" s="1442"/>
      <c r="AQ370" s="1443"/>
      <c r="AR370" s="1444"/>
      <c r="AS370" s="1444"/>
      <c r="AT370" s="1444"/>
    </row>
    <row r="371" spans="1:46" s="1407" customFormat="1" ht="10.5" customHeight="1">
      <c r="A371" s="1415"/>
      <c r="B371" s="1416"/>
      <c r="C371" s="1417" t="s">
        <v>256</v>
      </c>
      <c r="D371" s="1417" t="s">
        <v>257</v>
      </c>
      <c r="E371" s="1418" t="s">
        <v>258</v>
      </c>
      <c r="F371" s="1418" t="s">
        <v>259</v>
      </c>
      <c r="G371" s="1418" t="s">
        <v>260</v>
      </c>
      <c r="H371" s="1418" t="s">
        <v>261</v>
      </c>
      <c r="I371" s="1418" t="s">
        <v>262</v>
      </c>
      <c r="J371" s="1418" t="s">
        <v>263</v>
      </c>
      <c r="K371" s="1963" t="s">
        <v>264</v>
      </c>
      <c r="L371" s="1964"/>
      <c r="M371" s="1964"/>
      <c r="N371" s="1964" t="s">
        <v>265</v>
      </c>
      <c r="O371" s="1965"/>
      <c r="P371" s="1466"/>
      <c r="Q371" s="1467"/>
      <c r="R371" s="1421" t="s">
        <v>266</v>
      </c>
      <c r="S371" s="1421" t="s">
        <v>267</v>
      </c>
      <c r="T371" s="1421"/>
      <c r="U371" s="1421"/>
      <c r="V371" s="1966" t="s">
        <v>268</v>
      </c>
      <c r="W371" s="1967"/>
      <c r="X371" s="1967"/>
      <c r="Y371" s="1968"/>
      <c r="AB371" s="1465"/>
      <c r="AC371" s="1465"/>
      <c r="AG371" s="1490">
        <v>10305.84</v>
      </c>
      <c r="AH371" s="1490">
        <f>SUM(N373:N375)</f>
        <v>0</v>
      </c>
      <c r="AK371" s="1439"/>
      <c r="AL371" s="1440"/>
      <c r="AM371" s="1440"/>
      <c r="AN371" s="1444"/>
      <c r="AO371" s="1444"/>
      <c r="AP371" s="1442"/>
      <c r="AQ371" s="1443"/>
      <c r="AR371" s="1444"/>
      <c r="AS371" s="1444"/>
      <c r="AT371" s="1444"/>
    </row>
    <row r="372" spans="1:46" s="1407" customFormat="1" ht="10.5" customHeight="1">
      <c r="A372" s="1427" t="s">
        <v>269</v>
      </c>
      <c r="B372" s="1421" t="s">
        <v>270</v>
      </c>
      <c r="C372" s="1427" t="s">
        <v>271</v>
      </c>
      <c r="D372" s="1427"/>
      <c r="E372" s="1427"/>
      <c r="F372" s="1427"/>
      <c r="G372" s="1427"/>
      <c r="H372" s="1427"/>
      <c r="I372" s="1427"/>
      <c r="J372" s="1427"/>
      <c r="K372" s="1427" t="s">
        <v>272</v>
      </c>
      <c r="L372" s="1420" t="s">
        <v>273</v>
      </c>
      <c r="M372" s="1421" t="s">
        <v>274</v>
      </c>
      <c r="N372" s="1421" t="s">
        <v>275</v>
      </c>
      <c r="O372" s="1421" t="s">
        <v>276</v>
      </c>
      <c r="P372" s="1428" t="s">
        <v>277</v>
      </c>
      <c r="Q372" s="1428" t="s">
        <v>278</v>
      </c>
      <c r="R372" s="1429" t="s">
        <v>279</v>
      </c>
      <c r="S372" s="1462" t="s">
        <v>280</v>
      </c>
      <c r="T372" s="1462" t="s">
        <v>281</v>
      </c>
      <c r="U372" s="1462" t="s">
        <v>282</v>
      </c>
      <c r="V372" s="792" t="s">
        <v>283</v>
      </c>
      <c r="W372" s="792" t="s">
        <v>284</v>
      </c>
      <c r="X372" s="792" t="s">
        <v>285</v>
      </c>
      <c r="Y372" s="792" t="s">
        <v>286</v>
      </c>
      <c r="AB372" s="1465"/>
      <c r="AC372" s="1465"/>
      <c r="AH372" s="1539">
        <v>1</v>
      </c>
      <c r="AK372" s="1439"/>
      <c r="AL372" s="1440"/>
      <c r="AM372" s="1440"/>
      <c r="AN372" s="1444"/>
      <c r="AO372" s="1444"/>
      <c r="AP372" s="1442"/>
      <c r="AQ372" s="1443"/>
      <c r="AR372" s="1444"/>
      <c r="AS372" s="1444"/>
      <c r="AT372" s="1444"/>
    </row>
    <row r="373" spans="1:46" ht="10.5" hidden="1" customHeight="1">
      <c r="A373" s="1514"/>
      <c r="B373" s="1516"/>
      <c r="C373" s="1514" t="s">
        <v>596</v>
      </c>
      <c r="D373" s="1466">
        <v>1250385.5</v>
      </c>
      <c r="E373" s="1524">
        <v>40329</v>
      </c>
      <c r="F373" s="1524">
        <v>40289</v>
      </c>
      <c r="G373" s="1514"/>
      <c r="H373" s="1514"/>
      <c r="I373" s="1514"/>
      <c r="J373" s="1514" t="s">
        <v>597</v>
      </c>
      <c r="K373" s="1514" t="s">
        <v>598</v>
      </c>
      <c r="L373" s="1419">
        <v>10000</v>
      </c>
      <c r="M373" s="1516"/>
      <c r="N373" s="1419"/>
      <c r="O373" s="1419">
        <f>16671.82-16671.82</f>
        <v>0</v>
      </c>
      <c r="P373" s="1513"/>
      <c r="Q373" s="1513"/>
      <c r="R373" s="1450"/>
      <c r="S373" s="1431"/>
      <c r="T373" s="1431"/>
      <c r="U373" s="1431"/>
      <c r="V373" s="818"/>
      <c r="W373" s="1466">
        <f>1250385.5-1250385.5</f>
        <v>0</v>
      </c>
      <c r="X373" s="818"/>
      <c r="Y373" s="818"/>
      <c r="AB373" s="1413"/>
      <c r="AC373" s="1413"/>
      <c r="AG373" s="1510" t="e">
        <f>(N373*AH372)/AH371</f>
        <v>#DIV/0!</v>
      </c>
      <c r="AH373" s="1414" t="e">
        <f>AG371*AG373</f>
        <v>#DIV/0!</v>
      </c>
      <c r="AK373" s="1439"/>
      <c r="AL373" s="1440"/>
      <c r="AM373" s="1440"/>
      <c r="AN373" s="1444"/>
      <c r="AO373" s="1444"/>
      <c r="AP373" s="1442"/>
      <c r="AQ373" s="1443"/>
      <c r="AR373" s="1444"/>
      <c r="AS373" s="1444"/>
      <c r="AT373" s="1444"/>
    </row>
    <row r="374" spans="1:46" ht="10.5" hidden="1" customHeight="1">
      <c r="A374" s="1514" t="s">
        <v>599</v>
      </c>
      <c r="B374" s="1516">
        <v>105</v>
      </c>
      <c r="C374" s="1514" t="s">
        <v>600</v>
      </c>
      <c r="D374" s="1466">
        <v>1000000</v>
      </c>
      <c r="E374" s="1524">
        <v>40329</v>
      </c>
      <c r="F374" s="1524">
        <v>40289</v>
      </c>
      <c r="G374" s="1514"/>
      <c r="H374" s="1514"/>
      <c r="I374" s="1514"/>
      <c r="J374" s="1514" t="s">
        <v>597</v>
      </c>
      <c r="K374" s="1514" t="s">
        <v>598</v>
      </c>
      <c r="L374" s="1419">
        <v>1700000</v>
      </c>
      <c r="M374" s="1516"/>
      <c r="N374" s="1419"/>
      <c r="O374" s="1419">
        <f>8781.44-8781.44</f>
        <v>0</v>
      </c>
      <c r="P374" s="1513"/>
      <c r="Q374" s="1513"/>
      <c r="R374" s="1450"/>
      <c r="S374" s="1431"/>
      <c r="T374" s="1431"/>
      <c r="U374" s="1431"/>
      <c r="V374" s="818"/>
      <c r="W374" s="1466">
        <f>1000000-1000000</f>
        <v>0</v>
      </c>
      <c r="X374" s="818"/>
      <c r="Y374" s="818"/>
      <c r="AB374" s="1413"/>
      <c r="AC374" s="1413"/>
      <c r="AG374" s="1510" t="e">
        <f>(N374*AH372)/AH371</f>
        <v>#DIV/0!</v>
      </c>
      <c r="AH374" s="1414" t="e">
        <f>AG371*AG374</f>
        <v>#DIV/0!</v>
      </c>
      <c r="AK374" s="1439"/>
      <c r="AL374" s="1440"/>
      <c r="AM374" s="1440"/>
      <c r="AN374" s="1444"/>
      <c r="AO374" s="1444"/>
      <c r="AP374" s="1442"/>
      <c r="AQ374" s="1443"/>
      <c r="AR374" s="1444"/>
      <c r="AS374" s="1444"/>
      <c r="AT374" s="1444"/>
    </row>
    <row r="375" spans="1:46" ht="10.5" hidden="1" customHeight="1">
      <c r="A375" s="1514" t="s">
        <v>601</v>
      </c>
      <c r="B375" s="1516">
        <v>98</v>
      </c>
      <c r="C375" s="1514" t="s">
        <v>602</v>
      </c>
      <c r="D375" s="1466">
        <v>512526</v>
      </c>
      <c r="E375" s="1524">
        <v>40329</v>
      </c>
      <c r="F375" s="1524">
        <v>40289</v>
      </c>
      <c r="G375" s="1514"/>
      <c r="H375" s="1514"/>
      <c r="I375" s="1514"/>
      <c r="J375" s="1514" t="s">
        <v>597</v>
      </c>
      <c r="K375" s="1514" t="s">
        <v>598</v>
      </c>
      <c r="L375" s="1419">
        <v>1702595.17</v>
      </c>
      <c r="M375" s="1516"/>
      <c r="N375" s="1419"/>
      <c r="O375" s="1419">
        <f>8542.4-8542.4</f>
        <v>0</v>
      </c>
      <c r="P375" s="1513"/>
      <c r="Q375" s="1513"/>
      <c r="R375" s="1450"/>
      <c r="S375" s="1431"/>
      <c r="T375" s="1431"/>
      <c r="U375" s="1431"/>
      <c r="V375" s="818"/>
      <c r="W375" s="1466">
        <f>512526-512526</f>
        <v>0</v>
      </c>
      <c r="X375" s="818"/>
      <c r="Y375" s="818"/>
      <c r="AB375" s="1413"/>
      <c r="AC375" s="1413"/>
      <c r="AG375" s="1510" t="e">
        <f>(N375*AH372)/AH371</f>
        <v>#DIV/0!</v>
      </c>
      <c r="AH375" s="1414" t="e">
        <f>AG371*AG375</f>
        <v>#DIV/0!</v>
      </c>
      <c r="AK375" s="1439"/>
      <c r="AL375" s="1440"/>
      <c r="AM375" s="1440"/>
      <c r="AN375" s="1444"/>
      <c r="AO375" s="1444"/>
      <c r="AP375" s="1442"/>
      <c r="AQ375" s="1443"/>
      <c r="AR375" s="1444"/>
      <c r="AS375" s="1444"/>
      <c r="AT375" s="1444"/>
    </row>
    <row r="376" spans="1:46" ht="10.5" hidden="1" customHeight="1">
      <c r="A376" s="1514" t="s">
        <v>603</v>
      </c>
      <c r="B376" s="1516"/>
      <c r="C376" s="1514" t="s">
        <v>604</v>
      </c>
      <c r="D376" s="1466">
        <v>890799</v>
      </c>
      <c r="E376" s="1524">
        <v>40329</v>
      </c>
      <c r="F376" s="1524">
        <v>40289</v>
      </c>
      <c r="G376" s="1514"/>
      <c r="H376" s="1514"/>
      <c r="I376" s="1514"/>
      <c r="J376" s="1514" t="s">
        <v>597</v>
      </c>
      <c r="K376" s="1514" t="s">
        <v>598</v>
      </c>
      <c r="L376" s="1419"/>
      <c r="M376" s="1516"/>
      <c r="N376" s="1419"/>
      <c r="O376" s="1419">
        <f>14846.65-14846.65</f>
        <v>0</v>
      </c>
      <c r="P376" s="1513"/>
      <c r="Q376" s="1513"/>
      <c r="R376" s="1450"/>
      <c r="S376" s="1431"/>
      <c r="T376" s="1431"/>
      <c r="U376" s="1431"/>
      <c r="V376" s="818"/>
      <c r="W376" s="1466">
        <f>890799-890799</f>
        <v>0</v>
      </c>
      <c r="X376" s="818"/>
      <c r="Y376" s="818"/>
      <c r="AB376" s="1413"/>
      <c r="AC376" s="1413"/>
      <c r="AG376" s="1510"/>
      <c r="AH376" s="1414"/>
      <c r="AK376" s="1439" t="s">
        <v>5809</v>
      </c>
      <c r="AL376" s="1444" t="s">
        <v>5810</v>
      </c>
      <c r="AM376" s="1444" t="s">
        <v>5722</v>
      </c>
      <c r="AN376" s="1442" t="s">
        <v>5748</v>
      </c>
      <c r="AO376" s="1442" t="s">
        <v>5748</v>
      </c>
      <c r="AP376" s="1442" t="s">
        <v>5811</v>
      </c>
      <c r="AQ376" s="1540">
        <v>50000</v>
      </c>
      <c r="AR376" s="1444" t="s">
        <v>5812</v>
      </c>
      <c r="AS376" s="1444" t="s">
        <v>5813</v>
      </c>
      <c r="AT376" s="1442" t="s">
        <v>5609</v>
      </c>
    </row>
    <row r="377" spans="1:46" ht="10.5" hidden="1" customHeight="1">
      <c r="A377" s="1514" t="s">
        <v>605</v>
      </c>
      <c r="B377" s="1516"/>
      <c r="C377" s="1514" t="s">
        <v>606</v>
      </c>
      <c r="D377" s="1466">
        <v>856584.3</v>
      </c>
      <c r="E377" s="1524">
        <v>40329</v>
      </c>
      <c r="F377" s="1524">
        <v>40289</v>
      </c>
      <c r="G377" s="1514"/>
      <c r="H377" s="1514"/>
      <c r="I377" s="1514"/>
      <c r="J377" s="1514" t="s">
        <v>597</v>
      </c>
      <c r="K377" s="1514" t="s">
        <v>598</v>
      </c>
      <c r="L377" s="1419"/>
      <c r="M377" s="1516"/>
      <c r="N377" s="1419"/>
      <c r="O377" s="1419">
        <f>13178.22-13178.22</f>
        <v>0</v>
      </c>
      <c r="P377" s="1513"/>
      <c r="Q377" s="1513"/>
      <c r="R377" s="1450"/>
      <c r="S377" s="1431"/>
      <c r="T377" s="1431"/>
      <c r="U377" s="1431"/>
      <c r="V377" s="818"/>
      <c r="W377" s="1466">
        <f>856584.3-856584.3</f>
        <v>0</v>
      </c>
      <c r="X377" s="818"/>
      <c r="Y377" s="818"/>
      <c r="AB377" s="1413"/>
      <c r="AC377" s="1413"/>
      <c r="AG377" s="1510"/>
      <c r="AH377" s="1414"/>
    </row>
    <row r="378" spans="1:46" ht="10.5" customHeight="1">
      <c r="A378" s="1514"/>
      <c r="B378" s="1516">
        <v>22</v>
      </c>
      <c r="C378" s="1514" t="s">
        <v>607</v>
      </c>
      <c r="D378" s="1466">
        <v>1900000</v>
      </c>
      <c r="E378" s="1524">
        <v>41274</v>
      </c>
      <c r="F378" s="1524"/>
      <c r="G378" s="1514"/>
      <c r="H378" s="1514" t="s">
        <v>608</v>
      </c>
      <c r="I378" s="1514"/>
      <c r="J378" s="1514" t="s">
        <v>609</v>
      </c>
      <c r="K378" s="1514"/>
      <c r="L378" s="1419"/>
      <c r="M378" s="1516"/>
      <c r="N378" s="1419"/>
      <c r="O378" s="1419">
        <v>50000</v>
      </c>
      <c r="P378" s="1513"/>
      <c r="Q378" s="1513"/>
      <c r="R378" s="1450"/>
      <c r="S378" s="1431"/>
      <c r="T378" s="1431"/>
      <c r="U378" s="1431"/>
      <c r="V378" s="818"/>
      <c r="W378" s="818">
        <f>1900000+326760.48+79855.9+292601.7+39520+762246.84</f>
        <v>3400984.92</v>
      </c>
      <c r="X378" s="818"/>
      <c r="Y378" s="818"/>
      <c r="AB378" s="1413"/>
      <c r="AC378" s="1413"/>
      <c r="AG378" s="1510"/>
      <c r="AH378" s="1414"/>
      <c r="AK378" s="1439" t="s">
        <v>6951</v>
      </c>
      <c r="AL378" s="1444" t="s">
        <v>5810</v>
      </c>
      <c r="AM378" s="1444" t="s">
        <v>5722</v>
      </c>
      <c r="AN378" s="1442" t="s">
        <v>5748</v>
      </c>
      <c r="AO378" s="1442" t="s">
        <v>5748</v>
      </c>
      <c r="AP378" s="1442" t="s">
        <v>5811</v>
      </c>
      <c r="AQ378" s="1540">
        <v>50000</v>
      </c>
      <c r="AR378" s="1444" t="s">
        <v>5812</v>
      </c>
      <c r="AS378" s="1444" t="s">
        <v>5813</v>
      </c>
      <c r="AT378" s="1442" t="s">
        <v>5609</v>
      </c>
    </row>
    <row r="379" spans="1:46" ht="10.5" customHeight="1">
      <c r="A379" s="1430"/>
      <c r="B379" s="1431"/>
      <c r="C379" s="1430"/>
      <c r="D379" s="1430"/>
      <c r="E379" s="1447"/>
      <c r="F379" s="1447"/>
      <c r="G379" s="1430"/>
      <c r="H379" s="1430"/>
      <c r="I379" s="1430"/>
      <c r="J379" s="1430"/>
      <c r="K379" s="1433"/>
      <c r="L379" s="1433"/>
      <c r="M379" s="1433"/>
      <c r="N379" s="1433"/>
      <c r="O379" s="1434"/>
      <c r="P379" s="1433"/>
      <c r="Q379" s="1433"/>
      <c r="R379" s="793"/>
      <c r="S379" s="1435"/>
      <c r="T379" s="1436"/>
      <c r="U379" s="1437"/>
      <c r="V379" s="793"/>
      <c r="W379" s="793">
        <f>+R379</f>
        <v>0</v>
      </c>
      <c r="X379" s="793"/>
      <c r="Y379" s="793"/>
      <c r="AB379" s="1413"/>
      <c r="AC379" s="1413"/>
    </row>
    <row r="380" spans="1:46" s="1407" customFormat="1" ht="10.5" customHeight="1">
      <c r="A380" s="1449"/>
      <c r="B380" s="1450"/>
      <c r="C380" s="1499" t="s">
        <v>595</v>
      </c>
      <c r="D380" s="1499"/>
      <c r="E380" s="1499"/>
      <c r="F380" s="1499"/>
      <c r="G380" s="1499"/>
      <c r="H380" s="1499"/>
      <c r="I380" s="1499"/>
      <c r="J380" s="1499"/>
      <c r="K380" s="1463" t="s">
        <v>98</v>
      </c>
      <c r="L380" s="1460">
        <f>SUM(L371:L379)</f>
        <v>3412595.17</v>
      </c>
      <c r="M380" s="1460">
        <f>SUM(M379:M379)</f>
        <v>0</v>
      </c>
      <c r="N380" s="1460">
        <f>SUM(N373:N379)</f>
        <v>0</v>
      </c>
      <c r="O380" s="1460">
        <f>SUM(O373:O379)</f>
        <v>50000</v>
      </c>
      <c r="P380" s="1460">
        <f>SUM(P379:P379)</f>
        <v>0</v>
      </c>
      <c r="Q380" s="1460">
        <f>SUM(Q379:Q379)</f>
        <v>0</v>
      </c>
      <c r="R380" s="1460">
        <f>SUM(R379:R379)</f>
        <v>0</v>
      </c>
      <c r="S380" s="1430"/>
      <c r="T380" s="1430"/>
      <c r="U380" s="1430"/>
      <c r="V380" s="796">
        <f>SUM(V373:V379)</f>
        <v>0</v>
      </c>
      <c r="W380" s="796">
        <f>SUM(W373:W379)</f>
        <v>3400984.92</v>
      </c>
      <c r="X380" s="796">
        <f>SUM(X373:X379)</f>
        <v>0</v>
      </c>
      <c r="Y380" s="796"/>
      <c r="AB380" s="1465"/>
      <c r="AC380" s="1465"/>
    </row>
    <row r="381" spans="1:46" s="1407" customFormat="1" ht="10.5" customHeight="1">
      <c r="D381" s="1490">
        <f>SUM(D373:D380)</f>
        <v>6410294.7999999998</v>
      </c>
      <c r="K381" s="1459" t="s">
        <v>365</v>
      </c>
      <c r="L381" s="1490">
        <f>L380</f>
        <v>3412595.17</v>
      </c>
      <c r="M381" s="1490">
        <f>M380</f>
        <v>0</v>
      </c>
      <c r="N381" s="1490">
        <f>SUM(N373:N379)</f>
        <v>0</v>
      </c>
      <c r="O381" s="1490">
        <f>O380</f>
        <v>50000</v>
      </c>
      <c r="P381" s="1490"/>
      <c r="Q381" s="1490"/>
      <c r="R381" s="1490"/>
      <c r="S381" s="1490">
        <f>S380</f>
        <v>0</v>
      </c>
      <c r="T381" s="1490">
        <f>T380</f>
        <v>0</v>
      </c>
      <c r="U381" s="1490">
        <f>U380</f>
        <v>0</v>
      </c>
      <c r="V381" s="1490">
        <f>SUM(V372:V380)</f>
        <v>0</v>
      </c>
      <c r="W381" s="1490">
        <f>SUM(W372:W379)</f>
        <v>3400984.92</v>
      </c>
      <c r="X381" s="1490">
        <f>SUM(X372:X380)</f>
        <v>0</v>
      </c>
      <c r="Y381" s="1490">
        <f>SUM(Y372:Y380)</f>
        <v>0</v>
      </c>
      <c r="AB381" s="1465"/>
      <c r="AC381" s="1465"/>
    </row>
    <row r="382" spans="1:46" s="1407" customFormat="1" ht="10.5" customHeight="1">
      <c r="K382" s="1459"/>
      <c r="L382" s="1490"/>
      <c r="M382" s="1490"/>
      <c r="N382" s="1490"/>
      <c r="O382" s="1490"/>
      <c r="P382" s="1490"/>
      <c r="Q382" s="1490"/>
      <c r="R382" s="1490"/>
      <c r="S382" s="1490"/>
      <c r="T382" s="1490"/>
      <c r="U382" s="1490"/>
      <c r="V382" s="1490"/>
      <c r="W382" s="1490"/>
      <c r="X382" s="1490"/>
      <c r="Y382" s="1490"/>
      <c r="AB382" s="1465"/>
      <c r="AC382" s="1465"/>
    </row>
    <row r="383" spans="1:46" s="1407" customFormat="1" ht="10.5" customHeight="1">
      <c r="K383" s="1459"/>
      <c r="L383" s="1490"/>
      <c r="M383" s="1490"/>
      <c r="N383" s="1490"/>
      <c r="O383" s="1490"/>
      <c r="P383" s="1490"/>
      <c r="Q383" s="1490"/>
      <c r="R383" s="1490"/>
      <c r="S383" s="1490"/>
      <c r="T383" s="1490"/>
      <c r="U383" s="1490"/>
      <c r="V383" s="1490"/>
      <c r="W383" s="1490"/>
      <c r="X383" s="1490"/>
      <c r="Y383" s="1490"/>
      <c r="AB383" s="1465"/>
      <c r="AC383" s="1465"/>
    </row>
    <row r="384" spans="1:46" s="1407" customFormat="1" ht="10.5" customHeight="1">
      <c r="A384" s="1960" t="s">
        <v>610</v>
      </c>
      <c r="B384" s="1961"/>
      <c r="C384" s="1961"/>
      <c r="D384" s="1961"/>
      <c r="E384" s="1961"/>
      <c r="F384" s="1961"/>
      <c r="G384" s="1961"/>
      <c r="H384" s="1961"/>
      <c r="I384" s="1961"/>
      <c r="J384" s="1961"/>
      <c r="K384" s="1961"/>
      <c r="L384" s="1961"/>
      <c r="M384" s="1961"/>
      <c r="N384" s="1961"/>
      <c r="O384" s="1962"/>
      <c r="P384" s="1408"/>
      <c r="Q384" s="1409"/>
      <c r="R384" s="1410"/>
      <c r="S384" s="1411"/>
      <c r="T384" s="1412"/>
      <c r="U384" s="1410"/>
      <c r="V384" s="789"/>
      <c r="W384" s="790"/>
      <c r="X384" s="790"/>
      <c r="Y384" s="791"/>
      <c r="AB384" s="1465"/>
      <c r="AC384" s="1465"/>
      <c r="AG384" s="1407" t="s">
        <v>287</v>
      </c>
      <c r="AH384" s="1407" t="s">
        <v>280</v>
      </c>
    </row>
    <row r="385" spans="1:34" s="1407" customFormat="1" ht="10.5" customHeight="1">
      <c r="A385" s="1415"/>
      <c r="B385" s="1416"/>
      <c r="C385" s="1417" t="s">
        <v>256</v>
      </c>
      <c r="D385" s="1417" t="s">
        <v>257</v>
      </c>
      <c r="E385" s="1418" t="s">
        <v>258</v>
      </c>
      <c r="F385" s="1418" t="s">
        <v>259</v>
      </c>
      <c r="G385" s="1418" t="s">
        <v>260</v>
      </c>
      <c r="H385" s="1418" t="s">
        <v>261</v>
      </c>
      <c r="I385" s="1418" t="s">
        <v>262</v>
      </c>
      <c r="J385" s="1418" t="s">
        <v>263</v>
      </c>
      <c r="K385" s="1963" t="s">
        <v>264</v>
      </c>
      <c r="L385" s="1964"/>
      <c r="M385" s="1964"/>
      <c r="N385" s="1964" t="s">
        <v>265</v>
      </c>
      <c r="O385" s="1965"/>
      <c r="P385" s="1466"/>
      <c r="Q385" s="1467"/>
      <c r="R385" s="1421" t="s">
        <v>266</v>
      </c>
      <c r="S385" s="1421" t="s">
        <v>267</v>
      </c>
      <c r="T385" s="1421"/>
      <c r="U385" s="1421"/>
      <c r="V385" s="1966" t="s">
        <v>268</v>
      </c>
      <c r="W385" s="1967"/>
      <c r="X385" s="1967"/>
      <c r="Y385" s="1968"/>
      <c r="AB385" s="1465"/>
      <c r="AC385" s="1465"/>
      <c r="AG385" s="1490">
        <v>10305.84</v>
      </c>
      <c r="AH385" s="1490">
        <f>SUM(N387:N389)</f>
        <v>0</v>
      </c>
    </row>
    <row r="386" spans="1:34" s="1407" customFormat="1" ht="10.5" customHeight="1">
      <c r="A386" s="1427" t="s">
        <v>269</v>
      </c>
      <c r="B386" s="1421" t="s">
        <v>270</v>
      </c>
      <c r="C386" s="1427" t="s">
        <v>271</v>
      </c>
      <c r="D386" s="1427"/>
      <c r="E386" s="1427"/>
      <c r="F386" s="1427"/>
      <c r="G386" s="1427"/>
      <c r="H386" s="1427"/>
      <c r="I386" s="1427"/>
      <c r="J386" s="1427"/>
      <c r="K386" s="1427" t="s">
        <v>272</v>
      </c>
      <c r="L386" s="1420" t="s">
        <v>273</v>
      </c>
      <c r="M386" s="1421" t="s">
        <v>274</v>
      </c>
      <c r="N386" s="1421" t="s">
        <v>275</v>
      </c>
      <c r="O386" s="1421" t="s">
        <v>276</v>
      </c>
      <c r="P386" s="1428" t="s">
        <v>277</v>
      </c>
      <c r="Q386" s="1428" t="s">
        <v>278</v>
      </c>
      <c r="R386" s="1429" t="s">
        <v>279</v>
      </c>
      <c r="S386" s="1462" t="s">
        <v>280</v>
      </c>
      <c r="T386" s="1462" t="s">
        <v>281</v>
      </c>
      <c r="U386" s="1462" t="s">
        <v>282</v>
      </c>
      <c r="V386" s="792" t="s">
        <v>283</v>
      </c>
      <c r="W386" s="792" t="s">
        <v>284</v>
      </c>
      <c r="X386" s="792" t="s">
        <v>285</v>
      </c>
      <c r="Y386" s="792" t="s">
        <v>286</v>
      </c>
      <c r="AB386" s="1465"/>
      <c r="AC386" s="1465"/>
      <c r="AH386" s="1539">
        <v>1</v>
      </c>
    </row>
    <row r="387" spans="1:34" ht="10.5" hidden="1" customHeight="1">
      <c r="A387" s="1514"/>
      <c r="B387" s="1516"/>
      <c r="C387" s="1514" t="s">
        <v>596</v>
      </c>
      <c r="D387" s="1466">
        <v>1250385.5</v>
      </c>
      <c r="E387" s="1524">
        <v>40329</v>
      </c>
      <c r="F387" s="1524">
        <v>40289</v>
      </c>
      <c r="G387" s="1514"/>
      <c r="H387" s="1514"/>
      <c r="I387" s="1514"/>
      <c r="J387" s="1514" t="s">
        <v>597</v>
      </c>
      <c r="K387" s="1514" t="s">
        <v>598</v>
      </c>
      <c r="L387" s="1419">
        <v>10000</v>
      </c>
      <c r="M387" s="1516"/>
      <c r="N387" s="1419"/>
      <c r="O387" s="1419">
        <f>16671.82-16671.82</f>
        <v>0</v>
      </c>
      <c r="P387" s="1513"/>
      <c r="Q387" s="1513"/>
      <c r="R387" s="1450"/>
      <c r="S387" s="1431"/>
      <c r="T387" s="1431"/>
      <c r="U387" s="1431"/>
      <c r="V387" s="818"/>
      <c r="W387" s="1466">
        <f>1250385.5-1250385.5</f>
        <v>0</v>
      </c>
      <c r="X387" s="818"/>
      <c r="Y387" s="818"/>
      <c r="AB387" s="1413"/>
      <c r="AC387" s="1413"/>
      <c r="AG387" s="1510" t="e">
        <f>(N387*AH386)/AH385</f>
        <v>#DIV/0!</v>
      </c>
      <c r="AH387" s="1414" t="e">
        <f>AG385*AG387</f>
        <v>#DIV/0!</v>
      </c>
    </row>
    <row r="388" spans="1:34" ht="10.5" hidden="1" customHeight="1">
      <c r="A388" s="1514" t="s">
        <v>599</v>
      </c>
      <c r="B388" s="1516">
        <v>105</v>
      </c>
      <c r="C388" s="1514" t="s">
        <v>600</v>
      </c>
      <c r="D388" s="1466">
        <v>1000000</v>
      </c>
      <c r="E388" s="1524">
        <v>40329</v>
      </c>
      <c r="F388" s="1524">
        <v>40289</v>
      </c>
      <c r="G388" s="1514"/>
      <c r="H388" s="1514"/>
      <c r="I388" s="1514"/>
      <c r="J388" s="1514" t="s">
        <v>597</v>
      </c>
      <c r="K388" s="1514" t="s">
        <v>598</v>
      </c>
      <c r="L388" s="1419">
        <v>1700000</v>
      </c>
      <c r="M388" s="1516"/>
      <c r="N388" s="1419"/>
      <c r="O388" s="1419">
        <f>8781.44-8781.44</f>
        <v>0</v>
      </c>
      <c r="P388" s="1513"/>
      <c r="Q388" s="1513"/>
      <c r="R388" s="1450"/>
      <c r="S388" s="1431"/>
      <c r="T388" s="1431"/>
      <c r="U388" s="1431"/>
      <c r="V388" s="818"/>
      <c r="W388" s="1466">
        <f>1000000-1000000</f>
        <v>0</v>
      </c>
      <c r="X388" s="818"/>
      <c r="Y388" s="818"/>
      <c r="AB388" s="1413"/>
      <c r="AC388" s="1413"/>
      <c r="AG388" s="1510" t="e">
        <f>(N388*AH386)/AH385</f>
        <v>#DIV/0!</v>
      </c>
      <c r="AH388" s="1414" t="e">
        <f>AG385*AG388</f>
        <v>#DIV/0!</v>
      </c>
    </row>
    <row r="389" spans="1:34" ht="10.5" hidden="1" customHeight="1">
      <c r="A389" s="1514" t="s">
        <v>601</v>
      </c>
      <c r="B389" s="1516">
        <v>98</v>
      </c>
      <c r="C389" s="1514" t="s">
        <v>602</v>
      </c>
      <c r="D389" s="1466">
        <v>512526</v>
      </c>
      <c r="E389" s="1524">
        <v>40329</v>
      </c>
      <c r="F389" s="1524">
        <v>40289</v>
      </c>
      <c r="G389" s="1514"/>
      <c r="H389" s="1514"/>
      <c r="I389" s="1514"/>
      <c r="J389" s="1514" t="s">
        <v>597</v>
      </c>
      <c r="K389" s="1514" t="s">
        <v>598</v>
      </c>
      <c r="L389" s="1419">
        <v>1702595.17</v>
      </c>
      <c r="M389" s="1516"/>
      <c r="N389" s="1419"/>
      <c r="O389" s="1419">
        <f>8542.4-8542.4</f>
        <v>0</v>
      </c>
      <c r="P389" s="1513"/>
      <c r="Q389" s="1513"/>
      <c r="R389" s="1450"/>
      <c r="S389" s="1431"/>
      <c r="T389" s="1431"/>
      <c r="U389" s="1431"/>
      <c r="V389" s="818"/>
      <c r="W389" s="1466">
        <f>512526-512526</f>
        <v>0</v>
      </c>
      <c r="X389" s="818"/>
      <c r="Y389" s="818"/>
      <c r="AB389" s="1413"/>
      <c r="AC389" s="1413"/>
      <c r="AG389" s="1510" t="e">
        <f>(N389*AH386)/AH385</f>
        <v>#DIV/0!</v>
      </c>
      <c r="AH389" s="1414" t="e">
        <f>AG385*AG389</f>
        <v>#DIV/0!</v>
      </c>
    </row>
    <row r="390" spans="1:34" ht="10.5" hidden="1" customHeight="1">
      <c r="A390" s="1514" t="s">
        <v>603</v>
      </c>
      <c r="B390" s="1516"/>
      <c r="C390" s="1514" t="s">
        <v>604</v>
      </c>
      <c r="D390" s="1466">
        <v>890799</v>
      </c>
      <c r="E390" s="1524">
        <v>40329</v>
      </c>
      <c r="F390" s="1524">
        <v>40289</v>
      </c>
      <c r="G390" s="1514"/>
      <c r="H390" s="1514"/>
      <c r="I390" s="1514"/>
      <c r="J390" s="1514" t="s">
        <v>597</v>
      </c>
      <c r="K390" s="1514" t="s">
        <v>598</v>
      </c>
      <c r="L390" s="1419"/>
      <c r="M390" s="1516"/>
      <c r="N390" s="1419"/>
      <c r="O390" s="1419">
        <f>14846.65-14846.65</f>
        <v>0</v>
      </c>
      <c r="P390" s="1513"/>
      <c r="Q390" s="1513"/>
      <c r="R390" s="1450"/>
      <c r="S390" s="1431"/>
      <c r="T390" s="1431"/>
      <c r="U390" s="1431"/>
      <c r="V390" s="818"/>
      <c r="W390" s="1466">
        <f>890799-890799</f>
        <v>0</v>
      </c>
      <c r="X390" s="818"/>
      <c r="Y390" s="818"/>
      <c r="AB390" s="1413"/>
      <c r="AC390" s="1413"/>
      <c r="AG390" s="1510"/>
      <c r="AH390" s="1414"/>
    </row>
    <row r="391" spans="1:34" ht="10.5" hidden="1" customHeight="1">
      <c r="A391" s="1514" t="s">
        <v>605</v>
      </c>
      <c r="B391" s="1516"/>
      <c r="C391" s="1514" t="s">
        <v>606</v>
      </c>
      <c r="D391" s="1466">
        <v>856584.3</v>
      </c>
      <c r="E391" s="1524">
        <v>40329</v>
      </c>
      <c r="F391" s="1524">
        <v>40289</v>
      </c>
      <c r="G391" s="1514"/>
      <c r="H391" s="1514"/>
      <c r="I391" s="1514"/>
      <c r="J391" s="1514" t="s">
        <v>597</v>
      </c>
      <c r="K391" s="1514" t="s">
        <v>598</v>
      </c>
      <c r="L391" s="1419"/>
      <c r="M391" s="1516"/>
      <c r="N391" s="1419"/>
      <c r="O391" s="1419">
        <f>13178.22-13178.22</f>
        <v>0</v>
      </c>
      <c r="P391" s="1513"/>
      <c r="Q391" s="1513"/>
      <c r="R391" s="1450"/>
      <c r="S391" s="1431"/>
      <c r="T391" s="1431"/>
      <c r="U391" s="1431"/>
      <c r="V391" s="818"/>
      <c r="W391" s="1466">
        <f>856584.3-856584.3</f>
        <v>0</v>
      </c>
      <c r="X391" s="818"/>
      <c r="Y391" s="818"/>
      <c r="AB391" s="1413"/>
      <c r="AC391" s="1413"/>
      <c r="AG391" s="1510"/>
      <c r="AH391" s="1414"/>
    </row>
    <row r="392" spans="1:34" ht="10.5" customHeight="1">
      <c r="A392" s="1514"/>
      <c r="B392" s="1516"/>
      <c r="C392" s="1514"/>
      <c r="D392" s="1466"/>
      <c r="E392" s="1524"/>
      <c r="F392" s="1524"/>
      <c r="G392" s="1514"/>
      <c r="H392" s="1514"/>
      <c r="I392" s="1514"/>
      <c r="J392" s="1514"/>
      <c r="K392" s="1514"/>
      <c r="L392" s="1419"/>
      <c r="M392" s="1516"/>
      <c r="N392" s="1419"/>
      <c r="O392" s="1419"/>
      <c r="P392" s="1513"/>
      <c r="Q392" s="1513"/>
      <c r="R392" s="1450"/>
      <c r="S392" s="1431"/>
      <c r="T392" s="1431"/>
      <c r="U392" s="1431"/>
      <c r="V392" s="818"/>
      <c r="W392" s="818"/>
      <c r="X392" s="818"/>
      <c r="Y392" s="818"/>
      <c r="AB392" s="1413"/>
      <c r="AC392" s="1413"/>
      <c r="AG392" s="1510"/>
      <c r="AH392" s="1414"/>
    </row>
    <row r="393" spans="1:34" ht="10.5" customHeight="1">
      <c r="A393" s="1430"/>
      <c r="B393" s="1431"/>
      <c r="C393" s="1430"/>
      <c r="D393" s="1430"/>
      <c r="E393" s="1447"/>
      <c r="F393" s="1447"/>
      <c r="G393" s="1430"/>
      <c r="H393" s="1430"/>
      <c r="I393" s="1430"/>
      <c r="J393" s="1430"/>
      <c r="K393" s="1433"/>
      <c r="L393" s="1433"/>
      <c r="M393" s="1433"/>
      <c r="N393" s="1433"/>
      <c r="O393" s="1434"/>
      <c r="P393" s="1433"/>
      <c r="Q393" s="1433"/>
      <c r="R393" s="793"/>
      <c r="S393" s="1435"/>
      <c r="T393" s="1436"/>
      <c r="U393" s="1437"/>
      <c r="V393" s="793"/>
      <c r="W393" s="793">
        <f>+R393</f>
        <v>0</v>
      </c>
      <c r="X393" s="793"/>
      <c r="Y393" s="793"/>
      <c r="AB393" s="1413"/>
      <c r="AC393" s="1413"/>
    </row>
    <row r="394" spans="1:34" s="1407" customFormat="1" ht="10.5" customHeight="1">
      <c r="A394" s="1449"/>
      <c r="B394" s="1450"/>
      <c r="C394" s="1499" t="s">
        <v>610</v>
      </c>
      <c r="D394" s="1499"/>
      <c r="E394" s="1499"/>
      <c r="F394" s="1499"/>
      <c r="G394" s="1499"/>
      <c r="H394" s="1499"/>
      <c r="I394" s="1499"/>
      <c r="J394" s="1499"/>
      <c r="K394" s="1463" t="s">
        <v>98</v>
      </c>
      <c r="L394" s="1460">
        <f>SUM(L385:L393)</f>
        <v>3412595.17</v>
      </c>
      <c r="M394" s="1460">
        <f>SUM(M393:M393)</f>
        <v>0</v>
      </c>
      <c r="N394" s="1460">
        <f>SUM(N387:N393)</f>
        <v>0</v>
      </c>
      <c r="O394" s="1460">
        <f>SUM(O387:O393)</f>
        <v>0</v>
      </c>
      <c r="P394" s="1460">
        <f>SUM(P393:P393)</f>
        <v>0</v>
      </c>
      <c r="Q394" s="1460">
        <f>SUM(Q393:Q393)</f>
        <v>0</v>
      </c>
      <c r="R394" s="1460">
        <f>SUM(R393:R393)</f>
        <v>0</v>
      </c>
      <c r="S394" s="1430"/>
      <c r="T394" s="1430"/>
      <c r="U394" s="1430"/>
      <c r="V394" s="796">
        <f>SUM(V387:V393)</f>
        <v>0</v>
      </c>
      <c r="W394" s="796">
        <f>SUM(W387:W393)</f>
        <v>0</v>
      </c>
      <c r="X394" s="796">
        <f>SUM(X387:X393)</f>
        <v>0</v>
      </c>
      <c r="Y394" s="796"/>
      <c r="AB394" s="1465"/>
      <c r="AC394" s="1465"/>
    </row>
    <row r="395" spans="1:34" s="1407" customFormat="1" ht="10.5" customHeight="1">
      <c r="D395" s="1490">
        <f>SUM(D387:D394)</f>
        <v>4510294.8</v>
      </c>
      <c r="K395" s="1459" t="s">
        <v>365</v>
      </c>
      <c r="L395" s="1490">
        <f>L394</f>
        <v>3412595.17</v>
      </c>
      <c r="M395" s="1490">
        <f>M394</f>
        <v>0</v>
      </c>
      <c r="N395" s="1490">
        <f>SUM(N387:N393)</f>
        <v>0</v>
      </c>
      <c r="O395" s="1490">
        <f>O394</f>
        <v>0</v>
      </c>
      <c r="P395" s="1490"/>
      <c r="Q395" s="1490"/>
      <c r="R395" s="1490"/>
      <c r="S395" s="1490">
        <f>S394</f>
        <v>0</v>
      </c>
      <c r="T395" s="1490">
        <f>T394</f>
        <v>0</v>
      </c>
      <c r="U395" s="1490">
        <f>U394</f>
        <v>0</v>
      </c>
      <c r="V395" s="1490">
        <f>SUM(V386:V394)</f>
        <v>0</v>
      </c>
      <c r="W395" s="1490">
        <f>SUM(W386:W393)</f>
        <v>0</v>
      </c>
      <c r="X395" s="1490">
        <f>SUM(X386:X394)</f>
        <v>0</v>
      </c>
      <c r="Y395" s="1490">
        <f>SUM(Y386:Y394)</f>
        <v>0</v>
      </c>
      <c r="AB395" s="1465"/>
      <c r="AC395" s="1465"/>
    </row>
    <row r="396" spans="1:34" s="1407" customFormat="1" ht="10.5" customHeight="1">
      <c r="B396" s="1541"/>
      <c r="C396" s="1541"/>
      <c r="K396" s="1459"/>
      <c r="L396" s="1490"/>
      <c r="M396" s="1490"/>
      <c r="N396" s="1490"/>
      <c r="O396" s="1490"/>
      <c r="P396" s="1490"/>
      <c r="Q396" s="1490"/>
      <c r="R396" s="1490"/>
      <c r="S396" s="1490"/>
      <c r="T396" s="1490"/>
      <c r="U396" s="1490"/>
      <c r="V396" s="1490"/>
      <c r="W396" s="1490"/>
      <c r="X396" s="1490"/>
      <c r="Y396" s="1490"/>
      <c r="AB396" s="1465"/>
      <c r="AC396" s="1465"/>
    </row>
    <row r="397" spans="1:34">
      <c r="B397" s="1542"/>
      <c r="C397" s="1542"/>
    </row>
    <row r="398" spans="1:34">
      <c r="B398" s="1542"/>
      <c r="C398" s="1542"/>
      <c r="L398" s="1407" t="s">
        <v>611</v>
      </c>
      <c r="N398" s="1490">
        <f>N57+N91+N130+N156+N201+N217+N230+N295+N309+N319+N328+N337+N366+N381+N395</f>
        <v>1941202.503</v>
      </c>
      <c r="O398" s="1490">
        <f>O57+O91+O130+O156+O201+O217+O230+O295+O309+O319+O328+O337+O366+O381+O395</f>
        <v>20222198.539000001</v>
      </c>
      <c r="P398" s="1531"/>
      <c r="Q398" s="1490"/>
      <c r="R398" s="1531"/>
      <c r="V398" s="1531">
        <f>V57+V91+V130+V156+V201+V217+V230+V295+V309+V319+V328+V337+V366+V395</f>
        <v>120296755.13646001</v>
      </c>
      <c r="W398" s="1531">
        <f>W57+W91+W130+W156+W201+W217+W230+W295+W309+W319+W328+W337+W366+W395+W381</f>
        <v>497289258.52030838</v>
      </c>
      <c r="X398" s="1531">
        <f>X57+X91+X130+X156+X201+X217+X230+X295+X309+X319+X328+X337+X366+X395</f>
        <v>21739943.880000003</v>
      </c>
      <c r="Y398" s="1531">
        <f>Y57+Y91+Y130+Y156+Y201+Y217+Y230+Y295+Y309+Y319+Y328+Y337+Y366+Y395</f>
        <v>130000838.92652047</v>
      </c>
    </row>
    <row r="399" spans="1:34">
      <c r="B399" s="1542"/>
      <c r="C399" s="1542"/>
    </row>
    <row r="400" spans="1:34">
      <c r="B400" s="1542"/>
      <c r="C400" s="1542"/>
    </row>
    <row r="401" spans="2:30">
      <c r="B401" s="1542"/>
      <c r="C401" s="1542"/>
      <c r="W401" s="1407" t="s">
        <v>611</v>
      </c>
      <c r="X401" s="1490">
        <f>SUM(V398:Y398)</f>
        <v>769326796.46328878</v>
      </c>
      <c r="Y401" s="1414"/>
      <c r="AD401" s="822">
        <f>SUM(V398:Y398)</f>
        <v>769326796.46328878</v>
      </c>
    </row>
    <row r="402" spans="2:30">
      <c r="B402" s="1542"/>
      <c r="C402" s="1542"/>
    </row>
    <row r="403" spans="2:30">
      <c r="B403" s="1542"/>
      <c r="C403" s="1542"/>
    </row>
    <row r="404" spans="2:30">
      <c r="B404" s="1542"/>
      <c r="C404" s="1542"/>
    </row>
  </sheetData>
  <mergeCells count="103">
    <mergeCell ref="A4:O4"/>
    <mergeCell ref="K5:M5"/>
    <mergeCell ref="N5:O5"/>
    <mergeCell ref="V5:Y5"/>
    <mergeCell ref="A22:O22"/>
    <mergeCell ref="A49:O49"/>
    <mergeCell ref="K50:M50"/>
    <mergeCell ref="N50:O50"/>
    <mergeCell ref="V50:Y50"/>
    <mergeCell ref="A61:M61"/>
    <mergeCell ref="K62:M62"/>
    <mergeCell ref="N62:O62"/>
    <mergeCell ref="V62:Y62"/>
    <mergeCell ref="K23:M23"/>
    <mergeCell ref="N23:O23"/>
    <mergeCell ref="V23:Y23"/>
    <mergeCell ref="A27:O27"/>
    <mergeCell ref="K28:M28"/>
    <mergeCell ref="N28:O28"/>
    <mergeCell ref="V28:Y28"/>
    <mergeCell ref="A80:O80"/>
    <mergeCell ref="K81:M81"/>
    <mergeCell ref="N81:O81"/>
    <mergeCell ref="V81:Y81"/>
    <mergeCell ref="A86:O86"/>
    <mergeCell ref="K87:M87"/>
    <mergeCell ref="N87:O87"/>
    <mergeCell ref="V87:Y87"/>
    <mergeCell ref="A67:O67"/>
    <mergeCell ref="K68:M68"/>
    <mergeCell ref="N68:O68"/>
    <mergeCell ref="V68:Y68"/>
    <mergeCell ref="A74:O74"/>
    <mergeCell ref="K75:M75"/>
    <mergeCell ref="N75:O75"/>
    <mergeCell ref="V75:Y75"/>
    <mergeCell ref="K135:M135"/>
    <mergeCell ref="N135:O135"/>
    <mergeCell ref="V135:Y135"/>
    <mergeCell ref="A161:O161"/>
    <mergeCell ref="K162:M162"/>
    <mergeCell ref="N162:O162"/>
    <mergeCell ref="V162:Y162"/>
    <mergeCell ref="A95:O95"/>
    <mergeCell ref="A96:C96"/>
    <mergeCell ref="K96:M96"/>
    <mergeCell ref="N96:O96"/>
    <mergeCell ref="V96:Y96"/>
    <mergeCell ref="A134:O134"/>
    <mergeCell ref="A220:O220"/>
    <mergeCell ref="K221:M221"/>
    <mergeCell ref="N221:O221"/>
    <mergeCell ref="V221:Y221"/>
    <mergeCell ref="A236:O236"/>
    <mergeCell ref="K237:M237"/>
    <mergeCell ref="N237:O237"/>
    <mergeCell ref="V237:Y237"/>
    <mergeCell ref="A193:O193"/>
    <mergeCell ref="K194:M194"/>
    <mergeCell ref="N194:O194"/>
    <mergeCell ref="V194:Y194"/>
    <mergeCell ref="A206:O206"/>
    <mergeCell ref="K207:M207"/>
    <mergeCell ref="N207:O207"/>
    <mergeCell ref="V207:Y207"/>
    <mergeCell ref="N314:O314"/>
    <mergeCell ref="V314:Y314"/>
    <mergeCell ref="A323:O323"/>
    <mergeCell ref="K324:M324"/>
    <mergeCell ref="N324:O324"/>
    <mergeCell ref="V324:Y324"/>
    <mergeCell ref="A282:O282"/>
    <mergeCell ref="K283:M283"/>
    <mergeCell ref="N283:O283"/>
    <mergeCell ref="V283:Y283"/>
    <mergeCell ref="A302:O302"/>
    <mergeCell ref="K303:M303"/>
    <mergeCell ref="N303:O303"/>
    <mergeCell ref="V303:Y303"/>
    <mergeCell ref="A384:O384"/>
    <mergeCell ref="K385:M385"/>
    <mergeCell ref="N385:O385"/>
    <mergeCell ref="V385:Y385"/>
    <mergeCell ref="A1:Y1"/>
    <mergeCell ref="A2:Y2"/>
    <mergeCell ref="A356:O356"/>
    <mergeCell ref="K357:M357"/>
    <mergeCell ref="N357:O357"/>
    <mergeCell ref="V357:Y357"/>
    <mergeCell ref="A370:O370"/>
    <mergeCell ref="K371:M371"/>
    <mergeCell ref="N371:O371"/>
    <mergeCell ref="V371:Y371"/>
    <mergeCell ref="A332:O332"/>
    <mergeCell ref="K333:M333"/>
    <mergeCell ref="N333:O333"/>
    <mergeCell ref="V333:Y333"/>
    <mergeCell ref="A341:O341"/>
    <mergeCell ref="K342:M342"/>
    <mergeCell ref="N342:O342"/>
    <mergeCell ref="V342:Y342"/>
    <mergeCell ref="A313:O313"/>
    <mergeCell ref="K314:M314"/>
  </mergeCells>
  <hyperlinks>
    <hyperlink ref="AB223" r:id="rId1" location="DEFINITIVO!K74" xr:uid="{9C81BD67-3225-40FE-B3DF-56A1A9DC0332}"/>
  </hyperlinks>
  <pageMargins left="0.7" right="0.7" top="0.75" bottom="0.75" header="0.3" footer="0.3"/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D2AED0-09FB-419D-B71D-EFE553044B80}">
  <dimension ref="A1:P3183"/>
  <sheetViews>
    <sheetView topLeftCell="A3173" workbookViewId="0">
      <selection activeCell="G2460" sqref="G2460"/>
    </sheetView>
  </sheetViews>
  <sheetFormatPr baseColWidth="10" defaultRowHeight="12.75"/>
  <cols>
    <col min="2" max="2" width="33.5703125" customWidth="1"/>
    <col min="3" max="3" width="13.28515625" customWidth="1"/>
    <col min="4" max="4" width="16.42578125" customWidth="1"/>
    <col min="5" max="5" width="12.85546875" customWidth="1"/>
    <col min="6" max="6" width="11.7109375" bestFit="1" customWidth="1"/>
    <col min="7" max="7" width="16.5703125" customWidth="1"/>
    <col min="8" max="8" width="12.5703125" customWidth="1"/>
    <col min="9" max="9" width="13" customWidth="1"/>
    <col min="11" max="11" width="18.7109375" customWidth="1"/>
    <col min="12" max="12" width="14.7109375" customWidth="1"/>
    <col min="14" max="14" width="13.28515625" customWidth="1"/>
  </cols>
  <sheetData>
    <row r="1" spans="1:9">
      <c r="A1" s="135" t="s">
        <v>3378</v>
      </c>
      <c r="B1" s="135"/>
      <c r="C1" s="135"/>
      <c r="D1" s="135"/>
      <c r="E1" s="135" t="s">
        <v>6961</v>
      </c>
      <c r="F1" s="135"/>
      <c r="G1" s="135"/>
    </row>
    <row r="2" spans="1:9">
      <c r="A2" t="s">
        <v>4205</v>
      </c>
    </row>
    <row r="3" spans="1:9">
      <c r="A3" t="s">
        <v>282</v>
      </c>
      <c r="B3" t="s">
        <v>262</v>
      </c>
      <c r="C3" t="s">
        <v>98</v>
      </c>
      <c r="D3" t="s">
        <v>959</v>
      </c>
      <c r="E3" t="s">
        <v>4206</v>
      </c>
      <c r="F3" t="s">
        <v>4207</v>
      </c>
      <c r="G3" t="s">
        <v>4208</v>
      </c>
      <c r="H3" t="s">
        <v>4209</v>
      </c>
      <c r="I3" t="s">
        <v>4210</v>
      </c>
    </row>
    <row r="5" spans="1:9">
      <c r="A5">
        <v>1</v>
      </c>
      <c r="B5" t="s">
        <v>247</v>
      </c>
    </row>
    <row r="7" spans="1:9">
      <c r="A7">
        <v>11002</v>
      </c>
      <c r="B7" t="s">
        <v>1127</v>
      </c>
    </row>
    <row r="8" spans="1:9">
      <c r="A8" s="828">
        <v>43232</v>
      </c>
      <c r="B8" t="s">
        <v>4211</v>
      </c>
      <c r="C8" s="767">
        <v>75590.7</v>
      </c>
      <c r="D8" s="767">
        <v>47597.58</v>
      </c>
      <c r="E8" s="767">
        <v>47597.58</v>
      </c>
      <c r="I8" s="767">
        <v>47597.58</v>
      </c>
    </row>
    <row r="9" spans="1:9">
      <c r="A9" s="828">
        <v>43232</v>
      </c>
      <c r="B9" t="s">
        <v>4212</v>
      </c>
      <c r="C9" s="767">
        <v>13567.36</v>
      </c>
      <c r="D9" s="767">
        <v>13567.36</v>
      </c>
      <c r="E9" s="767">
        <v>61164.94</v>
      </c>
      <c r="I9" s="767">
        <v>13567.36</v>
      </c>
    </row>
    <row r="10" spans="1:9">
      <c r="A10" s="828">
        <v>43171</v>
      </c>
      <c r="B10" t="s">
        <v>4213</v>
      </c>
      <c r="C10" s="767">
        <v>65292.92</v>
      </c>
      <c r="D10" s="767">
        <v>23471.53</v>
      </c>
      <c r="E10" s="767">
        <v>84636.47</v>
      </c>
      <c r="I10" s="767">
        <v>23471.53</v>
      </c>
    </row>
    <row r="11" spans="1:9">
      <c r="A11" s="828">
        <v>43171</v>
      </c>
      <c r="B11" t="s">
        <v>4214</v>
      </c>
      <c r="C11" s="767">
        <v>15704.22</v>
      </c>
      <c r="D11" s="767">
        <v>15704.22</v>
      </c>
      <c r="E11" s="767">
        <v>100340.69</v>
      </c>
      <c r="I11" s="767">
        <v>15704.22</v>
      </c>
    </row>
    <row r="12" spans="1:9">
      <c r="A12" s="828">
        <v>43500</v>
      </c>
      <c r="B12" t="s">
        <v>4215</v>
      </c>
      <c r="C12" s="767">
        <v>10892.37</v>
      </c>
      <c r="D12" s="767">
        <v>10892.37</v>
      </c>
      <c r="E12" s="767">
        <v>111233.06</v>
      </c>
      <c r="I12" s="767">
        <v>10892.37</v>
      </c>
    </row>
    <row r="13" spans="1:9">
      <c r="A13" s="828">
        <v>44229</v>
      </c>
      <c r="B13" t="s">
        <v>6311</v>
      </c>
      <c r="C13" s="767">
        <v>90411.26</v>
      </c>
      <c r="D13" s="767">
        <v>90411.26</v>
      </c>
      <c r="E13" s="767">
        <v>201644.32</v>
      </c>
      <c r="I13" s="767">
        <v>90411.26</v>
      </c>
    </row>
    <row r="14" spans="1:9">
      <c r="A14" s="828">
        <v>44230</v>
      </c>
      <c r="B14" t="s">
        <v>6522</v>
      </c>
      <c r="C14" s="767">
        <v>291096.78999999998</v>
      </c>
      <c r="D14" s="767">
        <v>291096.78999999998</v>
      </c>
      <c r="E14" s="767">
        <v>492741.11</v>
      </c>
      <c r="I14" s="767">
        <v>291096.78999999998</v>
      </c>
    </row>
    <row r="15" spans="1:9">
      <c r="A15" s="828">
        <v>44200</v>
      </c>
      <c r="B15" t="s">
        <v>6962</v>
      </c>
      <c r="C15" s="767">
        <v>141861.54</v>
      </c>
      <c r="D15" s="767">
        <v>141861.54</v>
      </c>
      <c r="E15" s="767">
        <v>634602.65</v>
      </c>
      <c r="H15" s="767">
        <v>141861.54</v>
      </c>
    </row>
    <row r="17" spans="1:9">
      <c r="A17" t="s">
        <v>4216</v>
      </c>
      <c r="B17" s="767">
        <v>704417.16</v>
      </c>
      <c r="C17" s="767">
        <v>634602.65</v>
      </c>
      <c r="D17">
        <v>0</v>
      </c>
      <c r="E17">
        <v>0</v>
      </c>
      <c r="F17" s="767">
        <v>141861.54</v>
      </c>
      <c r="G17" s="767">
        <v>492741.11</v>
      </c>
    </row>
    <row r="19" spans="1:9">
      <c r="A19">
        <v>11007</v>
      </c>
      <c r="B19" t="s">
        <v>4217</v>
      </c>
    </row>
    <row r="20" spans="1:9">
      <c r="A20" s="828">
        <v>43503</v>
      </c>
      <c r="B20" t="s">
        <v>4218</v>
      </c>
      <c r="C20" s="767">
        <v>4203.57</v>
      </c>
      <c r="D20" s="767">
        <v>4203.57</v>
      </c>
      <c r="E20" s="767">
        <v>4203.57</v>
      </c>
      <c r="I20" s="767">
        <v>4203.57</v>
      </c>
    </row>
    <row r="21" spans="1:9">
      <c r="A21" s="828">
        <v>43505</v>
      </c>
      <c r="B21" t="s">
        <v>4219</v>
      </c>
      <c r="C21" s="767">
        <v>3614.01</v>
      </c>
      <c r="D21" s="767">
        <v>3614.01</v>
      </c>
      <c r="E21" s="767">
        <v>7817.58</v>
      </c>
      <c r="I21" s="767">
        <v>3614.01</v>
      </c>
    </row>
    <row r="22" spans="1:9">
      <c r="A22" s="828">
        <v>43475</v>
      </c>
      <c r="B22" t="s">
        <v>4220</v>
      </c>
      <c r="C22" s="767">
        <v>3079.46</v>
      </c>
      <c r="D22" s="767">
        <v>3079.46</v>
      </c>
      <c r="E22" s="767">
        <v>10897.04</v>
      </c>
      <c r="I22" s="767">
        <v>3079.46</v>
      </c>
    </row>
    <row r="23" spans="1:9">
      <c r="A23" s="828">
        <v>43476</v>
      </c>
      <c r="B23" t="s">
        <v>4221</v>
      </c>
      <c r="C23" s="767">
        <v>2691.58</v>
      </c>
      <c r="D23" s="767">
        <v>2691.58</v>
      </c>
      <c r="E23" s="767">
        <v>13588.62</v>
      </c>
      <c r="I23" s="767">
        <v>2691.58</v>
      </c>
    </row>
    <row r="24" spans="1:9">
      <c r="A24" s="828">
        <v>44013</v>
      </c>
      <c r="B24" t="s">
        <v>4222</v>
      </c>
      <c r="C24" s="767">
        <v>1929.11</v>
      </c>
      <c r="D24" s="767">
        <v>1929.11</v>
      </c>
      <c r="E24" s="767">
        <v>15517.73</v>
      </c>
      <c r="I24" s="767">
        <v>1929.11</v>
      </c>
    </row>
    <row r="25" spans="1:9">
      <c r="A25" t="s">
        <v>4223</v>
      </c>
      <c r="B25" t="s">
        <v>4224</v>
      </c>
      <c r="C25" s="767">
        <v>1215.44</v>
      </c>
      <c r="D25" s="767">
        <v>1215.44</v>
      </c>
      <c r="E25" s="767">
        <v>16733.169999999998</v>
      </c>
      <c r="I25" s="767">
        <v>1215.44</v>
      </c>
    </row>
    <row r="26" spans="1:9">
      <c r="A26" t="s">
        <v>4223</v>
      </c>
      <c r="B26" t="s">
        <v>4225</v>
      </c>
      <c r="C26">
        <v>774.18</v>
      </c>
      <c r="D26">
        <v>774.18</v>
      </c>
      <c r="E26" s="767">
        <v>17507.349999999999</v>
      </c>
      <c r="I26">
        <v>774.18</v>
      </c>
    </row>
    <row r="27" spans="1:9">
      <c r="A27" t="s">
        <v>4223</v>
      </c>
      <c r="B27" t="s">
        <v>4226</v>
      </c>
      <c r="C27" s="767">
        <v>1101.06</v>
      </c>
      <c r="D27" s="767">
        <v>1101.06</v>
      </c>
      <c r="E27" s="767">
        <v>18608.41</v>
      </c>
      <c r="I27" s="767">
        <v>1101.06</v>
      </c>
    </row>
    <row r="28" spans="1:9">
      <c r="A28" s="828">
        <v>43836</v>
      </c>
      <c r="B28" t="s">
        <v>4227</v>
      </c>
      <c r="C28">
        <v>881.38</v>
      </c>
      <c r="D28">
        <v>881.38</v>
      </c>
      <c r="E28" s="767">
        <v>19489.79</v>
      </c>
      <c r="I28">
        <v>881.38</v>
      </c>
    </row>
    <row r="30" spans="1:9">
      <c r="A30" t="s">
        <v>4216</v>
      </c>
      <c r="B30" s="767">
        <v>19489.79</v>
      </c>
      <c r="C30" s="767">
        <v>19489.79</v>
      </c>
      <c r="D30">
        <v>0</v>
      </c>
      <c r="E30">
        <v>0</v>
      </c>
      <c r="F30">
        <v>0</v>
      </c>
      <c r="G30" s="767">
        <v>19489.79</v>
      </c>
    </row>
    <row r="32" spans="1:9">
      <c r="A32">
        <v>11023</v>
      </c>
      <c r="B32" t="s">
        <v>3379</v>
      </c>
    </row>
    <row r="33" spans="1:9">
      <c r="A33" s="828">
        <v>43864</v>
      </c>
      <c r="B33" t="s">
        <v>4228</v>
      </c>
      <c r="C33" s="767">
        <v>7153.03</v>
      </c>
      <c r="D33">
        <v>370</v>
      </c>
      <c r="E33">
        <v>370</v>
      </c>
      <c r="I33">
        <v>370</v>
      </c>
    </row>
    <row r="34" spans="1:9">
      <c r="A34" s="828">
        <v>43864</v>
      </c>
      <c r="B34" t="s">
        <v>4229</v>
      </c>
      <c r="C34" s="767">
        <v>5278.99</v>
      </c>
      <c r="D34">
        <v>273.05</v>
      </c>
      <c r="E34">
        <v>643.04999999999995</v>
      </c>
      <c r="I34">
        <v>273.05</v>
      </c>
    </row>
    <row r="35" spans="1:9">
      <c r="A35" s="828">
        <v>43864</v>
      </c>
      <c r="B35" t="s">
        <v>4230</v>
      </c>
      <c r="C35" s="767">
        <v>50547.02</v>
      </c>
      <c r="D35">
        <v>839.29</v>
      </c>
      <c r="E35" s="767">
        <v>1482.34</v>
      </c>
      <c r="I35">
        <v>839.29</v>
      </c>
    </row>
    <row r="36" spans="1:9">
      <c r="A36" s="828">
        <v>43834</v>
      </c>
      <c r="B36" t="s">
        <v>4231</v>
      </c>
      <c r="C36" s="767">
        <v>7153.03</v>
      </c>
      <c r="D36" s="767">
        <v>7153.03</v>
      </c>
      <c r="E36" s="767">
        <v>8635.3700000000008</v>
      </c>
      <c r="I36" s="767">
        <v>7153.03</v>
      </c>
    </row>
    <row r="37" spans="1:9">
      <c r="A37" s="828">
        <v>43834</v>
      </c>
      <c r="B37" t="s">
        <v>4232</v>
      </c>
      <c r="C37" s="767">
        <v>5278.99</v>
      </c>
      <c r="D37" s="767">
        <v>5278.99</v>
      </c>
      <c r="E37" s="767">
        <v>13914.36</v>
      </c>
      <c r="I37" s="767">
        <v>5278.99</v>
      </c>
    </row>
    <row r="38" spans="1:9">
      <c r="A38" t="s">
        <v>4233</v>
      </c>
      <c r="B38" t="s">
        <v>4234</v>
      </c>
      <c r="C38" s="767">
        <v>19580.95</v>
      </c>
      <c r="D38">
        <v>17.399999999999999</v>
      </c>
      <c r="E38" s="767">
        <v>13931.76</v>
      </c>
      <c r="I38">
        <v>17.399999999999999</v>
      </c>
    </row>
    <row r="39" spans="1:9">
      <c r="A39" s="828">
        <v>43836</v>
      </c>
      <c r="B39" t="s">
        <v>4235</v>
      </c>
      <c r="C39" s="767">
        <v>20408.34</v>
      </c>
      <c r="D39">
        <v>17.399999999999999</v>
      </c>
      <c r="E39" s="767">
        <v>13949.16</v>
      </c>
      <c r="I39">
        <v>17.399999999999999</v>
      </c>
    </row>
    <row r="40" spans="1:9">
      <c r="A40" s="828">
        <v>43989</v>
      </c>
      <c r="B40" t="s">
        <v>4236</v>
      </c>
      <c r="C40" s="767">
        <v>27375.58</v>
      </c>
      <c r="D40">
        <v>17.399999999999999</v>
      </c>
      <c r="E40" s="767">
        <v>13966.56</v>
      </c>
      <c r="I40">
        <v>17.399999999999999</v>
      </c>
    </row>
    <row r="41" spans="1:9">
      <c r="A41" s="828">
        <v>43959</v>
      </c>
      <c r="B41" t="s">
        <v>4237</v>
      </c>
      <c r="C41" s="767">
        <v>25280.66</v>
      </c>
      <c r="D41">
        <v>17.41</v>
      </c>
      <c r="E41" s="767">
        <v>13983.97</v>
      </c>
      <c r="I41">
        <v>17.41</v>
      </c>
    </row>
    <row r="42" spans="1:9">
      <c r="A42" s="828">
        <v>43899</v>
      </c>
      <c r="B42" t="s">
        <v>5384</v>
      </c>
      <c r="C42" s="767">
        <v>20585.37</v>
      </c>
      <c r="D42">
        <v>17.399999999999999</v>
      </c>
      <c r="E42" s="767">
        <v>14001.37</v>
      </c>
      <c r="I42">
        <v>17.399999999999999</v>
      </c>
    </row>
    <row r="43" spans="1:9">
      <c r="A43" s="828">
        <v>43961</v>
      </c>
      <c r="B43" t="s">
        <v>5449</v>
      </c>
      <c r="C43" s="767">
        <v>20452.89</v>
      </c>
      <c r="D43">
        <v>17.399999999999999</v>
      </c>
      <c r="E43" s="767">
        <v>14018.77</v>
      </c>
      <c r="I43">
        <v>17.399999999999999</v>
      </c>
    </row>
    <row r="44" spans="1:9">
      <c r="A44" s="828">
        <v>43901</v>
      </c>
      <c r="B44" t="s">
        <v>5515</v>
      </c>
      <c r="C44" s="767">
        <v>20144.5</v>
      </c>
      <c r="D44">
        <v>17.399999999999999</v>
      </c>
      <c r="E44" s="767">
        <v>14036.17</v>
      </c>
      <c r="I44">
        <v>17.399999999999999</v>
      </c>
    </row>
    <row r="45" spans="1:9">
      <c r="A45" t="s">
        <v>5516</v>
      </c>
      <c r="B45" t="s">
        <v>5517</v>
      </c>
      <c r="C45" s="767">
        <v>15889.78</v>
      </c>
      <c r="D45">
        <v>107.5</v>
      </c>
      <c r="E45" s="767">
        <v>14143.67</v>
      </c>
      <c r="I45">
        <v>107.5</v>
      </c>
    </row>
    <row r="46" spans="1:9">
      <c r="A46" s="828">
        <v>43842</v>
      </c>
      <c r="B46" t="s">
        <v>5839</v>
      </c>
      <c r="C46" s="767">
        <v>35436</v>
      </c>
      <c r="D46">
        <v>17.420000000000002</v>
      </c>
      <c r="E46" s="767">
        <v>14161.09</v>
      </c>
      <c r="I46">
        <v>17.420000000000002</v>
      </c>
    </row>
    <row r="47" spans="1:9">
      <c r="A47" s="828">
        <v>44317</v>
      </c>
      <c r="B47" t="s">
        <v>6051</v>
      </c>
      <c r="C47" s="767">
        <v>34510.080000000002</v>
      </c>
      <c r="D47">
        <v>17.420000000000002</v>
      </c>
      <c r="E47" s="767">
        <v>14178.51</v>
      </c>
      <c r="I47">
        <v>17.420000000000002</v>
      </c>
    </row>
    <row r="48" spans="1:9">
      <c r="A48" s="828">
        <v>44229</v>
      </c>
      <c r="B48" t="s">
        <v>6313</v>
      </c>
      <c r="C48" s="767">
        <v>37027.14</v>
      </c>
      <c r="D48">
        <v>17.420000000000002</v>
      </c>
      <c r="E48" s="767">
        <v>14195.93</v>
      </c>
      <c r="I48">
        <v>17.420000000000002</v>
      </c>
    </row>
    <row r="49" spans="1:9">
      <c r="A49" s="828">
        <v>44199</v>
      </c>
      <c r="B49" t="s">
        <v>6523</v>
      </c>
      <c r="C49" s="767">
        <v>47521.48</v>
      </c>
      <c r="D49">
        <v>17.43</v>
      </c>
      <c r="E49" s="767">
        <v>14213.36</v>
      </c>
      <c r="I49">
        <v>17.43</v>
      </c>
    </row>
    <row r="51" spans="1:9">
      <c r="A51" t="s">
        <v>4216</v>
      </c>
      <c r="B51" s="767">
        <v>399623.83</v>
      </c>
      <c r="C51" s="767">
        <v>14213.36</v>
      </c>
      <c r="D51">
        <v>0</v>
      </c>
      <c r="E51">
        <v>0</v>
      </c>
      <c r="F51">
        <v>0</v>
      </c>
      <c r="G51" s="767">
        <v>14213.36</v>
      </c>
    </row>
    <row r="53" spans="1:9">
      <c r="A53">
        <v>11053</v>
      </c>
      <c r="B53" t="s">
        <v>3380</v>
      </c>
    </row>
    <row r="54" spans="1:9">
      <c r="A54" s="828">
        <v>43232</v>
      </c>
      <c r="B54" t="s">
        <v>4238</v>
      </c>
      <c r="C54" s="767">
        <v>11017.15</v>
      </c>
      <c r="D54" s="767">
        <v>10000.25</v>
      </c>
      <c r="E54" s="767">
        <v>10000.25</v>
      </c>
      <c r="I54" s="767">
        <v>10000.25</v>
      </c>
    </row>
    <row r="55" spans="1:9">
      <c r="A55" s="828">
        <v>44200</v>
      </c>
      <c r="B55" t="s">
        <v>6963</v>
      </c>
      <c r="C55" s="767">
        <v>11529.61</v>
      </c>
      <c r="D55" s="767">
        <v>11529.61</v>
      </c>
      <c r="E55" s="767">
        <v>21529.86</v>
      </c>
      <c r="H55" s="767">
        <v>11529.61</v>
      </c>
    </row>
    <row r="56" spans="1:9">
      <c r="A56" s="828">
        <v>44200</v>
      </c>
      <c r="B56" t="s">
        <v>6964</v>
      </c>
      <c r="C56" s="767">
        <v>1073.31</v>
      </c>
      <c r="D56" s="767">
        <v>1073.31</v>
      </c>
      <c r="E56" s="767">
        <v>22603.17</v>
      </c>
      <c r="H56" s="767">
        <v>1073.31</v>
      </c>
    </row>
    <row r="58" spans="1:9">
      <c r="A58" t="s">
        <v>4216</v>
      </c>
      <c r="B58" s="767">
        <v>23620.07</v>
      </c>
      <c r="C58" s="767">
        <v>22603.17</v>
      </c>
      <c r="D58">
        <v>0</v>
      </c>
      <c r="E58">
        <v>0</v>
      </c>
      <c r="F58" s="767">
        <v>12602.92</v>
      </c>
      <c r="G58" s="767">
        <v>10000.25</v>
      </c>
    </row>
    <row r="60" spans="1:9">
      <c r="A60">
        <v>11060</v>
      </c>
      <c r="B60" t="s">
        <v>6524</v>
      </c>
    </row>
    <row r="61" spans="1:9">
      <c r="A61" s="828">
        <v>44200</v>
      </c>
      <c r="B61" t="s">
        <v>6965</v>
      </c>
      <c r="C61" s="767">
        <v>7092.98</v>
      </c>
      <c r="D61" s="767">
        <v>7092.98</v>
      </c>
      <c r="E61" s="767">
        <v>7092.98</v>
      </c>
      <c r="H61" s="767">
        <v>7092.98</v>
      </c>
    </row>
    <row r="63" spans="1:9">
      <c r="A63" t="s">
        <v>4216</v>
      </c>
      <c r="B63" s="767">
        <v>7092.98</v>
      </c>
      <c r="C63" s="767">
        <v>7092.98</v>
      </c>
      <c r="D63">
        <v>0</v>
      </c>
      <c r="E63">
        <v>0</v>
      </c>
      <c r="F63" s="767">
        <v>7092.98</v>
      </c>
      <c r="G63">
        <v>0</v>
      </c>
    </row>
    <row r="65" spans="1:9">
      <c r="A65">
        <v>11073</v>
      </c>
      <c r="B65" t="s">
        <v>4239</v>
      </c>
    </row>
    <row r="66" spans="1:9">
      <c r="A66" s="828">
        <v>44378</v>
      </c>
      <c r="B66" t="s">
        <v>6052</v>
      </c>
      <c r="C66" s="767">
        <v>4259.18</v>
      </c>
      <c r="D66" s="767">
        <v>4259.18</v>
      </c>
      <c r="E66" s="767">
        <v>4259.18</v>
      </c>
      <c r="I66" s="767">
        <v>4259.18</v>
      </c>
    </row>
    <row r="68" spans="1:9">
      <c r="A68" t="s">
        <v>4216</v>
      </c>
      <c r="B68" s="767">
        <v>4259.18</v>
      </c>
      <c r="C68" s="767">
        <v>4259.18</v>
      </c>
      <c r="D68">
        <v>0</v>
      </c>
      <c r="E68">
        <v>0</v>
      </c>
      <c r="F68">
        <v>0</v>
      </c>
      <c r="G68" s="767">
        <v>4259.18</v>
      </c>
    </row>
    <row r="70" spans="1:9">
      <c r="A70">
        <v>11075</v>
      </c>
      <c r="B70" t="s">
        <v>3381</v>
      </c>
    </row>
    <row r="71" spans="1:9">
      <c r="A71" s="828">
        <v>43232</v>
      </c>
      <c r="B71" t="s">
        <v>4240</v>
      </c>
      <c r="C71" s="767">
        <v>1313.19</v>
      </c>
      <c r="D71" s="767">
        <v>1313.19</v>
      </c>
      <c r="E71" s="767">
        <v>1313.19</v>
      </c>
      <c r="I71" s="767">
        <v>1313.19</v>
      </c>
    </row>
    <row r="72" spans="1:9">
      <c r="A72" s="828">
        <v>44200</v>
      </c>
      <c r="B72" t="s">
        <v>6966</v>
      </c>
      <c r="C72" s="767">
        <v>1759.19</v>
      </c>
      <c r="D72" s="767">
        <v>1759.19</v>
      </c>
      <c r="E72" s="767">
        <v>3072.38</v>
      </c>
      <c r="H72" s="767">
        <v>1759.19</v>
      </c>
    </row>
    <row r="74" spans="1:9">
      <c r="A74" t="s">
        <v>4216</v>
      </c>
      <c r="B74" s="767">
        <v>3072.38</v>
      </c>
      <c r="C74" s="767">
        <v>3072.38</v>
      </c>
      <c r="D74">
        <v>0</v>
      </c>
      <c r="E74">
        <v>0</v>
      </c>
      <c r="F74" s="767">
        <v>1759.19</v>
      </c>
      <c r="G74" s="767">
        <v>1313.19</v>
      </c>
    </row>
    <row r="76" spans="1:9">
      <c r="A76">
        <v>11076</v>
      </c>
      <c r="B76" t="s">
        <v>5385</v>
      </c>
    </row>
    <row r="77" spans="1:9">
      <c r="A77" s="828">
        <v>44230</v>
      </c>
      <c r="B77" t="s">
        <v>6526</v>
      </c>
      <c r="C77" s="767">
        <v>6896.38</v>
      </c>
      <c r="D77" s="767">
        <v>6896.38</v>
      </c>
      <c r="E77" s="767">
        <v>6896.38</v>
      </c>
      <c r="I77" s="767">
        <v>6896.38</v>
      </c>
    </row>
    <row r="78" spans="1:9">
      <c r="A78" s="828">
        <v>44200</v>
      </c>
      <c r="B78" t="s">
        <v>6967</v>
      </c>
      <c r="C78" s="767">
        <v>6062.41</v>
      </c>
      <c r="D78" s="767">
        <v>6062.41</v>
      </c>
      <c r="E78" s="767">
        <v>12958.79</v>
      </c>
      <c r="H78" s="767">
        <v>6062.41</v>
      </c>
    </row>
    <row r="80" spans="1:9">
      <c r="A80" t="s">
        <v>4216</v>
      </c>
      <c r="B80" s="767">
        <v>12958.79</v>
      </c>
      <c r="C80" s="767">
        <v>12958.79</v>
      </c>
      <c r="D80">
        <v>0</v>
      </c>
      <c r="E80">
        <v>0</v>
      </c>
      <c r="F80" s="767">
        <v>6062.41</v>
      </c>
      <c r="G80" s="767">
        <v>6896.38</v>
      </c>
    </row>
    <row r="82" spans="1:9">
      <c r="A82">
        <v>11089</v>
      </c>
      <c r="B82" t="s">
        <v>3383</v>
      </c>
    </row>
    <row r="83" spans="1:9">
      <c r="A83" s="828">
        <v>43531</v>
      </c>
      <c r="B83" t="s">
        <v>4242</v>
      </c>
      <c r="C83" s="767">
        <v>1624.75</v>
      </c>
      <c r="D83" s="767">
        <v>1624.75</v>
      </c>
      <c r="E83" s="767">
        <v>1624.75</v>
      </c>
      <c r="I83" s="767">
        <v>1624.75</v>
      </c>
    </row>
    <row r="84" spans="1:9">
      <c r="A84" s="828">
        <v>43624</v>
      </c>
      <c r="B84" t="s">
        <v>4243</v>
      </c>
      <c r="C84" s="767">
        <v>1121.48</v>
      </c>
      <c r="D84" s="767">
        <v>1121.48</v>
      </c>
      <c r="E84" s="767">
        <v>2746.23</v>
      </c>
      <c r="I84" s="767">
        <v>1121.48</v>
      </c>
    </row>
    <row r="86" spans="1:9">
      <c r="A86" t="s">
        <v>4216</v>
      </c>
      <c r="B86" s="767">
        <v>2746.23</v>
      </c>
      <c r="C86" s="767">
        <v>2746.23</v>
      </c>
      <c r="D86">
        <v>0</v>
      </c>
      <c r="E86">
        <v>0</v>
      </c>
      <c r="F86">
        <v>0</v>
      </c>
      <c r="G86" s="767">
        <v>2746.23</v>
      </c>
    </row>
    <row r="88" spans="1:9">
      <c r="A88">
        <v>11092</v>
      </c>
      <c r="B88" t="s">
        <v>6053</v>
      </c>
    </row>
    <row r="89" spans="1:9">
      <c r="A89" t="s">
        <v>6527</v>
      </c>
      <c r="B89" t="s">
        <v>6528</v>
      </c>
      <c r="C89" s="767">
        <v>11808.25</v>
      </c>
      <c r="D89" s="767">
        <v>11808.25</v>
      </c>
      <c r="E89" s="767">
        <v>11808.25</v>
      </c>
      <c r="H89" s="767">
        <v>11808.25</v>
      </c>
    </row>
    <row r="90" spans="1:9">
      <c r="A90" t="s">
        <v>6527</v>
      </c>
      <c r="B90" t="s">
        <v>6529</v>
      </c>
      <c r="C90" s="767">
        <v>2010.94</v>
      </c>
      <c r="D90" s="767">
        <v>2010.94</v>
      </c>
      <c r="E90" s="767">
        <v>13819.19</v>
      </c>
      <c r="H90" s="767">
        <v>2010.94</v>
      </c>
    </row>
    <row r="91" spans="1:9">
      <c r="A91" s="828">
        <v>44200</v>
      </c>
      <c r="B91" t="s">
        <v>6968</v>
      </c>
      <c r="C91" s="767">
        <v>12794.82</v>
      </c>
      <c r="D91" s="767">
        <v>12794.82</v>
      </c>
      <c r="E91" s="767">
        <v>26614.01</v>
      </c>
      <c r="H91" s="767">
        <v>12794.82</v>
      </c>
    </row>
    <row r="92" spans="1:9">
      <c r="A92" s="828">
        <v>44200</v>
      </c>
      <c r="B92" t="s">
        <v>6969</v>
      </c>
      <c r="C92" s="767">
        <v>2020.06</v>
      </c>
      <c r="D92" s="767">
        <v>2020.06</v>
      </c>
      <c r="E92" s="767">
        <v>28634.07</v>
      </c>
      <c r="H92" s="767">
        <v>2020.06</v>
      </c>
    </row>
    <row r="94" spans="1:9">
      <c r="A94" t="s">
        <v>4216</v>
      </c>
      <c r="B94" s="767">
        <v>28634.07</v>
      </c>
      <c r="C94" s="767">
        <v>28634.07</v>
      </c>
      <c r="D94">
        <v>0</v>
      </c>
      <c r="E94">
        <v>0</v>
      </c>
      <c r="F94" s="767">
        <v>28634.07</v>
      </c>
      <c r="G94">
        <v>0</v>
      </c>
    </row>
    <row r="96" spans="1:9">
      <c r="A96">
        <v>11100</v>
      </c>
      <c r="B96" t="s">
        <v>3384</v>
      </c>
    </row>
    <row r="97" spans="1:9">
      <c r="A97" s="828">
        <v>43232</v>
      </c>
      <c r="B97" t="s">
        <v>4244</v>
      </c>
      <c r="C97" s="767">
        <v>2728.74</v>
      </c>
      <c r="D97">
        <v>413.28</v>
      </c>
      <c r="E97">
        <v>413.28</v>
      </c>
      <c r="I97">
        <v>413.28</v>
      </c>
    </row>
    <row r="98" spans="1:9">
      <c r="A98" s="828">
        <v>43232</v>
      </c>
      <c r="B98" t="s">
        <v>4245</v>
      </c>
      <c r="C98" s="767">
        <v>5927.57</v>
      </c>
      <c r="D98" s="767">
        <v>5927.57</v>
      </c>
      <c r="E98" s="767">
        <v>6340.85</v>
      </c>
      <c r="I98" s="767">
        <v>5927.57</v>
      </c>
    </row>
    <row r="99" spans="1:9">
      <c r="A99" s="828">
        <v>43232</v>
      </c>
      <c r="B99" t="s">
        <v>4246</v>
      </c>
      <c r="C99" s="767">
        <v>2023.7</v>
      </c>
      <c r="D99" s="767">
        <v>2023.7</v>
      </c>
      <c r="E99" s="767">
        <v>8364.5499999999993</v>
      </c>
      <c r="I99" s="767">
        <v>2023.7</v>
      </c>
    </row>
    <row r="100" spans="1:9">
      <c r="A100" s="828">
        <v>43232</v>
      </c>
      <c r="B100" t="s">
        <v>4247</v>
      </c>
      <c r="C100" s="767">
        <v>2728.74</v>
      </c>
      <c r="D100" s="767">
        <v>2728.74</v>
      </c>
      <c r="E100" s="767">
        <v>11093.29</v>
      </c>
      <c r="I100" s="767">
        <v>2728.74</v>
      </c>
    </row>
    <row r="101" spans="1:9">
      <c r="A101" s="828">
        <v>43232</v>
      </c>
      <c r="B101" t="s">
        <v>4248</v>
      </c>
      <c r="C101" s="767">
        <v>5741.07</v>
      </c>
      <c r="D101" s="767">
        <v>5741.07</v>
      </c>
      <c r="E101" s="767">
        <v>16834.36</v>
      </c>
      <c r="I101" s="767">
        <v>5741.07</v>
      </c>
    </row>
    <row r="102" spans="1:9">
      <c r="A102" s="828">
        <v>43232</v>
      </c>
      <c r="B102" t="s">
        <v>4249</v>
      </c>
      <c r="C102" s="767">
        <v>2023.7</v>
      </c>
      <c r="D102" s="767">
        <v>2023.7</v>
      </c>
      <c r="E102" s="767">
        <v>18858.060000000001</v>
      </c>
      <c r="I102" s="767">
        <v>2023.7</v>
      </c>
    </row>
    <row r="103" spans="1:9">
      <c r="A103" s="828">
        <v>43232</v>
      </c>
      <c r="B103" t="s">
        <v>4250</v>
      </c>
      <c r="C103" s="767">
        <v>2728.74</v>
      </c>
      <c r="D103" s="767">
        <v>2728.74</v>
      </c>
      <c r="E103" s="767">
        <v>21586.799999999999</v>
      </c>
      <c r="I103" s="767">
        <v>2728.74</v>
      </c>
    </row>
    <row r="104" spans="1:9">
      <c r="A104" s="828">
        <v>43232</v>
      </c>
      <c r="B104" t="s">
        <v>4251</v>
      </c>
      <c r="C104" s="767">
        <v>5592.42</v>
      </c>
      <c r="D104" s="767">
        <v>5592.42</v>
      </c>
      <c r="E104" s="767">
        <v>27179.22</v>
      </c>
      <c r="I104" s="767">
        <v>5592.42</v>
      </c>
    </row>
    <row r="105" spans="1:9">
      <c r="A105" s="828">
        <v>43232</v>
      </c>
      <c r="B105" t="s">
        <v>4252</v>
      </c>
      <c r="C105" s="767">
        <v>2023.7</v>
      </c>
      <c r="D105" s="767">
        <v>2023.7</v>
      </c>
      <c r="E105" s="767">
        <v>29202.92</v>
      </c>
      <c r="I105" s="767">
        <v>2023.7</v>
      </c>
    </row>
    <row r="106" spans="1:9">
      <c r="A106" s="828">
        <v>43232</v>
      </c>
      <c r="B106" t="s">
        <v>4253</v>
      </c>
      <c r="C106" s="767">
        <v>2728.74</v>
      </c>
      <c r="D106" s="767">
        <v>2728.74</v>
      </c>
      <c r="E106" s="767">
        <v>31931.66</v>
      </c>
      <c r="I106" s="767">
        <v>2728.74</v>
      </c>
    </row>
    <row r="107" spans="1:9">
      <c r="A107" s="828">
        <v>43232</v>
      </c>
      <c r="B107" t="s">
        <v>4254</v>
      </c>
      <c r="C107" s="767">
        <v>5443.76</v>
      </c>
      <c r="D107" s="767">
        <v>5443.76</v>
      </c>
      <c r="E107" s="767">
        <v>37375.42</v>
      </c>
      <c r="I107" s="767">
        <v>5443.76</v>
      </c>
    </row>
    <row r="108" spans="1:9">
      <c r="A108" s="828">
        <v>43232</v>
      </c>
      <c r="B108" t="s">
        <v>4255</v>
      </c>
      <c r="C108" s="767">
        <v>2023.7</v>
      </c>
      <c r="D108" s="767">
        <v>2023.7</v>
      </c>
      <c r="E108" s="767">
        <v>39399.120000000003</v>
      </c>
      <c r="I108" s="767">
        <v>2023.7</v>
      </c>
    </row>
    <row r="109" spans="1:9">
      <c r="A109" s="828">
        <v>43232</v>
      </c>
      <c r="B109" t="s">
        <v>4256</v>
      </c>
      <c r="C109" s="767">
        <v>2837.88</v>
      </c>
      <c r="D109" s="767">
        <v>2837.88</v>
      </c>
      <c r="E109" s="767">
        <v>42237</v>
      </c>
      <c r="I109" s="767">
        <v>2837.88</v>
      </c>
    </row>
    <row r="110" spans="1:9">
      <c r="A110" s="828">
        <v>43232</v>
      </c>
      <c r="B110" t="s">
        <v>4257</v>
      </c>
      <c r="C110" s="767">
        <v>5363.34</v>
      </c>
      <c r="D110" s="767">
        <v>5363.34</v>
      </c>
      <c r="E110" s="767">
        <v>47600.34</v>
      </c>
      <c r="I110" s="767">
        <v>5363.34</v>
      </c>
    </row>
    <row r="111" spans="1:9">
      <c r="A111" s="828">
        <v>43232</v>
      </c>
      <c r="B111" t="s">
        <v>4258</v>
      </c>
      <c r="C111" s="767">
        <v>2104.65</v>
      </c>
      <c r="D111" s="767">
        <v>2104.65</v>
      </c>
      <c r="E111" s="767">
        <v>49704.99</v>
      </c>
      <c r="I111" s="767">
        <v>2104.65</v>
      </c>
    </row>
    <row r="112" spans="1:9">
      <c r="A112" s="828">
        <v>43232</v>
      </c>
      <c r="B112" t="s">
        <v>4259</v>
      </c>
      <c r="C112" s="767">
        <v>2837.88</v>
      </c>
      <c r="D112" s="767">
        <v>2837.88</v>
      </c>
      <c r="E112" s="767">
        <v>52542.87</v>
      </c>
      <c r="I112" s="767">
        <v>2837.88</v>
      </c>
    </row>
    <row r="113" spans="1:9">
      <c r="A113" s="828">
        <v>43232</v>
      </c>
      <c r="B113" t="s">
        <v>4260</v>
      </c>
      <c r="C113" s="767">
        <v>5495.44</v>
      </c>
      <c r="D113" s="767">
        <v>5495.44</v>
      </c>
      <c r="E113" s="767">
        <v>58038.31</v>
      </c>
      <c r="I113" s="767">
        <v>5495.44</v>
      </c>
    </row>
    <row r="114" spans="1:9">
      <c r="A114" s="828">
        <v>43232</v>
      </c>
      <c r="B114" t="s">
        <v>4261</v>
      </c>
      <c r="C114" s="767">
        <v>2104.65</v>
      </c>
      <c r="D114" s="767">
        <v>2104.65</v>
      </c>
      <c r="E114" s="767">
        <v>60142.96</v>
      </c>
      <c r="I114" s="767">
        <v>2104.65</v>
      </c>
    </row>
    <row r="115" spans="1:9">
      <c r="A115" s="828">
        <v>43232</v>
      </c>
      <c r="B115" t="s">
        <v>4262</v>
      </c>
      <c r="C115" s="767">
        <v>2837.88</v>
      </c>
      <c r="D115" s="767">
        <v>2837.88</v>
      </c>
      <c r="E115" s="767">
        <v>62980.84</v>
      </c>
      <c r="I115" s="767">
        <v>2837.88</v>
      </c>
    </row>
    <row r="116" spans="1:9">
      <c r="A116" s="828">
        <v>43232</v>
      </c>
      <c r="B116" t="s">
        <v>4263</v>
      </c>
      <c r="C116" s="767">
        <v>5003.57</v>
      </c>
      <c r="D116" s="767">
        <v>5003.57</v>
      </c>
      <c r="E116" s="767">
        <v>67984.41</v>
      </c>
      <c r="I116" s="767">
        <v>5003.57</v>
      </c>
    </row>
    <row r="117" spans="1:9">
      <c r="A117" s="828">
        <v>43232</v>
      </c>
      <c r="B117" t="s">
        <v>4264</v>
      </c>
      <c r="C117" s="767">
        <v>2104.65</v>
      </c>
      <c r="D117" s="767">
        <v>2104.65</v>
      </c>
      <c r="E117" s="767">
        <v>70089.06</v>
      </c>
      <c r="I117" s="767">
        <v>2104.65</v>
      </c>
    </row>
    <row r="118" spans="1:9">
      <c r="A118" s="828">
        <v>43232</v>
      </c>
      <c r="B118" t="s">
        <v>4265</v>
      </c>
      <c r="C118" s="767">
        <v>2837.88</v>
      </c>
      <c r="D118" s="767">
        <v>2837.88</v>
      </c>
      <c r="E118" s="767">
        <v>72926.94</v>
      </c>
      <c r="I118" s="767">
        <v>2837.88</v>
      </c>
    </row>
    <row r="119" spans="1:9">
      <c r="A119" s="828">
        <v>43232</v>
      </c>
      <c r="B119" t="s">
        <v>4266</v>
      </c>
      <c r="C119" s="767">
        <v>5383.01</v>
      </c>
      <c r="D119" s="767">
        <v>5383.01</v>
      </c>
      <c r="E119" s="767">
        <v>78309.95</v>
      </c>
      <c r="I119" s="767">
        <v>5383.01</v>
      </c>
    </row>
    <row r="120" spans="1:9">
      <c r="A120" s="828">
        <v>43232</v>
      </c>
      <c r="B120" t="s">
        <v>4267</v>
      </c>
      <c r="C120" s="767">
        <v>2104.65</v>
      </c>
      <c r="D120" s="767">
        <v>2104.65</v>
      </c>
      <c r="E120" s="767">
        <v>80414.600000000006</v>
      </c>
      <c r="I120" s="767">
        <v>2104.65</v>
      </c>
    </row>
    <row r="121" spans="1:9">
      <c r="A121" s="828">
        <v>43232</v>
      </c>
      <c r="B121" t="s">
        <v>4268</v>
      </c>
      <c r="C121" s="767">
        <v>2837.88</v>
      </c>
      <c r="D121" s="767">
        <v>2837.88</v>
      </c>
      <c r="E121" s="767">
        <v>83252.479999999996</v>
      </c>
      <c r="I121" s="767">
        <v>2837.88</v>
      </c>
    </row>
    <row r="122" spans="1:9">
      <c r="A122" s="828">
        <v>43232</v>
      </c>
      <c r="B122" t="s">
        <v>4269</v>
      </c>
      <c r="C122" s="767">
        <v>6726.52</v>
      </c>
      <c r="D122" s="767">
        <v>6726.52</v>
      </c>
      <c r="E122" s="767">
        <v>89979</v>
      </c>
      <c r="I122" s="767">
        <v>6726.52</v>
      </c>
    </row>
    <row r="123" spans="1:9">
      <c r="A123" s="828">
        <v>43232</v>
      </c>
      <c r="B123" t="s">
        <v>4270</v>
      </c>
      <c r="C123" s="767">
        <v>2104.65</v>
      </c>
      <c r="D123" s="767">
        <v>2104.65</v>
      </c>
      <c r="E123" s="767">
        <v>92083.65</v>
      </c>
      <c r="I123" s="767">
        <v>2104.65</v>
      </c>
    </row>
    <row r="124" spans="1:9">
      <c r="A124" s="828">
        <v>43232</v>
      </c>
      <c r="B124" t="s">
        <v>4271</v>
      </c>
      <c r="C124" s="767">
        <v>2837.88</v>
      </c>
      <c r="D124" s="767">
        <v>2837.88</v>
      </c>
      <c r="E124" s="767">
        <v>94921.53</v>
      </c>
      <c r="I124" s="767">
        <v>2837.88</v>
      </c>
    </row>
    <row r="125" spans="1:9">
      <c r="A125" s="828">
        <v>43232</v>
      </c>
      <c r="B125" t="s">
        <v>4272</v>
      </c>
      <c r="C125" s="767">
        <v>4767.47</v>
      </c>
      <c r="D125" s="767">
        <v>4767.47</v>
      </c>
      <c r="E125" s="767">
        <v>99689</v>
      </c>
      <c r="I125" s="767">
        <v>4767.47</v>
      </c>
    </row>
    <row r="126" spans="1:9">
      <c r="A126" s="828">
        <v>43232</v>
      </c>
      <c r="B126" t="s">
        <v>4273</v>
      </c>
      <c r="C126" s="767">
        <v>2104.65</v>
      </c>
      <c r="D126" s="767">
        <v>2104.65</v>
      </c>
      <c r="E126" s="767">
        <v>101793.65</v>
      </c>
      <c r="I126" s="767">
        <v>2104.65</v>
      </c>
    </row>
    <row r="127" spans="1:9">
      <c r="A127" s="828">
        <v>43232</v>
      </c>
      <c r="B127" t="s">
        <v>4274</v>
      </c>
      <c r="C127" s="767">
        <v>2837.88</v>
      </c>
      <c r="D127" s="767">
        <v>2837.88</v>
      </c>
      <c r="E127" s="767">
        <v>104631.53</v>
      </c>
      <c r="I127" s="767">
        <v>2837.88</v>
      </c>
    </row>
    <row r="128" spans="1:9">
      <c r="A128" s="828">
        <v>43232</v>
      </c>
      <c r="B128" t="s">
        <v>4275</v>
      </c>
      <c r="C128" s="767">
        <v>4756.2299999999996</v>
      </c>
      <c r="D128" s="767">
        <v>4756.2299999999996</v>
      </c>
      <c r="E128" s="767">
        <v>109387.76</v>
      </c>
      <c r="I128" s="767">
        <v>4756.2299999999996</v>
      </c>
    </row>
    <row r="129" spans="1:9">
      <c r="A129" s="828">
        <v>43232</v>
      </c>
      <c r="B129" t="s">
        <v>4276</v>
      </c>
      <c r="C129" s="767">
        <v>2104.65</v>
      </c>
      <c r="D129" s="767">
        <v>2104.65</v>
      </c>
      <c r="E129" s="767">
        <v>111492.41</v>
      </c>
      <c r="I129" s="767">
        <v>2104.65</v>
      </c>
    </row>
    <row r="130" spans="1:9">
      <c r="A130" s="828">
        <v>43232</v>
      </c>
      <c r="B130" t="s">
        <v>4277</v>
      </c>
      <c r="C130" s="767">
        <v>2837.88</v>
      </c>
      <c r="D130" s="767">
        <v>2837.88</v>
      </c>
      <c r="E130" s="767">
        <v>114330.29</v>
      </c>
      <c r="I130" s="767">
        <v>2837.88</v>
      </c>
    </row>
    <row r="131" spans="1:9">
      <c r="A131" s="828">
        <v>43232</v>
      </c>
      <c r="B131" t="s">
        <v>4278</v>
      </c>
      <c r="C131" s="767">
        <v>5236.8500000000004</v>
      </c>
      <c r="D131" s="767">
        <v>5236.8500000000004</v>
      </c>
      <c r="E131" s="767">
        <v>119567.14</v>
      </c>
      <c r="I131" s="767">
        <v>5236.8500000000004</v>
      </c>
    </row>
    <row r="132" spans="1:9">
      <c r="A132" s="828">
        <v>43232</v>
      </c>
      <c r="B132" t="s">
        <v>4279</v>
      </c>
      <c r="C132" s="767">
        <v>2104.65</v>
      </c>
      <c r="D132" s="767">
        <v>2104.65</v>
      </c>
      <c r="E132" s="767">
        <v>121671.79</v>
      </c>
      <c r="I132" s="767">
        <v>2104.65</v>
      </c>
    </row>
    <row r="133" spans="1:9">
      <c r="A133" s="828">
        <v>43232</v>
      </c>
      <c r="B133" t="s">
        <v>4280</v>
      </c>
      <c r="C133" s="767">
        <v>2837.88</v>
      </c>
      <c r="D133" s="767">
        <v>2837.88</v>
      </c>
      <c r="E133" s="767">
        <v>124509.67</v>
      </c>
      <c r="I133" s="767">
        <v>2837.88</v>
      </c>
    </row>
    <row r="134" spans="1:9">
      <c r="A134" s="828">
        <v>43232</v>
      </c>
      <c r="B134" t="s">
        <v>4281</v>
      </c>
      <c r="C134" s="767">
        <v>4879.8999999999996</v>
      </c>
      <c r="D134" s="767">
        <v>4879.8999999999996</v>
      </c>
      <c r="E134" s="767">
        <v>129389.57</v>
      </c>
      <c r="I134" s="767">
        <v>4879.8999999999996</v>
      </c>
    </row>
    <row r="135" spans="1:9">
      <c r="A135" s="828">
        <v>43232</v>
      </c>
      <c r="B135" t="s">
        <v>4282</v>
      </c>
      <c r="C135" s="767">
        <v>2104.65</v>
      </c>
      <c r="D135" s="767">
        <v>2104.65</v>
      </c>
      <c r="E135" s="767">
        <v>131494.22</v>
      </c>
      <c r="I135" s="767">
        <v>2104.65</v>
      </c>
    </row>
    <row r="136" spans="1:9">
      <c r="A136" s="828">
        <v>43232</v>
      </c>
      <c r="B136" t="s">
        <v>4283</v>
      </c>
      <c r="C136" s="767">
        <v>2837.88</v>
      </c>
      <c r="D136" s="767">
        <v>2837.88</v>
      </c>
      <c r="E136" s="767">
        <v>134332.1</v>
      </c>
      <c r="I136" s="767">
        <v>2837.88</v>
      </c>
    </row>
    <row r="137" spans="1:9">
      <c r="A137" s="828">
        <v>43232</v>
      </c>
      <c r="B137" t="s">
        <v>4284</v>
      </c>
      <c r="C137" s="767">
        <v>4936.1099999999997</v>
      </c>
      <c r="D137" s="767">
        <v>4936.1099999999997</v>
      </c>
      <c r="E137" s="767">
        <v>139268.21</v>
      </c>
      <c r="I137" s="767">
        <v>4936.1099999999997</v>
      </c>
    </row>
    <row r="138" spans="1:9">
      <c r="A138" s="828">
        <v>43232</v>
      </c>
      <c r="B138" t="s">
        <v>4285</v>
      </c>
      <c r="C138" s="767">
        <v>2104.65</v>
      </c>
      <c r="D138" s="767">
        <v>2104.65</v>
      </c>
      <c r="E138" s="767">
        <v>141372.85999999999</v>
      </c>
      <c r="I138" s="767">
        <v>2104.65</v>
      </c>
    </row>
    <row r="139" spans="1:9">
      <c r="A139" s="828">
        <v>43232</v>
      </c>
      <c r="B139" t="s">
        <v>4286</v>
      </c>
      <c r="C139" s="767">
        <v>2837.88</v>
      </c>
      <c r="D139" s="767">
        <v>2837.88</v>
      </c>
      <c r="E139" s="767">
        <v>144210.74</v>
      </c>
      <c r="I139" s="767">
        <v>2837.88</v>
      </c>
    </row>
    <row r="140" spans="1:9">
      <c r="A140" s="828">
        <v>43232</v>
      </c>
      <c r="B140" t="s">
        <v>4287</v>
      </c>
      <c r="C140" s="767">
        <v>5009.1899999999996</v>
      </c>
      <c r="D140" s="767">
        <v>5009.1899999999996</v>
      </c>
      <c r="E140" s="767">
        <v>149219.93</v>
      </c>
      <c r="I140" s="767">
        <v>5009.1899999999996</v>
      </c>
    </row>
    <row r="141" spans="1:9">
      <c r="A141" s="828">
        <v>43232</v>
      </c>
      <c r="B141" t="s">
        <v>4288</v>
      </c>
      <c r="C141" s="767">
        <v>2104.65</v>
      </c>
      <c r="D141" s="767">
        <v>2104.65</v>
      </c>
      <c r="E141" s="767">
        <v>151324.57999999999</v>
      </c>
      <c r="I141" s="767">
        <v>2104.65</v>
      </c>
    </row>
    <row r="142" spans="1:9">
      <c r="A142" s="828">
        <v>43232</v>
      </c>
      <c r="B142" t="s">
        <v>4289</v>
      </c>
      <c r="C142" s="767">
        <v>2837.88</v>
      </c>
      <c r="D142" s="767">
        <v>2837.88</v>
      </c>
      <c r="E142" s="767">
        <v>154162.46</v>
      </c>
      <c r="I142" s="767">
        <v>2837.88</v>
      </c>
    </row>
    <row r="143" spans="1:9">
      <c r="A143" s="828">
        <v>43232</v>
      </c>
      <c r="B143" t="s">
        <v>4290</v>
      </c>
      <c r="C143" s="767">
        <v>5003.57</v>
      </c>
      <c r="D143" s="767">
        <v>5003.57</v>
      </c>
      <c r="E143" s="767">
        <v>159166.03</v>
      </c>
      <c r="I143" s="767">
        <v>5003.57</v>
      </c>
    </row>
    <row r="144" spans="1:9">
      <c r="A144" s="828">
        <v>43232</v>
      </c>
      <c r="B144" t="s">
        <v>4291</v>
      </c>
      <c r="C144" s="767">
        <v>2104.65</v>
      </c>
      <c r="D144" s="767">
        <v>2104.65</v>
      </c>
      <c r="E144" s="767">
        <v>161270.68</v>
      </c>
      <c r="I144" s="767">
        <v>2104.65</v>
      </c>
    </row>
    <row r="145" spans="1:9">
      <c r="A145" s="828">
        <v>43232</v>
      </c>
      <c r="B145" t="s">
        <v>4292</v>
      </c>
      <c r="C145" s="767">
        <v>2965.57</v>
      </c>
      <c r="D145" s="767">
        <v>2965.57</v>
      </c>
      <c r="E145" s="767">
        <v>164236.25</v>
      </c>
      <c r="I145" s="767">
        <v>2965.57</v>
      </c>
    </row>
    <row r="146" spans="1:9">
      <c r="A146" s="828">
        <v>43232</v>
      </c>
      <c r="B146" t="s">
        <v>4293</v>
      </c>
      <c r="C146" s="767">
        <v>5657.51</v>
      </c>
      <c r="D146" s="767">
        <v>5657.51</v>
      </c>
      <c r="E146" s="767">
        <v>169893.76000000001</v>
      </c>
      <c r="I146" s="767">
        <v>5657.51</v>
      </c>
    </row>
    <row r="147" spans="1:9">
      <c r="A147" s="828">
        <v>43232</v>
      </c>
      <c r="B147" t="s">
        <v>4294</v>
      </c>
      <c r="C147" s="767">
        <v>2199.35</v>
      </c>
      <c r="D147" s="767">
        <v>2199.35</v>
      </c>
      <c r="E147" s="767">
        <v>172093.11</v>
      </c>
      <c r="I147" s="767">
        <v>2199.35</v>
      </c>
    </row>
    <row r="148" spans="1:9">
      <c r="A148" s="828">
        <v>43232</v>
      </c>
      <c r="B148" t="s">
        <v>4295</v>
      </c>
      <c r="C148" s="767">
        <v>2965.57</v>
      </c>
      <c r="D148" s="767">
        <v>2965.57</v>
      </c>
      <c r="E148" s="767">
        <v>175058.68</v>
      </c>
      <c r="I148" s="767">
        <v>2965.57</v>
      </c>
    </row>
    <row r="149" spans="1:9">
      <c r="A149" s="828">
        <v>43232</v>
      </c>
      <c r="B149" t="s">
        <v>4296</v>
      </c>
      <c r="C149" s="767">
        <v>10826.84</v>
      </c>
      <c r="D149" s="767">
        <v>10826.84</v>
      </c>
      <c r="E149" s="767">
        <v>185885.52</v>
      </c>
      <c r="I149" s="767">
        <v>10826.84</v>
      </c>
    </row>
    <row r="150" spans="1:9">
      <c r="A150" s="828">
        <v>43232</v>
      </c>
      <c r="B150" t="s">
        <v>4297</v>
      </c>
      <c r="C150" s="767">
        <v>2199.35</v>
      </c>
      <c r="D150" s="767">
        <v>2199.35</v>
      </c>
      <c r="E150" s="767">
        <v>188084.87</v>
      </c>
      <c r="I150" s="767">
        <v>2199.35</v>
      </c>
    </row>
    <row r="151" spans="1:9">
      <c r="A151" s="828">
        <v>43232</v>
      </c>
      <c r="B151" t="s">
        <v>4298</v>
      </c>
      <c r="C151" s="767">
        <v>2965.57</v>
      </c>
      <c r="D151" s="767">
        <v>2965.57</v>
      </c>
      <c r="E151" s="767">
        <v>191050.44</v>
      </c>
      <c r="I151" s="767">
        <v>2965.57</v>
      </c>
    </row>
    <row r="152" spans="1:9">
      <c r="A152" s="828">
        <v>43232</v>
      </c>
      <c r="B152" t="s">
        <v>4299</v>
      </c>
      <c r="C152" s="767">
        <v>6568.01</v>
      </c>
      <c r="D152" s="767">
        <v>6568.01</v>
      </c>
      <c r="E152" s="767">
        <v>197618.45</v>
      </c>
      <c r="I152" s="767">
        <v>6568.01</v>
      </c>
    </row>
    <row r="153" spans="1:9">
      <c r="A153" s="828">
        <v>43232</v>
      </c>
      <c r="B153" t="s">
        <v>4300</v>
      </c>
      <c r="C153" s="767">
        <v>2199.35</v>
      </c>
      <c r="D153" s="767">
        <v>2199.35</v>
      </c>
      <c r="E153" s="767">
        <v>199817.8</v>
      </c>
      <c r="I153" s="767">
        <v>2199.35</v>
      </c>
    </row>
    <row r="154" spans="1:9">
      <c r="A154" s="828">
        <v>43232</v>
      </c>
      <c r="B154" t="s">
        <v>4301</v>
      </c>
      <c r="C154" s="767">
        <v>2965.57</v>
      </c>
      <c r="D154" s="767">
        <v>2965.57</v>
      </c>
      <c r="E154" s="767">
        <v>202783.37</v>
      </c>
      <c r="I154" s="767">
        <v>2965.57</v>
      </c>
    </row>
    <row r="155" spans="1:9">
      <c r="A155" s="828">
        <v>43232</v>
      </c>
      <c r="B155" t="s">
        <v>4302</v>
      </c>
      <c r="C155" s="767">
        <v>7070.26</v>
      </c>
      <c r="D155" s="767">
        <v>7070.26</v>
      </c>
      <c r="E155" s="767">
        <v>209853.63</v>
      </c>
      <c r="I155" s="767">
        <v>7070.26</v>
      </c>
    </row>
    <row r="156" spans="1:9">
      <c r="A156" s="828">
        <v>43232</v>
      </c>
      <c r="B156" t="s">
        <v>4303</v>
      </c>
      <c r="C156" s="767">
        <v>2199.35</v>
      </c>
      <c r="D156" s="767">
        <v>2199.35</v>
      </c>
      <c r="E156" s="767">
        <v>212052.98</v>
      </c>
      <c r="I156" s="767">
        <v>2199.35</v>
      </c>
    </row>
    <row r="157" spans="1:9">
      <c r="A157" s="828">
        <v>43232</v>
      </c>
      <c r="B157" t="s">
        <v>4304</v>
      </c>
      <c r="C157" s="767">
        <v>2965.57</v>
      </c>
      <c r="D157" s="767">
        <v>2965.57</v>
      </c>
      <c r="E157" s="767">
        <v>215018.55</v>
      </c>
      <c r="I157" s="767">
        <v>2965.57</v>
      </c>
    </row>
    <row r="158" spans="1:9">
      <c r="A158" s="828">
        <v>43232</v>
      </c>
      <c r="B158" t="s">
        <v>4305</v>
      </c>
      <c r="C158" s="767">
        <v>5713.31</v>
      </c>
      <c r="D158" s="767">
        <v>5713.31</v>
      </c>
      <c r="E158" s="767">
        <v>220731.86</v>
      </c>
      <c r="I158" s="767">
        <v>5713.31</v>
      </c>
    </row>
    <row r="159" spans="1:9">
      <c r="A159" s="828">
        <v>43232</v>
      </c>
      <c r="B159" t="s">
        <v>4306</v>
      </c>
      <c r="C159" s="767">
        <v>2199.35</v>
      </c>
      <c r="D159" s="767">
        <v>2199.35</v>
      </c>
      <c r="E159" s="767">
        <v>222931.21</v>
      </c>
      <c r="I159" s="767">
        <v>2199.35</v>
      </c>
    </row>
    <row r="160" spans="1:9">
      <c r="A160" s="828">
        <v>43232</v>
      </c>
      <c r="B160" t="s">
        <v>4307</v>
      </c>
      <c r="C160" s="767">
        <v>2965.57</v>
      </c>
      <c r="D160" s="767">
        <v>2965.57</v>
      </c>
      <c r="E160" s="767">
        <v>225896.78</v>
      </c>
      <c r="I160" s="767">
        <v>2965.57</v>
      </c>
    </row>
    <row r="161" spans="1:9">
      <c r="A161" s="828">
        <v>43232</v>
      </c>
      <c r="B161" t="s">
        <v>4308</v>
      </c>
      <c r="C161" s="767">
        <v>6215.56</v>
      </c>
      <c r="D161" s="767">
        <v>6215.56</v>
      </c>
      <c r="E161" s="767">
        <v>232112.34</v>
      </c>
      <c r="I161" s="767">
        <v>6215.56</v>
      </c>
    </row>
    <row r="162" spans="1:9">
      <c r="A162" s="828">
        <v>43232</v>
      </c>
      <c r="B162" t="s">
        <v>4309</v>
      </c>
      <c r="C162" s="767">
        <v>2199.35</v>
      </c>
      <c r="D162" s="767">
        <v>2199.35</v>
      </c>
      <c r="E162" s="767">
        <v>234311.69</v>
      </c>
      <c r="I162" s="767">
        <v>2199.35</v>
      </c>
    </row>
    <row r="163" spans="1:9">
      <c r="A163" s="828">
        <v>43232</v>
      </c>
      <c r="B163" t="s">
        <v>4310</v>
      </c>
      <c r="C163" s="767">
        <v>2965.57</v>
      </c>
      <c r="D163" s="767">
        <v>2965.57</v>
      </c>
      <c r="E163" s="767">
        <v>237277.26</v>
      </c>
      <c r="I163" s="767">
        <v>2965.57</v>
      </c>
    </row>
    <row r="164" spans="1:9">
      <c r="A164" s="828">
        <v>43232</v>
      </c>
      <c r="B164" t="s">
        <v>4311</v>
      </c>
      <c r="C164" s="767">
        <v>6612.07</v>
      </c>
      <c r="D164" s="767">
        <v>6612.07</v>
      </c>
      <c r="E164" s="767">
        <v>243889.33</v>
      </c>
      <c r="I164" s="767">
        <v>6612.07</v>
      </c>
    </row>
    <row r="165" spans="1:9">
      <c r="A165" s="828">
        <v>43232</v>
      </c>
      <c r="B165" t="s">
        <v>4312</v>
      </c>
      <c r="C165" s="767">
        <v>2199.35</v>
      </c>
      <c r="D165" s="767">
        <v>2199.35</v>
      </c>
      <c r="E165" s="767">
        <v>246088.68</v>
      </c>
      <c r="I165" s="767">
        <v>2199.35</v>
      </c>
    </row>
    <row r="166" spans="1:9">
      <c r="A166" s="828">
        <v>43232</v>
      </c>
      <c r="B166" t="s">
        <v>4313</v>
      </c>
      <c r="C166" s="767">
        <v>2965.57</v>
      </c>
      <c r="D166" s="767">
        <v>2965.57</v>
      </c>
      <c r="E166" s="767">
        <v>249054.25</v>
      </c>
      <c r="I166" s="767">
        <v>2965.57</v>
      </c>
    </row>
    <row r="167" spans="1:9">
      <c r="A167" s="828">
        <v>43232</v>
      </c>
      <c r="B167" t="s">
        <v>4314</v>
      </c>
      <c r="C167" s="767">
        <v>6024.65</v>
      </c>
      <c r="D167" s="767">
        <v>6024.65</v>
      </c>
      <c r="E167" s="767">
        <v>255078.9</v>
      </c>
      <c r="I167" s="767">
        <v>6024.65</v>
      </c>
    </row>
    <row r="168" spans="1:9">
      <c r="A168" s="828">
        <v>43232</v>
      </c>
      <c r="B168" t="s">
        <v>4315</v>
      </c>
      <c r="C168" s="767">
        <v>2199.35</v>
      </c>
      <c r="D168" s="767">
        <v>2199.35</v>
      </c>
      <c r="E168" s="767">
        <v>257278.25</v>
      </c>
      <c r="I168" s="767">
        <v>2199.35</v>
      </c>
    </row>
    <row r="169" spans="1:9">
      <c r="A169" s="828">
        <v>43232</v>
      </c>
      <c r="B169" t="s">
        <v>4316</v>
      </c>
      <c r="C169" s="767">
        <v>2965.57</v>
      </c>
      <c r="D169" s="767">
        <v>2965.57</v>
      </c>
      <c r="E169" s="767">
        <v>260243.82</v>
      </c>
      <c r="I169" s="767">
        <v>2965.57</v>
      </c>
    </row>
    <row r="170" spans="1:9">
      <c r="A170" s="828">
        <v>43232</v>
      </c>
      <c r="B170" t="s">
        <v>4317</v>
      </c>
      <c r="C170" s="767">
        <v>5863.1</v>
      </c>
      <c r="D170" s="767">
        <v>5863.1</v>
      </c>
      <c r="E170" s="767">
        <v>266106.92</v>
      </c>
      <c r="I170" s="767">
        <v>5863.1</v>
      </c>
    </row>
    <row r="171" spans="1:9">
      <c r="A171" s="828">
        <v>43232</v>
      </c>
      <c r="B171" t="s">
        <v>4318</v>
      </c>
      <c r="C171" s="767">
        <v>2199.35</v>
      </c>
      <c r="D171" s="767">
        <v>2199.35</v>
      </c>
      <c r="E171" s="767">
        <v>268306.27</v>
      </c>
      <c r="I171" s="767">
        <v>2199.35</v>
      </c>
    </row>
    <row r="172" spans="1:9">
      <c r="A172" s="828">
        <v>43232</v>
      </c>
      <c r="B172" t="s">
        <v>4319</v>
      </c>
      <c r="C172" s="767">
        <v>2965.57</v>
      </c>
      <c r="D172" s="767">
        <v>2965.57</v>
      </c>
      <c r="E172" s="767">
        <v>271271.84000000003</v>
      </c>
      <c r="I172" s="767">
        <v>2965.57</v>
      </c>
    </row>
    <row r="173" spans="1:9">
      <c r="A173" s="828">
        <v>43232</v>
      </c>
      <c r="B173" t="s">
        <v>4320</v>
      </c>
      <c r="C173" s="767">
        <v>6068.7</v>
      </c>
      <c r="D173" s="767">
        <v>6068.7</v>
      </c>
      <c r="E173" s="767">
        <v>277340.53999999998</v>
      </c>
      <c r="I173" s="767">
        <v>6068.7</v>
      </c>
    </row>
    <row r="174" spans="1:9">
      <c r="A174" s="828">
        <v>43232</v>
      </c>
      <c r="B174" t="s">
        <v>4321</v>
      </c>
      <c r="C174" s="767">
        <v>2199.35</v>
      </c>
      <c r="D174" s="767">
        <v>2199.35</v>
      </c>
      <c r="E174" s="767">
        <v>279539.89</v>
      </c>
      <c r="I174" s="767">
        <v>2199.35</v>
      </c>
    </row>
    <row r="175" spans="1:9">
      <c r="A175" s="828">
        <v>43232</v>
      </c>
      <c r="B175" t="s">
        <v>4322</v>
      </c>
      <c r="C175" s="767">
        <v>2965.57</v>
      </c>
      <c r="D175" s="767">
        <v>2965.57</v>
      </c>
      <c r="E175" s="767">
        <v>282505.46000000002</v>
      </c>
      <c r="I175" s="767">
        <v>2965.57</v>
      </c>
    </row>
    <row r="176" spans="1:9">
      <c r="A176" s="828">
        <v>43232</v>
      </c>
      <c r="B176" t="s">
        <v>4323</v>
      </c>
      <c r="C176" s="767">
        <v>5716.25</v>
      </c>
      <c r="D176" s="767">
        <v>5716.25</v>
      </c>
      <c r="E176" s="767">
        <v>288221.71000000002</v>
      </c>
      <c r="I176" s="767">
        <v>5716.25</v>
      </c>
    </row>
    <row r="177" spans="1:9">
      <c r="A177" s="828">
        <v>43232</v>
      </c>
      <c r="B177" t="s">
        <v>4324</v>
      </c>
      <c r="C177" s="767">
        <v>2199.35</v>
      </c>
      <c r="D177" s="767">
        <v>2199.35</v>
      </c>
      <c r="E177" s="767">
        <v>290421.06</v>
      </c>
      <c r="I177" s="767">
        <v>2199.35</v>
      </c>
    </row>
    <row r="178" spans="1:9">
      <c r="A178" s="828">
        <v>43232</v>
      </c>
      <c r="B178" t="s">
        <v>4325</v>
      </c>
      <c r="C178" s="767">
        <v>2965.57</v>
      </c>
      <c r="D178" s="767">
        <v>2965.57</v>
      </c>
      <c r="E178" s="767">
        <v>293386.63</v>
      </c>
      <c r="I178" s="767">
        <v>2965.57</v>
      </c>
    </row>
    <row r="179" spans="1:9">
      <c r="A179" s="828">
        <v>43232</v>
      </c>
      <c r="B179" t="s">
        <v>4326</v>
      </c>
      <c r="C179" s="767">
        <v>2837.87</v>
      </c>
      <c r="D179" s="767">
        <v>2837.87</v>
      </c>
      <c r="E179" s="767">
        <v>296224.5</v>
      </c>
      <c r="I179" s="767">
        <v>2837.87</v>
      </c>
    </row>
    <row r="180" spans="1:9">
      <c r="A180" s="828">
        <v>43232</v>
      </c>
      <c r="B180" t="s">
        <v>4327</v>
      </c>
      <c r="C180" s="767">
        <v>2199.35</v>
      </c>
      <c r="D180" s="767">
        <v>2199.35</v>
      </c>
      <c r="E180" s="767">
        <v>298423.84999999998</v>
      </c>
      <c r="I180" s="767">
        <v>2199.35</v>
      </c>
    </row>
    <row r="181" spans="1:9">
      <c r="A181" s="828">
        <v>43232</v>
      </c>
      <c r="B181" t="s">
        <v>4328</v>
      </c>
      <c r="C181" s="767">
        <v>3084.17</v>
      </c>
      <c r="D181" s="767">
        <v>3084.17</v>
      </c>
      <c r="E181" s="767">
        <v>301508.02</v>
      </c>
      <c r="I181" s="767">
        <v>3084.17</v>
      </c>
    </row>
    <row r="182" spans="1:9">
      <c r="A182" s="828">
        <v>43232</v>
      </c>
      <c r="B182" t="s">
        <v>4329</v>
      </c>
      <c r="C182" s="767">
        <v>6066.73</v>
      </c>
      <c r="D182" s="767">
        <v>6066.73</v>
      </c>
      <c r="E182" s="767">
        <v>307574.75</v>
      </c>
      <c r="I182" s="767">
        <v>6066.73</v>
      </c>
    </row>
    <row r="183" spans="1:9">
      <c r="A183" s="828">
        <v>43232</v>
      </c>
      <c r="B183" t="s">
        <v>4330</v>
      </c>
      <c r="C183" s="767">
        <v>2287.31</v>
      </c>
      <c r="D183" s="767">
        <v>2287.31</v>
      </c>
      <c r="E183" s="767">
        <v>309862.06</v>
      </c>
      <c r="I183" s="767">
        <v>2287.31</v>
      </c>
    </row>
    <row r="184" spans="1:9">
      <c r="A184" s="828">
        <v>43232</v>
      </c>
      <c r="B184" t="s">
        <v>4331</v>
      </c>
      <c r="C184" s="767">
        <v>3084.17</v>
      </c>
      <c r="D184" s="767">
        <v>3084.17</v>
      </c>
      <c r="E184" s="767">
        <v>312946.23</v>
      </c>
      <c r="I184" s="767">
        <v>3084.17</v>
      </c>
    </row>
    <row r="185" spans="1:9">
      <c r="A185" s="828">
        <v>43232</v>
      </c>
      <c r="B185" t="s">
        <v>4332</v>
      </c>
      <c r="C185" s="767">
        <v>2287.31</v>
      </c>
      <c r="D185" s="767">
        <v>2287.31</v>
      </c>
      <c r="E185" s="767">
        <v>315233.53999999998</v>
      </c>
      <c r="I185" s="767">
        <v>2287.31</v>
      </c>
    </row>
    <row r="186" spans="1:9">
      <c r="A186" s="828">
        <v>43232</v>
      </c>
      <c r="B186" t="s">
        <v>4333</v>
      </c>
      <c r="C186" s="767">
        <v>5944.56</v>
      </c>
      <c r="D186" s="767">
        <v>5944.56</v>
      </c>
      <c r="E186" s="767">
        <v>321178.09999999998</v>
      </c>
      <c r="I186" s="767">
        <v>5944.56</v>
      </c>
    </row>
    <row r="187" spans="1:9">
      <c r="A187" s="828">
        <v>43232</v>
      </c>
      <c r="B187" t="s">
        <v>4334</v>
      </c>
      <c r="C187" s="767">
        <v>3084.17</v>
      </c>
      <c r="D187" s="767">
        <v>3084.17</v>
      </c>
      <c r="E187" s="767">
        <v>324262.27</v>
      </c>
      <c r="I187" s="767">
        <v>3084.17</v>
      </c>
    </row>
    <row r="188" spans="1:9">
      <c r="A188" s="828">
        <v>43232</v>
      </c>
      <c r="B188" t="s">
        <v>4335</v>
      </c>
      <c r="C188" s="767">
        <v>2951.36</v>
      </c>
      <c r="D188" s="767">
        <v>2951.36</v>
      </c>
      <c r="E188" s="767">
        <v>327213.63</v>
      </c>
      <c r="I188" s="767">
        <v>2951.36</v>
      </c>
    </row>
    <row r="189" spans="1:9">
      <c r="A189" s="828">
        <v>43232</v>
      </c>
      <c r="B189" t="s">
        <v>4336</v>
      </c>
      <c r="C189" s="767">
        <v>2287.31</v>
      </c>
      <c r="D189" s="767">
        <v>2287.31</v>
      </c>
      <c r="E189" s="767">
        <v>329500.94</v>
      </c>
      <c r="I189" s="767">
        <v>2287.31</v>
      </c>
    </row>
    <row r="190" spans="1:9">
      <c r="A190" s="828">
        <v>43232</v>
      </c>
      <c r="B190" t="s">
        <v>4337</v>
      </c>
      <c r="C190" s="767">
        <v>3084.17</v>
      </c>
      <c r="D190" s="767">
        <v>3084.17</v>
      </c>
      <c r="E190" s="767">
        <v>332585.11</v>
      </c>
      <c r="I190" s="767">
        <v>3084.17</v>
      </c>
    </row>
    <row r="191" spans="1:9">
      <c r="A191" s="828">
        <v>43232</v>
      </c>
      <c r="B191" t="s">
        <v>4338</v>
      </c>
      <c r="C191" s="767">
        <v>6311.07</v>
      </c>
      <c r="D191" s="767">
        <v>6311.07</v>
      </c>
      <c r="E191" s="767">
        <v>338896.18</v>
      </c>
      <c r="I191" s="767">
        <v>6311.07</v>
      </c>
    </row>
    <row r="192" spans="1:9">
      <c r="A192" s="828">
        <v>43232</v>
      </c>
      <c r="B192" t="s">
        <v>4339</v>
      </c>
      <c r="C192" s="767">
        <v>2287.31</v>
      </c>
      <c r="D192" s="767">
        <v>2287.31</v>
      </c>
      <c r="E192" s="767">
        <v>341183.49</v>
      </c>
      <c r="I192" s="767">
        <v>2287.31</v>
      </c>
    </row>
    <row r="193" spans="1:9">
      <c r="A193" s="828">
        <v>43232</v>
      </c>
      <c r="B193" t="s">
        <v>4340</v>
      </c>
      <c r="C193" s="767">
        <v>3084.17</v>
      </c>
      <c r="D193" s="767">
        <v>3084.17</v>
      </c>
      <c r="E193" s="767">
        <v>344267.66</v>
      </c>
      <c r="I193" s="767">
        <v>3084.17</v>
      </c>
    </row>
    <row r="194" spans="1:9">
      <c r="A194" s="828">
        <v>43232</v>
      </c>
      <c r="B194" t="s">
        <v>4341</v>
      </c>
      <c r="C194" s="767">
        <v>5333.7</v>
      </c>
      <c r="D194" s="767">
        <v>5333.7</v>
      </c>
      <c r="E194" s="767">
        <v>349601.36</v>
      </c>
      <c r="I194" s="767">
        <v>5333.7</v>
      </c>
    </row>
    <row r="195" spans="1:9">
      <c r="A195" s="828">
        <v>43232</v>
      </c>
      <c r="B195" t="s">
        <v>4342</v>
      </c>
      <c r="C195" s="767">
        <v>2287.31</v>
      </c>
      <c r="D195" s="767">
        <v>2287.31</v>
      </c>
      <c r="E195" s="767">
        <v>351888.67</v>
      </c>
      <c r="I195" s="767">
        <v>2287.31</v>
      </c>
    </row>
    <row r="196" spans="1:9">
      <c r="A196" s="828">
        <v>43232</v>
      </c>
      <c r="B196" t="s">
        <v>4343</v>
      </c>
      <c r="C196" s="767">
        <v>3084.17</v>
      </c>
      <c r="D196" s="767">
        <v>3084.17</v>
      </c>
      <c r="E196" s="767">
        <v>354972.84</v>
      </c>
      <c r="I196" s="767">
        <v>3084.17</v>
      </c>
    </row>
    <row r="197" spans="1:9">
      <c r="A197" s="828">
        <v>43232</v>
      </c>
      <c r="B197" t="s">
        <v>4344</v>
      </c>
      <c r="C197" s="767">
        <v>2951.36</v>
      </c>
      <c r="D197" s="767">
        <v>2951.36</v>
      </c>
      <c r="E197" s="767">
        <v>357924.2</v>
      </c>
      <c r="I197" s="767">
        <v>2951.36</v>
      </c>
    </row>
    <row r="198" spans="1:9">
      <c r="A198" s="828">
        <v>43232</v>
      </c>
      <c r="B198" t="s">
        <v>4345</v>
      </c>
      <c r="C198" s="767">
        <v>2287.31</v>
      </c>
      <c r="D198" s="767">
        <v>2287.31</v>
      </c>
      <c r="E198" s="767">
        <v>360211.51</v>
      </c>
      <c r="I198" s="767">
        <v>2287.31</v>
      </c>
    </row>
    <row r="200" spans="1:9">
      <c r="A200" t="s">
        <v>4216</v>
      </c>
      <c r="B200" s="767">
        <v>362526.97</v>
      </c>
      <c r="C200" s="767">
        <v>360211.51</v>
      </c>
      <c r="D200">
        <v>0</v>
      </c>
      <c r="E200">
        <v>0</v>
      </c>
      <c r="F200">
        <v>0</v>
      </c>
      <c r="G200" s="767">
        <v>360211.51</v>
      </c>
    </row>
    <row r="202" spans="1:9">
      <c r="A202">
        <v>11123</v>
      </c>
      <c r="B202" t="s">
        <v>3385</v>
      </c>
    </row>
    <row r="203" spans="1:9">
      <c r="A203" s="828">
        <v>43232</v>
      </c>
      <c r="B203" t="s">
        <v>4346</v>
      </c>
      <c r="C203" s="767">
        <v>1788.62</v>
      </c>
      <c r="D203" s="767">
        <v>1788.62</v>
      </c>
      <c r="E203" s="767">
        <v>1788.62</v>
      </c>
      <c r="I203" s="767">
        <v>1788.62</v>
      </c>
    </row>
    <row r="204" spans="1:9">
      <c r="A204" s="828">
        <v>43232</v>
      </c>
      <c r="B204" t="s">
        <v>4347</v>
      </c>
      <c r="C204">
        <v>168.81</v>
      </c>
      <c r="D204">
        <v>168.81</v>
      </c>
      <c r="E204" s="767">
        <v>1957.43</v>
      </c>
      <c r="I204">
        <v>168.81</v>
      </c>
    </row>
    <row r="205" spans="1:9">
      <c r="A205" s="828">
        <v>43232</v>
      </c>
      <c r="B205" t="s">
        <v>4348</v>
      </c>
      <c r="C205">
        <v>184.16</v>
      </c>
      <c r="D205">
        <v>184.16</v>
      </c>
      <c r="E205" s="767">
        <v>2141.59</v>
      </c>
      <c r="I205">
        <v>184.16</v>
      </c>
    </row>
    <row r="206" spans="1:9">
      <c r="A206" s="828">
        <v>43232</v>
      </c>
      <c r="B206" t="s">
        <v>4349</v>
      </c>
      <c r="C206" s="767">
        <v>8795.2199999999993</v>
      </c>
      <c r="D206" s="767">
        <v>8795.2199999999993</v>
      </c>
      <c r="E206" s="767">
        <v>10936.81</v>
      </c>
      <c r="I206" s="767">
        <v>8795.2199999999993</v>
      </c>
    </row>
    <row r="207" spans="1:9">
      <c r="A207" s="828">
        <v>44257</v>
      </c>
      <c r="B207" t="s">
        <v>6315</v>
      </c>
      <c r="C207">
        <v>593.69000000000005</v>
      </c>
      <c r="D207">
        <v>593.69000000000005</v>
      </c>
      <c r="E207" s="767">
        <v>11530.5</v>
      </c>
      <c r="I207">
        <v>593.69000000000005</v>
      </c>
    </row>
    <row r="208" spans="1:9">
      <c r="A208" s="828">
        <v>44257</v>
      </c>
      <c r="B208" t="s">
        <v>6316</v>
      </c>
      <c r="C208">
        <v>302.36</v>
      </c>
      <c r="D208">
        <v>302.36</v>
      </c>
      <c r="E208" s="767">
        <v>11832.86</v>
      </c>
      <c r="I208">
        <v>302.36</v>
      </c>
    </row>
    <row r="209" spans="1:9">
      <c r="A209" s="828">
        <v>44257</v>
      </c>
      <c r="B209" t="s">
        <v>6317</v>
      </c>
      <c r="C209" s="767">
        <v>3712.23</v>
      </c>
      <c r="D209" s="767">
        <v>3712.23</v>
      </c>
      <c r="E209" s="767">
        <v>15545.09</v>
      </c>
      <c r="I209" s="767">
        <v>3712.23</v>
      </c>
    </row>
    <row r="210" spans="1:9">
      <c r="A210" s="828">
        <v>44257</v>
      </c>
      <c r="B210" t="s">
        <v>6318</v>
      </c>
      <c r="C210">
        <v>329.84</v>
      </c>
      <c r="D210">
        <v>329.84</v>
      </c>
      <c r="E210" s="767">
        <v>15874.93</v>
      </c>
      <c r="I210">
        <v>329.84</v>
      </c>
    </row>
    <row r="211" spans="1:9">
      <c r="A211" s="828">
        <v>44257</v>
      </c>
      <c r="B211" t="s">
        <v>6319</v>
      </c>
      <c r="C211">
        <v>494.77</v>
      </c>
      <c r="D211">
        <v>494.77</v>
      </c>
      <c r="E211" s="767">
        <v>16369.7</v>
      </c>
      <c r="I211">
        <v>494.77</v>
      </c>
    </row>
    <row r="212" spans="1:9">
      <c r="A212" s="828">
        <v>44257</v>
      </c>
      <c r="B212" t="s">
        <v>6320</v>
      </c>
      <c r="C212" s="767">
        <v>2751.12</v>
      </c>
      <c r="D212" s="767">
        <v>2751.12</v>
      </c>
      <c r="E212" s="767">
        <v>19120.82</v>
      </c>
      <c r="I212" s="767">
        <v>2751.12</v>
      </c>
    </row>
    <row r="213" spans="1:9">
      <c r="A213" s="828">
        <v>44257</v>
      </c>
      <c r="B213" t="s">
        <v>6321</v>
      </c>
      <c r="C213">
        <v>310.75</v>
      </c>
      <c r="D213">
        <v>310.75</v>
      </c>
      <c r="E213" s="767">
        <v>19431.57</v>
      </c>
      <c r="I213">
        <v>310.75</v>
      </c>
    </row>
    <row r="214" spans="1:9">
      <c r="A214" s="828">
        <v>44230</v>
      </c>
      <c r="B214" t="s">
        <v>6530</v>
      </c>
      <c r="C214">
        <v>632.54</v>
      </c>
      <c r="D214">
        <v>632.54</v>
      </c>
      <c r="E214" s="767">
        <v>20064.11</v>
      </c>
      <c r="I214">
        <v>632.54</v>
      </c>
    </row>
    <row r="215" spans="1:9">
      <c r="A215" s="828">
        <v>44230</v>
      </c>
      <c r="B215" t="s">
        <v>6531</v>
      </c>
      <c r="C215">
        <v>302.36</v>
      </c>
      <c r="D215">
        <v>302.36</v>
      </c>
      <c r="E215" s="767">
        <v>20366.47</v>
      </c>
      <c r="I215">
        <v>302.36</v>
      </c>
    </row>
    <row r="216" spans="1:9">
      <c r="A216" s="828">
        <v>44230</v>
      </c>
      <c r="B216" t="s">
        <v>6532</v>
      </c>
      <c r="C216" s="767">
        <v>3095.47</v>
      </c>
      <c r="D216" s="767">
        <v>3095.47</v>
      </c>
      <c r="E216" s="767">
        <v>23461.94</v>
      </c>
      <c r="I216" s="767">
        <v>3095.47</v>
      </c>
    </row>
    <row r="217" spans="1:9">
      <c r="A217" s="828">
        <v>44230</v>
      </c>
      <c r="B217" t="s">
        <v>6533</v>
      </c>
      <c r="C217">
        <v>329.84</v>
      </c>
      <c r="D217">
        <v>329.84</v>
      </c>
      <c r="E217" s="767">
        <v>23791.78</v>
      </c>
      <c r="I217">
        <v>329.84</v>
      </c>
    </row>
    <row r="218" spans="1:9">
      <c r="A218" s="828">
        <v>44230</v>
      </c>
      <c r="B218" t="s">
        <v>6534</v>
      </c>
      <c r="C218">
        <v>494.77</v>
      </c>
      <c r="D218">
        <v>494.77</v>
      </c>
      <c r="E218" s="767">
        <v>24286.55</v>
      </c>
      <c r="I218">
        <v>494.77</v>
      </c>
    </row>
    <row r="219" spans="1:9">
      <c r="A219" s="828">
        <v>44230</v>
      </c>
      <c r="B219" t="s">
        <v>6535</v>
      </c>
      <c r="C219" s="767">
        <v>2751.91</v>
      </c>
      <c r="D219" s="767">
        <v>2751.91</v>
      </c>
      <c r="E219" s="767">
        <v>27038.46</v>
      </c>
      <c r="I219" s="767">
        <v>2751.91</v>
      </c>
    </row>
    <row r="220" spans="1:9">
      <c r="A220" s="828">
        <v>44230</v>
      </c>
      <c r="B220" t="s">
        <v>6536</v>
      </c>
      <c r="C220">
        <v>460.98</v>
      </c>
      <c r="D220">
        <v>460.98</v>
      </c>
      <c r="E220" s="767">
        <v>27499.439999999999</v>
      </c>
      <c r="I220">
        <v>460.98</v>
      </c>
    </row>
    <row r="221" spans="1:9">
      <c r="A221" s="828">
        <v>44200</v>
      </c>
      <c r="B221" t="s">
        <v>6970</v>
      </c>
      <c r="C221" s="767">
        <v>2145.09</v>
      </c>
      <c r="D221" s="767">
        <v>2145.09</v>
      </c>
      <c r="E221" s="767">
        <v>29644.53</v>
      </c>
      <c r="H221" s="767">
        <v>2145.09</v>
      </c>
    </row>
    <row r="222" spans="1:9">
      <c r="A222" s="828">
        <v>44200</v>
      </c>
      <c r="B222" t="s">
        <v>6971</v>
      </c>
      <c r="C222">
        <v>302.36</v>
      </c>
      <c r="D222">
        <v>302.36</v>
      </c>
      <c r="E222" s="767">
        <v>29946.89</v>
      </c>
      <c r="H222">
        <v>302.36</v>
      </c>
    </row>
    <row r="223" spans="1:9">
      <c r="A223" s="828">
        <v>44200</v>
      </c>
      <c r="B223" t="s">
        <v>6972</v>
      </c>
      <c r="C223" s="767">
        <v>2557.21</v>
      </c>
      <c r="D223" s="767">
        <v>2557.21</v>
      </c>
      <c r="E223" s="767">
        <v>32504.1</v>
      </c>
      <c r="H223" s="767">
        <v>2557.21</v>
      </c>
    </row>
    <row r="224" spans="1:9">
      <c r="A224" s="828">
        <v>44200</v>
      </c>
      <c r="B224" t="s">
        <v>6973</v>
      </c>
      <c r="C224">
        <v>329.84</v>
      </c>
      <c r="D224">
        <v>329.84</v>
      </c>
      <c r="E224" s="767">
        <v>32833.94</v>
      </c>
      <c r="H224">
        <v>329.84</v>
      </c>
    </row>
    <row r="225" spans="1:9">
      <c r="A225" s="828">
        <v>44200</v>
      </c>
      <c r="B225" t="s">
        <v>6974</v>
      </c>
      <c r="C225">
        <v>494.77</v>
      </c>
      <c r="D225">
        <v>494.77</v>
      </c>
      <c r="E225" s="767">
        <v>33328.71</v>
      </c>
      <c r="H225">
        <v>494.77</v>
      </c>
    </row>
    <row r="226" spans="1:9">
      <c r="A226" s="828">
        <v>44200</v>
      </c>
      <c r="B226" t="s">
        <v>6975</v>
      </c>
      <c r="C226" s="767">
        <v>2781.24</v>
      </c>
      <c r="D226" s="767">
        <v>2781.24</v>
      </c>
      <c r="E226" s="767">
        <v>36109.949999999997</v>
      </c>
      <c r="H226" s="767">
        <v>2781.24</v>
      </c>
    </row>
    <row r="227" spans="1:9">
      <c r="A227" s="828">
        <v>44200</v>
      </c>
      <c r="B227" t="s">
        <v>6976</v>
      </c>
      <c r="C227">
        <v>563.64</v>
      </c>
      <c r="D227">
        <v>563.64</v>
      </c>
      <c r="E227" s="767">
        <v>36673.589999999997</v>
      </c>
      <c r="H227">
        <v>563.64</v>
      </c>
    </row>
    <row r="229" spans="1:9">
      <c r="A229" t="s">
        <v>4216</v>
      </c>
      <c r="B229" s="767">
        <v>36673.589999999997</v>
      </c>
      <c r="C229" s="767">
        <v>36673.589999999997</v>
      </c>
      <c r="D229">
        <v>0</v>
      </c>
      <c r="E229">
        <v>0</v>
      </c>
      <c r="F229" s="767">
        <v>9174.15</v>
      </c>
      <c r="G229" s="767">
        <v>27499.439999999999</v>
      </c>
    </row>
    <row r="231" spans="1:9">
      <c r="A231">
        <v>11127</v>
      </c>
      <c r="B231" t="s">
        <v>3386</v>
      </c>
    </row>
    <row r="232" spans="1:9">
      <c r="A232" s="828">
        <v>43232</v>
      </c>
      <c r="B232" t="s">
        <v>4351</v>
      </c>
      <c r="C232">
        <v>842.52</v>
      </c>
      <c r="D232">
        <v>842.52</v>
      </c>
      <c r="E232">
        <v>842.52</v>
      </c>
      <c r="I232">
        <v>842.52</v>
      </c>
    </row>
    <row r="234" spans="1:9">
      <c r="A234" t="s">
        <v>4216</v>
      </c>
      <c r="B234">
        <v>842.52</v>
      </c>
      <c r="C234">
        <v>842.52</v>
      </c>
      <c r="D234">
        <v>0</v>
      </c>
      <c r="E234">
        <v>0</v>
      </c>
      <c r="F234">
        <v>0</v>
      </c>
      <c r="G234">
        <v>842.52</v>
      </c>
    </row>
    <row r="236" spans="1:9">
      <c r="A236">
        <v>11146</v>
      </c>
      <c r="B236" t="s">
        <v>6054</v>
      </c>
    </row>
    <row r="237" spans="1:9">
      <c r="A237" s="828">
        <v>44287</v>
      </c>
      <c r="B237" t="s">
        <v>6055</v>
      </c>
      <c r="C237" s="767">
        <v>9674.19</v>
      </c>
      <c r="D237" s="767">
        <v>9674.19</v>
      </c>
      <c r="E237" s="767">
        <v>9674.19</v>
      </c>
      <c r="I237" s="767">
        <v>9674.19</v>
      </c>
    </row>
    <row r="238" spans="1:9">
      <c r="A238" t="s">
        <v>6056</v>
      </c>
      <c r="B238" t="s">
        <v>6057</v>
      </c>
      <c r="C238" s="767">
        <v>14650.45</v>
      </c>
      <c r="D238" s="767">
        <v>14650.45</v>
      </c>
      <c r="E238" s="767">
        <v>24324.639999999999</v>
      </c>
      <c r="I238" s="767">
        <v>14650.45</v>
      </c>
    </row>
    <row r="239" spans="1:9">
      <c r="A239" t="s">
        <v>6322</v>
      </c>
      <c r="B239" t="s">
        <v>6323</v>
      </c>
      <c r="C239" s="767">
        <v>16189.57</v>
      </c>
      <c r="D239" s="767">
        <v>16189.57</v>
      </c>
      <c r="E239" s="767">
        <v>40514.21</v>
      </c>
      <c r="I239" s="767">
        <v>16189.57</v>
      </c>
    </row>
    <row r="240" spans="1:9">
      <c r="A240" t="s">
        <v>6537</v>
      </c>
      <c r="B240" t="s">
        <v>6538</v>
      </c>
      <c r="C240" s="767">
        <v>2089.0300000000002</v>
      </c>
      <c r="D240" s="767">
        <v>2089.0300000000002</v>
      </c>
      <c r="E240" s="767">
        <v>42603.24</v>
      </c>
      <c r="H240" s="767">
        <v>2089.0300000000002</v>
      </c>
    </row>
    <row r="241" spans="1:9">
      <c r="A241" t="s">
        <v>6977</v>
      </c>
      <c r="B241" t="s">
        <v>6978</v>
      </c>
      <c r="C241" s="767">
        <v>3565.76</v>
      </c>
      <c r="D241" s="767">
        <v>3565.76</v>
      </c>
      <c r="E241" s="767">
        <v>46169</v>
      </c>
      <c r="G241" s="767">
        <v>3565.76</v>
      </c>
    </row>
    <row r="242" spans="1:9">
      <c r="A242" t="s">
        <v>6977</v>
      </c>
      <c r="B242" t="s">
        <v>6979</v>
      </c>
      <c r="C242" s="767">
        <v>2089.0300000000002</v>
      </c>
      <c r="D242" s="767">
        <v>2089.0300000000002</v>
      </c>
      <c r="E242" s="767">
        <v>48258.03</v>
      </c>
      <c r="G242" s="767">
        <v>2089.0300000000002</v>
      </c>
    </row>
    <row r="244" spans="1:9">
      <c r="A244" t="s">
        <v>4216</v>
      </c>
      <c r="B244" s="767">
        <v>48258.03</v>
      </c>
      <c r="C244" s="767">
        <v>48258.03</v>
      </c>
      <c r="D244">
        <v>0</v>
      </c>
      <c r="E244" s="767">
        <v>5654.79</v>
      </c>
      <c r="F244" s="767">
        <v>2089.0300000000002</v>
      </c>
      <c r="G244" s="767">
        <v>40514.21</v>
      </c>
    </row>
    <row r="246" spans="1:9">
      <c r="A246">
        <v>11153</v>
      </c>
      <c r="B246" t="s">
        <v>6324</v>
      </c>
    </row>
    <row r="247" spans="1:9">
      <c r="A247" s="828">
        <v>44288</v>
      </c>
      <c r="B247" t="s">
        <v>6325</v>
      </c>
      <c r="C247" s="767">
        <v>2549.61</v>
      </c>
      <c r="D247" s="767">
        <v>2549.61</v>
      </c>
      <c r="E247" s="767">
        <v>2549.61</v>
      </c>
      <c r="I247" s="767">
        <v>2549.61</v>
      </c>
    </row>
    <row r="249" spans="1:9">
      <c r="A249" t="s">
        <v>4216</v>
      </c>
      <c r="B249" s="767">
        <v>2549.61</v>
      </c>
      <c r="C249" s="767">
        <v>2549.61</v>
      </c>
      <c r="D249">
        <v>0</v>
      </c>
      <c r="E249">
        <v>0</v>
      </c>
      <c r="F249">
        <v>0</v>
      </c>
      <c r="G249" s="767">
        <v>2549.61</v>
      </c>
    </row>
    <row r="251" spans="1:9">
      <c r="A251">
        <v>11173</v>
      </c>
      <c r="B251" t="s">
        <v>3387</v>
      </c>
    </row>
    <row r="252" spans="1:9">
      <c r="A252" s="828">
        <v>43565</v>
      </c>
      <c r="B252" t="s">
        <v>4354</v>
      </c>
      <c r="C252">
        <v>215.18</v>
      </c>
      <c r="D252">
        <v>215.18</v>
      </c>
      <c r="E252">
        <v>215.18</v>
      </c>
      <c r="I252">
        <v>215.18</v>
      </c>
    </row>
    <row r="253" spans="1:9">
      <c r="A253" s="828">
        <v>43596</v>
      </c>
      <c r="B253" t="s">
        <v>4355</v>
      </c>
      <c r="C253">
        <v>209.79</v>
      </c>
      <c r="D253">
        <v>209.79</v>
      </c>
      <c r="E253">
        <v>424.97</v>
      </c>
      <c r="I253">
        <v>209.79</v>
      </c>
    </row>
    <row r="254" spans="1:9">
      <c r="A254" s="828">
        <v>43477</v>
      </c>
      <c r="B254" t="s">
        <v>4356</v>
      </c>
      <c r="C254">
        <v>204.39</v>
      </c>
      <c r="D254">
        <v>204.39</v>
      </c>
      <c r="E254">
        <v>629.36</v>
      </c>
      <c r="I254">
        <v>204.39</v>
      </c>
    </row>
    <row r="255" spans="1:9">
      <c r="A255" s="828">
        <v>43983</v>
      </c>
      <c r="B255" t="s">
        <v>4357</v>
      </c>
      <c r="C255">
        <v>294.99</v>
      </c>
      <c r="D255">
        <v>294.99</v>
      </c>
      <c r="E255">
        <v>924.35</v>
      </c>
      <c r="I255">
        <v>294.99</v>
      </c>
    </row>
    <row r="256" spans="1:9">
      <c r="A256" s="828">
        <v>43923</v>
      </c>
      <c r="B256" t="s">
        <v>4358</v>
      </c>
      <c r="C256">
        <v>221.36</v>
      </c>
      <c r="D256">
        <v>221.36</v>
      </c>
      <c r="E256" s="767">
        <v>1145.71</v>
      </c>
      <c r="I256">
        <v>221.36</v>
      </c>
    </row>
    <row r="257" spans="1:9">
      <c r="A257" s="828">
        <v>43893</v>
      </c>
      <c r="B257" t="s">
        <v>4359</v>
      </c>
      <c r="C257">
        <v>223.99</v>
      </c>
      <c r="D257">
        <v>223.99</v>
      </c>
      <c r="E257" s="767">
        <v>1369.7</v>
      </c>
      <c r="I257">
        <v>223.99</v>
      </c>
    </row>
    <row r="258" spans="1:9">
      <c r="A258" t="s">
        <v>4360</v>
      </c>
      <c r="B258" t="s">
        <v>4361</v>
      </c>
      <c r="C258">
        <v>230.79</v>
      </c>
      <c r="D258">
        <v>230.79</v>
      </c>
      <c r="E258" s="767">
        <v>1600.49</v>
      </c>
      <c r="I258">
        <v>230.79</v>
      </c>
    </row>
    <row r="259" spans="1:9">
      <c r="A259" s="828">
        <v>44048</v>
      </c>
      <c r="B259" t="s">
        <v>4362</v>
      </c>
      <c r="C259">
        <v>565.6</v>
      </c>
      <c r="D259">
        <v>565.6</v>
      </c>
      <c r="E259" s="767">
        <v>2166.09</v>
      </c>
      <c r="I259">
        <v>565.6</v>
      </c>
    </row>
    <row r="260" spans="1:9">
      <c r="A260" s="828">
        <v>43836</v>
      </c>
      <c r="B260" t="s">
        <v>4363</v>
      </c>
      <c r="C260">
        <v>225.13</v>
      </c>
      <c r="D260">
        <v>225.13</v>
      </c>
      <c r="E260" s="767">
        <v>2391.2199999999998</v>
      </c>
      <c r="I260">
        <v>225.13</v>
      </c>
    </row>
    <row r="261" spans="1:9">
      <c r="A261" s="828">
        <v>43837</v>
      </c>
      <c r="B261" t="s">
        <v>4364</v>
      </c>
      <c r="C261">
        <v>272.69</v>
      </c>
      <c r="D261">
        <v>272.69</v>
      </c>
      <c r="E261" s="767">
        <v>2663.91</v>
      </c>
      <c r="I261">
        <v>272.69</v>
      </c>
    </row>
    <row r="262" spans="1:9">
      <c r="A262" s="828">
        <v>43898</v>
      </c>
      <c r="B262" t="s">
        <v>4365</v>
      </c>
      <c r="C262">
        <v>228.9</v>
      </c>
      <c r="D262">
        <v>228.9</v>
      </c>
      <c r="E262" s="767">
        <v>2892.81</v>
      </c>
      <c r="I262">
        <v>228.9</v>
      </c>
    </row>
    <row r="263" spans="1:9">
      <c r="A263" s="828">
        <v>43870</v>
      </c>
      <c r="B263" t="s">
        <v>5387</v>
      </c>
      <c r="C263">
        <v>227.77</v>
      </c>
      <c r="D263">
        <v>227.77</v>
      </c>
      <c r="E263" s="767">
        <v>3120.58</v>
      </c>
      <c r="I263">
        <v>227.77</v>
      </c>
    </row>
    <row r="264" spans="1:9">
      <c r="A264" s="828">
        <v>43871</v>
      </c>
      <c r="B264" t="s">
        <v>5450</v>
      </c>
      <c r="C264">
        <v>248.91</v>
      </c>
      <c r="D264">
        <v>248.91</v>
      </c>
      <c r="E264" s="767">
        <v>3369.49</v>
      </c>
      <c r="I264">
        <v>248.91</v>
      </c>
    </row>
    <row r="266" spans="1:9">
      <c r="A266" t="s">
        <v>4216</v>
      </c>
      <c r="B266" s="767">
        <v>3369.49</v>
      </c>
      <c r="C266" s="767">
        <v>3369.49</v>
      </c>
      <c r="D266">
        <v>0</v>
      </c>
      <c r="E266">
        <v>0</v>
      </c>
      <c r="F266">
        <v>0</v>
      </c>
      <c r="G266" s="767">
        <v>3369.49</v>
      </c>
    </row>
    <row r="268" spans="1:9">
      <c r="A268">
        <v>11232</v>
      </c>
      <c r="B268" t="s">
        <v>3388</v>
      </c>
    </row>
    <row r="269" spans="1:9">
      <c r="A269" s="828">
        <v>44199</v>
      </c>
      <c r="B269" t="s">
        <v>6539</v>
      </c>
      <c r="C269" s="767">
        <v>1621.76</v>
      </c>
      <c r="D269" s="767">
        <v>1621.76</v>
      </c>
      <c r="E269" s="767">
        <v>1621.76</v>
      </c>
      <c r="I269" s="767">
        <v>1621.76</v>
      </c>
    </row>
    <row r="270" spans="1:9">
      <c r="A270" s="828">
        <v>44200</v>
      </c>
      <c r="B270" t="s">
        <v>6980</v>
      </c>
      <c r="C270" s="767">
        <v>1621.76</v>
      </c>
      <c r="D270" s="767">
        <v>1621.76</v>
      </c>
      <c r="E270" s="767">
        <v>3243.52</v>
      </c>
      <c r="H270" s="767">
        <v>1621.76</v>
      </c>
    </row>
    <row r="272" spans="1:9">
      <c r="A272" t="s">
        <v>4216</v>
      </c>
      <c r="B272" s="767">
        <v>3243.52</v>
      </c>
      <c r="C272" s="767">
        <v>3243.52</v>
      </c>
      <c r="D272">
        <v>0</v>
      </c>
      <c r="E272">
        <v>0</v>
      </c>
      <c r="F272" s="767">
        <v>1621.76</v>
      </c>
      <c r="G272" s="767">
        <v>1621.76</v>
      </c>
    </row>
    <row r="274" spans="1:8">
      <c r="A274">
        <v>11241</v>
      </c>
      <c r="B274" t="s">
        <v>6058</v>
      </c>
    </row>
    <row r="275" spans="1:8">
      <c r="A275" t="s">
        <v>6537</v>
      </c>
      <c r="B275" t="s">
        <v>6540</v>
      </c>
      <c r="C275" s="767">
        <v>16653.84</v>
      </c>
      <c r="D275" s="767">
        <v>16653.84</v>
      </c>
      <c r="E275" s="767">
        <v>16653.84</v>
      </c>
      <c r="H275" s="767">
        <v>16653.84</v>
      </c>
    </row>
    <row r="276" spans="1:8">
      <c r="A276" t="s">
        <v>6537</v>
      </c>
      <c r="B276" t="s">
        <v>6541</v>
      </c>
      <c r="C276" s="767">
        <v>7915.35</v>
      </c>
      <c r="D276" s="767">
        <v>7915.35</v>
      </c>
      <c r="E276" s="767">
        <v>24569.19</v>
      </c>
      <c r="H276" s="767">
        <v>7915.35</v>
      </c>
    </row>
    <row r="277" spans="1:8">
      <c r="A277" t="s">
        <v>6977</v>
      </c>
      <c r="B277" t="s">
        <v>6981</v>
      </c>
      <c r="C277" s="767">
        <v>21865.34</v>
      </c>
      <c r="D277" s="767">
        <v>21865.34</v>
      </c>
      <c r="E277" s="767">
        <v>46434.53</v>
      </c>
      <c r="G277" s="767">
        <v>21865.34</v>
      </c>
    </row>
    <row r="278" spans="1:8">
      <c r="A278" t="s">
        <v>6977</v>
      </c>
      <c r="B278" t="s">
        <v>6982</v>
      </c>
      <c r="C278" s="767">
        <v>8351.36</v>
      </c>
      <c r="D278" s="767">
        <v>8351.36</v>
      </c>
      <c r="E278" s="767">
        <v>54785.89</v>
      </c>
      <c r="G278" s="767">
        <v>8351.36</v>
      </c>
    </row>
    <row r="280" spans="1:8">
      <c r="A280" t="s">
        <v>4216</v>
      </c>
      <c r="B280" s="767">
        <v>54785.89</v>
      </c>
      <c r="C280" s="767">
        <v>54785.89</v>
      </c>
      <c r="D280">
        <v>0</v>
      </c>
      <c r="E280" s="767">
        <v>30216.7</v>
      </c>
      <c r="F280" s="767">
        <v>24569.19</v>
      </c>
      <c r="G280">
        <v>0</v>
      </c>
    </row>
    <row r="282" spans="1:8">
      <c r="A282">
        <v>11250</v>
      </c>
      <c r="B282" t="s">
        <v>6983</v>
      </c>
    </row>
    <row r="283" spans="1:8">
      <c r="A283" s="828">
        <v>44200</v>
      </c>
      <c r="B283" t="s">
        <v>6984</v>
      </c>
      <c r="C283" s="767">
        <v>24312.07</v>
      </c>
      <c r="D283" s="767">
        <v>24312.07</v>
      </c>
      <c r="E283" s="767">
        <v>24312.07</v>
      </c>
      <c r="H283" s="767">
        <v>24312.07</v>
      </c>
    </row>
    <row r="285" spans="1:8">
      <c r="A285" t="s">
        <v>4216</v>
      </c>
      <c r="B285" s="767">
        <v>24312.07</v>
      </c>
      <c r="C285" s="767">
        <v>24312.07</v>
      </c>
      <c r="D285">
        <v>0</v>
      </c>
      <c r="E285">
        <v>0</v>
      </c>
      <c r="F285" s="767">
        <v>24312.07</v>
      </c>
      <c r="G285">
        <v>0</v>
      </c>
    </row>
    <row r="287" spans="1:8">
      <c r="A287">
        <v>11259</v>
      </c>
      <c r="B287" t="s">
        <v>6058</v>
      </c>
    </row>
    <row r="288" spans="1:8">
      <c r="A288" t="s">
        <v>6537</v>
      </c>
      <c r="B288" t="s">
        <v>6542</v>
      </c>
      <c r="C288" s="767">
        <v>40471.35</v>
      </c>
      <c r="D288" s="767">
        <v>40471.35</v>
      </c>
      <c r="E288" s="767">
        <v>40471.35</v>
      </c>
      <c r="H288" s="767">
        <v>40471.35</v>
      </c>
    </row>
    <row r="289" spans="1:9">
      <c r="A289" t="s">
        <v>6537</v>
      </c>
      <c r="B289" t="s">
        <v>6543</v>
      </c>
      <c r="C289" s="767">
        <v>2886.17</v>
      </c>
      <c r="D289" s="767">
        <v>2886.17</v>
      </c>
      <c r="E289" s="767">
        <v>43357.52</v>
      </c>
      <c r="H289" s="767">
        <v>2886.17</v>
      </c>
    </row>
    <row r="290" spans="1:9">
      <c r="A290" t="s">
        <v>6977</v>
      </c>
      <c r="B290" t="s">
        <v>6985</v>
      </c>
      <c r="C290" s="767">
        <v>65713.52</v>
      </c>
      <c r="D290" s="767">
        <v>65713.52</v>
      </c>
      <c r="E290" s="767">
        <v>109071.03999999999</v>
      </c>
      <c r="G290" s="767">
        <v>65713.52</v>
      </c>
    </row>
    <row r="291" spans="1:9">
      <c r="A291" t="s">
        <v>6977</v>
      </c>
      <c r="B291" t="s">
        <v>6986</v>
      </c>
      <c r="C291" s="767">
        <v>2886.17</v>
      </c>
      <c r="D291" s="767">
        <v>2886.17</v>
      </c>
      <c r="E291" s="767">
        <v>111957.21</v>
      </c>
      <c r="G291" s="767">
        <v>2886.17</v>
      </c>
    </row>
    <row r="293" spans="1:9">
      <c r="A293" t="s">
        <v>4216</v>
      </c>
      <c r="B293" s="767">
        <v>111957.21</v>
      </c>
      <c r="C293" s="767">
        <v>111957.21</v>
      </c>
      <c r="D293">
        <v>0</v>
      </c>
      <c r="E293" s="767">
        <v>68599.69</v>
      </c>
      <c r="F293" s="767">
        <v>43357.52</v>
      </c>
      <c r="G293">
        <v>0</v>
      </c>
    </row>
    <row r="295" spans="1:9">
      <c r="A295">
        <v>11276</v>
      </c>
      <c r="B295" t="s">
        <v>6059</v>
      </c>
    </row>
    <row r="296" spans="1:9">
      <c r="A296" t="s">
        <v>6977</v>
      </c>
      <c r="B296" t="s">
        <v>6987</v>
      </c>
      <c r="C296" s="767">
        <v>49408.959999999999</v>
      </c>
      <c r="D296" s="767">
        <v>49408.959999999999</v>
      </c>
      <c r="E296" s="767">
        <v>49408.959999999999</v>
      </c>
      <c r="G296" s="767">
        <v>49408.959999999999</v>
      </c>
    </row>
    <row r="298" spans="1:9">
      <c r="A298" t="s">
        <v>4216</v>
      </c>
      <c r="B298" s="767">
        <v>49408.959999999999</v>
      </c>
      <c r="C298" s="767">
        <v>49408.959999999999</v>
      </c>
      <c r="D298">
        <v>0</v>
      </c>
      <c r="E298" s="767">
        <v>49408.959999999999</v>
      </c>
      <c r="F298">
        <v>0</v>
      </c>
      <c r="G298">
        <v>0</v>
      </c>
    </row>
    <row r="300" spans="1:9">
      <c r="A300">
        <v>11295</v>
      </c>
      <c r="B300" t="s">
        <v>3389</v>
      </c>
    </row>
    <row r="301" spans="1:9">
      <c r="A301" s="828">
        <v>43232</v>
      </c>
      <c r="B301" t="s">
        <v>4366</v>
      </c>
      <c r="C301" s="767">
        <v>4202.95</v>
      </c>
      <c r="D301" s="767">
        <v>4202.95</v>
      </c>
      <c r="E301" s="767">
        <v>4202.95</v>
      </c>
      <c r="I301" s="767">
        <v>4202.95</v>
      </c>
    </row>
    <row r="302" spans="1:9">
      <c r="A302" s="828">
        <v>43232</v>
      </c>
      <c r="B302" t="s">
        <v>4367</v>
      </c>
      <c r="C302" s="767">
        <v>3408.59</v>
      </c>
      <c r="D302" s="767">
        <v>3408.59</v>
      </c>
      <c r="E302" s="767">
        <v>7611.54</v>
      </c>
      <c r="I302" s="767">
        <v>3408.59</v>
      </c>
    </row>
    <row r="303" spans="1:9">
      <c r="A303" s="828">
        <v>43681</v>
      </c>
      <c r="B303" t="s">
        <v>4368</v>
      </c>
      <c r="C303" s="767">
        <v>4720.46</v>
      </c>
      <c r="D303" s="767">
        <v>4720.46</v>
      </c>
      <c r="E303" s="767">
        <v>12332</v>
      </c>
      <c r="I303" s="767">
        <v>4720.46</v>
      </c>
    </row>
    <row r="304" spans="1:9">
      <c r="A304" s="828">
        <v>43681</v>
      </c>
      <c r="B304" t="s">
        <v>4369</v>
      </c>
      <c r="C304" s="767">
        <v>5077.49</v>
      </c>
      <c r="D304" s="767">
        <v>5077.49</v>
      </c>
      <c r="E304" s="767">
        <v>17409.490000000002</v>
      </c>
      <c r="I304" s="767">
        <v>5077.49</v>
      </c>
    </row>
    <row r="305" spans="1:9">
      <c r="A305" s="828">
        <v>43932</v>
      </c>
      <c r="B305" t="s">
        <v>5520</v>
      </c>
      <c r="C305" s="767">
        <v>5467.35</v>
      </c>
      <c r="D305" s="767">
        <v>5467.35</v>
      </c>
      <c r="E305" s="767">
        <v>22876.84</v>
      </c>
      <c r="I305" s="767">
        <v>5467.35</v>
      </c>
    </row>
    <row r="306" spans="1:9">
      <c r="A306" s="828">
        <v>43932</v>
      </c>
      <c r="B306" t="s">
        <v>5521</v>
      </c>
      <c r="C306" s="767">
        <v>6430.37</v>
      </c>
      <c r="D306" s="767">
        <v>6430.37</v>
      </c>
      <c r="E306" s="767">
        <v>29307.21</v>
      </c>
      <c r="I306" s="767">
        <v>6430.37</v>
      </c>
    </row>
    <row r="307" spans="1:9">
      <c r="A307" s="828">
        <v>43873</v>
      </c>
      <c r="B307" t="s">
        <v>5840</v>
      </c>
      <c r="C307" s="767">
        <v>5184.63</v>
      </c>
      <c r="D307" s="767">
        <v>5184.63</v>
      </c>
      <c r="E307" s="767">
        <v>34491.839999999997</v>
      </c>
      <c r="I307" s="767">
        <v>5184.63</v>
      </c>
    </row>
    <row r="308" spans="1:9">
      <c r="A308" s="828">
        <v>43873</v>
      </c>
      <c r="B308" t="s">
        <v>5841</v>
      </c>
      <c r="C308" s="767">
        <v>6303.16</v>
      </c>
      <c r="D308" s="767">
        <v>6303.16</v>
      </c>
      <c r="E308" s="767">
        <v>40795</v>
      </c>
      <c r="I308" s="767">
        <v>6303.16</v>
      </c>
    </row>
    <row r="309" spans="1:9">
      <c r="A309" s="828">
        <v>44348</v>
      </c>
      <c r="B309" t="s">
        <v>6060</v>
      </c>
      <c r="C309" s="767">
        <v>4843.0200000000004</v>
      </c>
      <c r="D309" s="767">
        <v>4843.0200000000004</v>
      </c>
      <c r="E309" s="767">
        <v>45638.02</v>
      </c>
      <c r="I309" s="767">
        <v>4843.0200000000004</v>
      </c>
    </row>
    <row r="310" spans="1:9">
      <c r="A310" s="828">
        <v>44348</v>
      </c>
      <c r="B310" t="s">
        <v>6061</v>
      </c>
      <c r="C310" s="767">
        <v>6178.98</v>
      </c>
      <c r="D310" s="767">
        <v>6178.98</v>
      </c>
      <c r="E310" s="767">
        <v>51817</v>
      </c>
      <c r="I310" s="767">
        <v>6178.98</v>
      </c>
    </row>
    <row r="311" spans="1:9">
      <c r="A311" s="828">
        <v>44288</v>
      </c>
      <c r="B311" t="s">
        <v>6326</v>
      </c>
      <c r="C311" s="767">
        <v>5187.38</v>
      </c>
      <c r="D311" s="767">
        <v>5187.38</v>
      </c>
      <c r="E311" s="767">
        <v>57004.38</v>
      </c>
      <c r="I311" s="767">
        <v>5187.38</v>
      </c>
    </row>
    <row r="312" spans="1:9">
      <c r="A312" s="828">
        <v>44288</v>
      </c>
      <c r="B312" t="s">
        <v>6327</v>
      </c>
      <c r="C312" s="767">
        <v>6070.74</v>
      </c>
      <c r="D312" s="767">
        <v>6070.74</v>
      </c>
      <c r="E312" s="767">
        <v>63075.12</v>
      </c>
      <c r="I312" s="767">
        <v>6070.74</v>
      </c>
    </row>
    <row r="314" spans="1:9">
      <c r="A314" t="s">
        <v>4216</v>
      </c>
      <c r="B314" s="767">
        <v>63075.12</v>
      </c>
      <c r="C314" s="767">
        <v>63075.12</v>
      </c>
      <c r="D314">
        <v>0</v>
      </c>
      <c r="E314">
        <v>0</v>
      </c>
      <c r="F314">
        <v>0</v>
      </c>
      <c r="G314" s="767">
        <v>63075.12</v>
      </c>
    </row>
    <row r="316" spans="1:9">
      <c r="A316">
        <v>11312</v>
      </c>
      <c r="B316" t="s">
        <v>3390</v>
      </c>
    </row>
    <row r="317" spans="1:9">
      <c r="A317" s="828">
        <v>43232</v>
      </c>
      <c r="B317" t="s">
        <v>4370</v>
      </c>
      <c r="C317" s="767">
        <v>166030.57</v>
      </c>
      <c r="D317" s="767">
        <v>8072.51</v>
      </c>
      <c r="E317" s="767">
        <v>8072.51</v>
      </c>
      <c r="I317" s="767">
        <v>8072.51</v>
      </c>
    </row>
    <row r="318" spans="1:9">
      <c r="A318" s="828">
        <v>43411</v>
      </c>
      <c r="B318" t="s">
        <v>4371</v>
      </c>
      <c r="C318" s="767">
        <v>205036.73</v>
      </c>
      <c r="D318" s="767">
        <v>152395.37</v>
      </c>
      <c r="E318" s="767">
        <v>160467.88</v>
      </c>
      <c r="I318" s="767">
        <v>152395.37</v>
      </c>
    </row>
    <row r="319" spans="1:9">
      <c r="A319" s="828">
        <v>44200</v>
      </c>
      <c r="B319" t="s">
        <v>6988</v>
      </c>
      <c r="C319" s="767">
        <v>108728.29</v>
      </c>
      <c r="D319" s="767">
        <v>108728.29</v>
      </c>
      <c r="E319" s="767">
        <v>269196.17</v>
      </c>
      <c r="H319" s="767">
        <v>108728.29</v>
      </c>
    </row>
    <row r="320" spans="1:9">
      <c r="A320" s="828">
        <v>44200</v>
      </c>
      <c r="B320" t="s">
        <v>6989</v>
      </c>
      <c r="C320" s="767">
        <v>14458.35</v>
      </c>
      <c r="D320" s="767">
        <v>14458.35</v>
      </c>
      <c r="E320" s="767">
        <v>283654.52</v>
      </c>
      <c r="H320" s="767">
        <v>14458.35</v>
      </c>
    </row>
    <row r="322" spans="1:9">
      <c r="A322" t="s">
        <v>4216</v>
      </c>
      <c r="B322" s="767">
        <v>494253.94</v>
      </c>
      <c r="C322" s="767">
        <v>283654.52</v>
      </c>
      <c r="D322">
        <v>0</v>
      </c>
      <c r="E322">
        <v>0</v>
      </c>
      <c r="F322" s="767">
        <v>123186.64</v>
      </c>
      <c r="G322" s="767">
        <v>160467.88</v>
      </c>
    </row>
    <row r="324" spans="1:9">
      <c r="A324">
        <v>11320</v>
      </c>
      <c r="B324" t="s">
        <v>3388</v>
      </c>
    </row>
    <row r="325" spans="1:9">
      <c r="A325" s="828">
        <v>44199</v>
      </c>
      <c r="B325" t="s">
        <v>6544</v>
      </c>
      <c r="C325" s="767">
        <v>26809.85</v>
      </c>
      <c r="D325" s="767">
        <v>26809.85</v>
      </c>
      <c r="E325" s="767">
        <v>26809.85</v>
      </c>
      <c r="I325" s="767">
        <v>26809.85</v>
      </c>
    </row>
    <row r="326" spans="1:9">
      <c r="A326" s="828">
        <v>44200</v>
      </c>
      <c r="B326" t="s">
        <v>6990</v>
      </c>
      <c r="C326" s="767">
        <v>11049.72</v>
      </c>
      <c r="D326" s="767">
        <v>11049.72</v>
      </c>
      <c r="E326" s="767">
        <v>37859.57</v>
      </c>
      <c r="H326" s="767">
        <v>11049.72</v>
      </c>
    </row>
    <row r="328" spans="1:9">
      <c r="A328" t="s">
        <v>4216</v>
      </c>
      <c r="B328" s="767">
        <v>37859.57</v>
      </c>
      <c r="C328" s="767">
        <v>37859.57</v>
      </c>
      <c r="D328">
        <v>0</v>
      </c>
      <c r="E328">
        <v>0</v>
      </c>
      <c r="F328" s="767">
        <v>11049.72</v>
      </c>
      <c r="G328" s="767">
        <v>26809.85</v>
      </c>
    </row>
    <row r="330" spans="1:9">
      <c r="A330">
        <v>11321</v>
      </c>
      <c r="B330" t="s">
        <v>3391</v>
      </c>
    </row>
    <row r="331" spans="1:9">
      <c r="A331" s="828">
        <v>43232</v>
      </c>
      <c r="B331" t="s">
        <v>4372</v>
      </c>
      <c r="C331" s="767">
        <v>4095.97</v>
      </c>
      <c r="D331" s="767">
        <v>4095.97</v>
      </c>
      <c r="E331" s="767">
        <v>4095.97</v>
      </c>
      <c r="I331" s="767">
        <v>4095.97</v>
      </c>
    </row>
    <row r="332" spans="1:9">
      <c r="A332" t="s">
        <v>6525</v>
      </c>
      <c r="B332" t="s">
        <v>6545</v>
      </c>
      <c r="C332" s="767">
        <v>5520.81</v>
      </c>
      <c r="D332" s="767">
        <v>5520.81</v>
      </c>
      <c r="E332" s="767">
        <v>9616.7800000000007</v>
      </c>
      <c r="H332" s="767">
        <v>5520.81</v>
      </c>
    </row>
    <row r="333" spans="1:9">
      <c r="A333" t="s">
        <v>6991</v>
      </c>
      <c r="B333" t="s">
        <v>6992</v>
      </c>
      <c r="C333" s="767">
        <v>6080.49</v>
      </c>
      <c r="D333" s="767">
        <v>6080.49</v>
      </c>
      <c r="E333" s="767">
        <v>15697.27</v>
      </c>
      <c r="G333" s="767">
        <v>6080.49</v>
      </c>
    </row>
    <row r="334" spans="1:9">
      <c r="A334" t="s">
        <v>6991</v>
      </c>
      <c r="B334" t="s">
        <v>6993</v>
      </c>
      <c r="C334" s="767">
        <v>7937.11</v>
      </c>
      <c r="D334" s="767">
        <v>7937.11</v>
      </c>
      <c r="E334" s="767">
        <v>23634.38</v>
      </c>
      <c r="G334" s="767">
        <v>7937.11</v>
      </c>
    </row>
    <row r="336" spans="1:9">
      <c r="A336" t="s">
        <v>4216</v>
      </c>
      <c r="B336" s="767">
        <v>23634.38</v>
      </c>
      <c r="C336" s="767">
        <v>23634.38</v>
      </c>
      <c r="D336">
        <v>0</v>
      </c>
      <c r="E336" s="767">
        <v>14017.6</v>
      </c>
      <c r="F336" s="767">
        <v>5520.81</v>
      </c>
      <c r="G336" s="767">
        <v>4095.97</v>
      </c>
    </row>
    <row r="338" spans="1:9">
      <c r="A338">
        <v>11326</v>
      </c>
      <c r="B338" t="s">
        <v>3392</v>
      </c>
    </row>
    <row r="339" spans="1:9">
      <c r="A339" s="828">
        <v>43983</v>
      </c>
      <c r="B339" t="s">
        <v>4373</v>
      </c>
      <c r="C339" s="767">
        <v>2073.44</v>
      </c>
      <c r="D339" s="767">
        <v>2073.44</v>
      </c>
      <c r="E339" s="767">
        <v>2073.44</v>
      </c>
      <c r="I339" s="767">
        <v>2073.44</v>
      </c>
    </row>
    <row r="340" spans="1:9">
      <c r="A340" s="828">
        <v>44317</v>
      </c>
      <c r="B340" t="s">
        <v>6062</v>
      </c>
      <c r="C340" s="767">
        <v>2428.33</v>
      </c>
      <c r="D340" s="767">
        <v>2428.33</v>
      </c>
      <c r="E340" s="767">
        <v>4501.7700000000004</v>
      </c>
      <c r="I340" s="767">
        <v>2428.33</v>
      </c>
    </row>
    <row r="342" spans="1:9">
      <c r="A342" t="s">
        <v>4216</v>
      </c>
      <c r="B342" s="767">
        <v>4501.7700000000004</v>
      </c>
      <c r="C342" s="767">
        <v>4501.7700000000004</v>
      </c>
      <c r="D342">
        <v>0</v>
      </c>
      <c r="E342">
        <v>0</v>
      </c>
      <c r="F342">
        <v>0</v>
      </c>
      <c r="G342" s="767">
        <v>4501.7700000000004</v>
      </c>
    </row>
    <row r="344" spans="1:9">
      <c r="A344">
        <v>11341</v>
      </c>
      <c r="B344" t="s">
        <v>3393</v>
      </c>
    </row>
    <row r="345" spans="1:9">
      <c r="A345" s="828">
        <v>43232</v>
      </c>
      <c r="B345" t="s">
        <v>4374</v>
      </c>
      <c r="C345" s="767">
        <v>1697.42</v>
      </c>
      <c r="D345" s="767">
        <v>1697.42</v>
      </c>
      <c r="E345" s="767">
        <v>1697.42</v>
      </c>
      <c r="I345" s="767">
        <v>1697.42</v>
      </c>
    </row>
    <row r="347" spans="1:9">
      <c r="A347" t="s">
        <v>4216</v>
      </c>
      <c r="B347" s="767">
        <v>1697.42</v>
      </c>
      <c r="C347" s="767">
        <v>1697.42</v>
      </c>
      <c r="D347">
        <v>0</v>
      </c>
      <c r="E347">
        <v>0</v>
      </c>
      <c r="F347">
        <v>0</v>
      </c>
      <c r="G347" s="767">
        <v>1697.42</v>
      </c>
    </row>
    <row r="349" spans="1:9">
      <c r="A349">
        <v>11353</v>
      </c>
      <c r="B349" t="s">
        <v>6994</v>
      </c>
    </row>
    <row r="350" spans="1:9">
      <c r="A350" s="828">
        <v>44200</v>
      </c>
      <c r="B350" t="s">
        <v>6995</v>
      </c>
      <c r="C350" s="767">
        <v>4799.97</v>
      </c>
      <c r="D350" s="767">
        <v>4799.97</v>
      </c>
      <c r="E350" s="767">
        <v>4799.97</v>
      </c>
      <c r="H350" s="767">
        <v>4799.97</v>
      </c>
    </row>
    <row r="352" spans="1:9">
      <c r="A352" t="s">
        <v>4216</v>
      </c>
      <c r="B352" s="767">
        <v>4799.97</v>
      </c>
      <c r="C352" s="767">
        <v>4799.97</v>
      </c>
      <c r="D352">
        <v>0</v>
      </c>
      <c r="E352">
        <v>0</v>
      </c>
      <c r="F352" s="767">
        <v>4799.97</v>
      </c>
      <c r="G352">
        <v>0</v>
      </c>
    </row>
    <row r="354" spans="1:9">
      <c r="A354">
        <v>11367</v>
      </c>
      <c r="B354" t="s">
        <v>4375</v>
      </c>
    </row>
    <row r="355" spans="1:9">
      <c r="A355" s="828">
        <v>43870</v>
      </c>
      <c r="B355" t="s">
        <v>5388</v>
      </c>
      <c r="C355" s="767">
        <v>6754</v>
      </c>
      <c r="D355" s="767">
        <v>6754</v>
      </c>
      <c r="E355" s="767">
        <v>6754</v>
      </c>
      <c r="I355" s="767">
        <v>6754</v>
      </c>
    </row>
    <row r="356" spans="1:9">
      <c r="A356" s="828">
        <v>43840</v>
      </c>
      <c r="B356" t="s">
        <v>5452</v>
      </c>
      <c r="C356" s="767">
        <v>8643.2000000000007</v>
      </c>
      <c r="D356" s="767">
        <v>8643.2000000000007</v>
      </c>
      <c r="E356" s="767">
        <v>15397.2</v>
      </c>
      <c r="I356" s="767">
        <v>8643.2000000000007</v>
      </c>
    </row>
    <row r="357" spans="1:9">
      <c r="A357" s="828">
        <v>43932</v>
      </c>
      <c r="B357" t="s">
        <v>5523</v>
      </c>
      <c r="C357" s="767">
        <v>5723.14</v>
      </c>
      <c r="D357" s="767">
        <v>5723.14</v>
      </c>
      <c r="E357" s="767">
        <v>21120.34</v>
      </c>
      <c r="I357" s="767">
        <v>5723.14</v>
      </c>
    </row>
    <row r="358" spans="1:9">
      <c r="A358" s="828">
        <v>43873</v>
      </c>
      <c r="B358" t="s">
        <v>5842</v>
      </c>
      <c r="C358" s="767">
        <v>8956.1200000000008</v>
      </c>
      <c r="D358" s="767">
        <v>8956.1200000000008</v>
      </c>
      <c r="E358" s="767">
        <v>30076.46</v>
      </c>
      <c r="I358" s="767">
        <v>8956.1200000000008</v>
      </c>
    </row>
    <row r="359" spans="1:9">
      <c r="A359" s="828">
        <v>44348</v>
      </c>
      <c r="B359" t="s">
        <v>6063</v>
      </c>
      <c r="C359" s="767">
        <v>5313.21</v>
      </c>
      <c r="D359" s="767">
        <v>5313.21</v>
      </c>
      <c r="E359" s="767">
        <v>35389.67</v>
      </c>
      <c r="I359" s="767">
        <v>5313.21</v>
      </c>
    </row>
    <row r="360" spans="1:9">
      <c r="A360" s="828">
        <v>44288</v>
      </c>
      <c r="B360" t="s">
        <v>6328</v>
      </c>
      <c r="C360" s="767">
        <v>4440</v>
      </c>
      <c r="D360" s="767">
        <v>4440</v>
      </c>
      <c r="E360" s="767">
        <v>39829.67</v>
      </c>
      <c r="I360" s="767">
        <v>4440</v>
      </c>
    </row>
    <row r="361" spans="1:9">
      <c r="A361" s="828">
        <v>44230</v>
      </c>
      <c r="B361" t="s">
        <v>6546</v>
      </c>
      <c r="C361" s="767">
        <v>4812.1899999999996</v>
      </c>
      <c r="D361" s="767">
        <v>4812.1899999999996</v>
      </c>
      <c r="E361" s="767">
        <v>44641.86</v>
      </c>
      <c r="I361" s="767">
        <v>4812.1899999999996</v>
      </c>
    </row>
    <row r="362" spans="1:9">
      <c r="A362" s="828">
        <v>44200</v>
      </c>
      <c r="B362" t="s">
        <v>6996</v>
      </c>
      <c r="C362" s="767">
        <v>3893.01</v>
      </c>
      <c r="D362" s="767">
        <v>3893.01</v>
      </c>
      <c r="E362" s="767">
        <v>48534.87</v>
      </c>
      <c r="H362" s="767">
        <v>3893.01</v>
      </c>
    </row>
    <row r="364" spans="1:9">
      <c r="A364" t="s">
        <v>4216</v>
      </c>
      <c r="B364" s="767">
        <v>48534.87</v>
      </c>
      <c r="C364" s="767">
        <v>48534.87</v>
      </c>
      <c r="D364">
        <v>0</v>
      </c>
      <c r="E364">
        <v>0</v>
      </c>
      <c r="F364" s="767">
        <v>3893.01</v>
      </c>
      <c r="G364" s="767">
        <v>44641.86</v>
      </c>
    </row>
    <row r="366" spans="1:9">
      <c r="A366">
        <v>11370</v>
      </c>
      <c r="B366" t="s">
        <v>3394</v>
      </c>
    </row>
    <row r="367" spans="1:9">
      <c r="A367" s="828">
        <v>43410</v>
      </c>
      <c r="B367" t="s">
        <v>4376</v>
      </c>
      <c r="C367">
        <v>653.25</v>
      </c>
      <c r="D367">
        <v>653.25</v>
      </c>
      <c r="E367">
        <v>653.25</v>
      </c>
      <c r="I367">
        <v>653.25</v>
      </c>
    </row>
    <row r="368" spans="1:9">
      <c r="A368" t="s">
        <v>4377</v>
      </c>
      <c r="B368" t="s">
        <v>4378</v>
      </c>
      <c r="C368">
        <v>585.41</v>
      </c>
      <c r="D368">
        <v>585.41</v>
      </c>
      <c r="E368" s="767">
        <v>1238.6600000000001</v>
      </c>
      <c r="I368">
        <v>585.41</v>
      </c>
    </row>
    <row r="369" spans="1:9">
      <c r="A369" s="828">
        <v>43679</v>
      </c>
      <c r="B369" t="s">
        <v>4379</v>
      </c>
      <c r="C369">
        <v>435.44</v>
      </c>
      <c r="D369">
        <v>435.44</v>
      </c>
      <c r="E369" s="767">
        <v>1674.1</v>
      </c>
      <c r="I369">
        <v>435.44</v>
      </c>
    </row>
    <row r="370" spans="1:9">
      <c r="A370" s="828">
        <v>43476</v>
      </c>
      <c r="B370" t="s">
        <v>4380</v>
      </c>
      <c r="C370">
        <v>674.51</v>
      </c>
      <c r="D370">
        <v>674.51</v>
      </c>
      <c r="E370" s="767">
        <v>2348.61</v>
      </c>
      <c r="I370">
        <v>674.51</v>
      </c>
    </row>
    <row r="371" spans="1:9">
      <c r="A371" s="828">
        <v>43898</v>
      </c>
      <c r="B371" t="s">
        <v>4381</v>
      </c>
      <c r="C371">
        <v>354.87</v>
      </c>
      <c r="D371">
        <v>354.87</v>
      </c>
      <c r="E371" s="767">
        <v>2703.48</v>
      </c>
      <c r="I371">
        <v>354.87</v>
      </c>
    </row>
    <row r="372" spans="1:9">
      <c r="A372" s="828">
        <v>44200</v>
      </c>
      <c r="B372" t="s">
        <v>6997</v>
      </c>
      <c r="C372">
        <v>410.7</v>
      </c>
      <c r="D372">
        <v>410.7</v>
      </c>
      <c r="E372" s="767">
        <v>3114.18</v>
      </c>
      <c r="H372">
        <v>410.7</v>
      </c>
    </row>
    <row r="374" spans="1:9">
      <c r="A374" t="s">
        <v>4216</v>
      </c>
      <c r="B374" s="767">
        <v>3114.18</v>
      </c>
      <c r="C374" s="767">
        <v>3114.18</v>
      </c>
      <c r="D374">
        <v>0</v>
      </c>
      <c r="E374">
        <v>0</v>
      </c>
      <c r="F374">
        <v>410.7</v>
      </c>
      <c r="G374" s="767">
        <v>2703.48</v>
      </c>
    </row>
    <row r="376" spans="1:9">
      <c r="A376">
        <v>11381</v>
      </c>
      <c r="B376" t="s">
        <v>6064</v>
      </c>
    </row>
    <row r="377" spans="1:9">
      <c r="A377" t="s">
        <v>6056</v>
      </c>
      <c r="B377" t="s">
        <v>6065</v>
      </c>
      <c r="C377" s="767">
        <v>22751.29</v>
      </c>
      <c r="D377" s="767">
        <v>22751.29</v>
      </c>
      <c r="E377" s="767">
        <v>22751.29</v>
      </c>
      <c r="I377" s="767">
        <v>22751.29</v>
      </c>
    </row>
    <row r="378" spans="1:9">
      <c r="A378" t="s">
        <v>6322</v>
      </c>
      <c r="B378" t="s">
        <v>6329</v>
      </c>
      <c r="C378" s="767">
        <v>25043.9</v>
      </c>
      <c r="D378" s="767">
        <v>25043.9</v>
      </c>
      <c r="E378" s="767">
        <v>47795.19</v>
      </c>
      <c r="I378" s="767">
        <v>25043.9</v>
      </c>
    </row>
    <row r="379" spans="1:9">
      <c r="A379" t="s">
        <v>6537</v>
      </c>
      <c r="B379" t="s">
        <v>6547</v>
      </c>
      <c r="C379" s="767">
        <v>22526.94</v>
      </c>
      <c r="D379" s="767">
        <v>22526.94</v>
      </c>
      <c r="E379" s="767">
        <v>70322.13</v>
      </c>
      <c r="H379" s="767">
        <v>22526.94</v>
      </c>
    </row>
    <row r="380" spans="1:9">
      <c r="A380" t="s">
        <v>6977</v>
      </c>
      <c r="B380" t="s">
        <v>6998</v>
      </c>
      <c r="C380" s="767">
        <v>24114.81</v>
      </c>
      <c r="D380" s="767">
        <v>24114.81</v>
      </c>
      <c r="E380" s="767">
        <v>94436.94</v>
      </c>
      <c r="G380" s="767">
        <v>24114.81</v>
      </c>
    </row>
    <row r="382" spans="1:9">
      <c r="A382" t="s">
        <v>4216</v>
      </c>
      <c r="B382" s="767">
        <v>94436.94</v>
      </c>
      <c r="C382" s="767">
        <v>94436.94</v>
      </c>
      <c r="D382">
        <v>0</v>
      </c>
      <c r="E382" s="767">
        <v>24114.81</v>
      </c>
      <c r="F382" s="767">
        <v>22526.94</v>
      </c>
      <c r="G382" s="767">
        <v>47795.19</v>
      </c>
    </row>
    <row r="384" spans="1:9">
      <c r="A384">
        <v>11390</v>
      </c>
      <c r="B384" t="s">
        <v>4382</v>
      </c>
    </row>
    <row r="385" spans="1:9">
      <c r="A385" s="828">
        <v>43232</v>
      </c>
      <c r="B385" t="s">
        <v>4383</v>
      </c>
      <c r="C385" s="767">
        <v>2521.2600000000002</v>
      </c>
      <c r="D385" s="767">
        <v>2521.2600000000002</v>
      </c>
      <c r="E385" s="767">
        <v>2521.2600000000002</v>
      </c>
      <c r="I385" s="767">
        <v>2521.2600000000002</v>
      </c>
    </row>
    <row r="386" spans="1:9">
      <c r="A386" s="828">
        <v>43410</v>
      </c>
      <c r="B386" t="s">
        <v>4384</v>
      </c>
      <c r="C386" s="767">
        <v>1130.6099999999999</v>
      </c>
      <c r="D386" s="767">
        <v>1130.6099999999999</v>
      </c>
      <c r="E386" s="767">
        <v>3651.87</v>
      </c>
      <c r="I386" s="767">
        <v>1130.6099999999999</v>
      </c>
    </row>
    <row r="387" spans="1:9">
      <c r="A387" s="828">
        <v>43873</v>
      </c>
      <c r="B387" t="s">
        <v>5843</v>
      </c>
      <c r="C387" s="767">
        <v>1284.9100000000001</v>
      </c>
      <c r="D387" s="767">
        <v>1284.9100000000001</v>
      </c>
      <c r="E387" s="767">
        <v>4936.78</v>
      </c>
      <c r="I387" s="767">
        <v>1284.9100000000001</v>
      </c>
    </row>
    <row r="389" spans="1:9">
      <c r="A389" t="s">
        <v>4216</v>
      </c>
      <c r="B389" s="767">
        <v>4936.78</v>
      </c>
      <c r="C389" s="767">
        <v>4936.78</v>
      </c>
      <c r="D389">
        <v>0</v>
      </c>
      <c r="E389">
        <v>0</v>
      </c>
      <c r="F389">
        <v>0</v>
      </c>
      <c r="G389" s="767">
        <v>4936.78</v>
      </c>
    </row>
    <row r="391" spans="1:9">
      <c r="A391">
        <v>11404</v>
      </c>
      <c r="B391" t="s">
        <v>3395</v>
      </c>
    </row>
    <row r="392" spans="1:9">
      <c r="A392" s="828">
        <v>44199</v>
      </c>
      <c r="B392" t="s">
        <v>6548</v>
      </c>
      <c r="C392">
        <v>797.13</v>
      </c>
      <c r="D392">
        <v>797.13</v>
      </c>
      <c r="E392">
        <v>797.13</v>
      </c>
      <c r="I392">
        <v>797.13</v>
      </c>
    </row>
    <row r="393" spans="1:9">
      <c r="A393" s="828">
        <v>44200</v>
      </c>
      <c r="B393" t="s">
        <v>6999</v>
      </c>
      <c r="C393">
        <v>797.13</v>
      </c>
      <c r="D393">
        <v>797.13</v>
      </c>
      <c r="E393" s="767">
        <v>1594.26</v>
      </c>
      <c r="H393">
        <v>797.13</v>
      </c>
    </row>
    <row r="395" spans="1:9">
      <c r="A395" t="s">
        <v>4216</v>
      </c>
      <c r="B395" s="767">
        <v>1594.26</v>
      </c>
      <c r="C395" s="767">
        <v>1594.26</v>
      </c>
      <c r="D395">
        <v>0</v>
      </c>
      <c r="E395">
        <v>0</v>
      </c>
      <c r="F395">
        <v>797.13</v>
      </c>
      <c r="G395">
        <v>797.13</v>
      </c>
    </row>
    <row r="397" spans="1:9">
      <c r="A397">
        <v>11413</v>
      </c>
      <c r="B397" t="s">
        <v>3396</v>
      </c>
    </row>
    <row r="398" spans="1:9">
      <c r="A398" s="828">
        <v>44317</v>
      </c>
      <c r="B398" t="s">
        <v>6066</v>
      </c>
      <c r="C398" s="767">
        <v>9518.99</v>
      </c>
      <c r="D398" s="767">
        <v>6889.52</v>
      </c>
      <c r="E398" s="767">
        <v>6889.52</v>
      </c>
      <c r="I398" s="767">
        <v>6889.52</v>
      </c>
    </row>
    <row r="399" spans="1:9">
      <c r="A399" s="828">
        <v>44317</v>
      </c>
      <c r="B399" t="s">
        <v>6067</v>
      </c>
      <c r="C399" s="767">
        <v>1057.28</v>
      </c>
      <c r="D399" s="767">
        <v>1057.28</v>
      </c>
      <c r="E399" s="767">
        <v>7946.8</v>
      </c>
      <c r="I399" s="767">
        <v>1057.28</v>
      </c>
    </row>
    <row r="400" spans="1:9">
      <c r="A400" s="828">
        <v>44288</v>
      </c>
      <c r="B400" t="s">
        <v>6330</v>
      </c>
      <c r="C400" s="767">
        <v>8600.85</v>
      </c>
      <c r="D400" s="767">
        <v>8600.85</v>
      </c>
      <c r="E400" s="767">
        <v>16547.650000000001</v>
      </c>
      <c r="I400" s="767">
        <v>8600.85</v>
      </c>
    </row>
    <row r="401" spans="1:9">
      <c r="A401" s="828">
        <v>44288</v>
      </c>
      <c r="B401" t="s">
        <v>6331</v>
      </c>
      <c r="C401">
        <v>649.25</v>
      </c>
      <c r="D401">
        <v>649.25</v>
      </c>
      <c r="E401" s="767">
        <v>17196.900000000001</v>
      </c>
      <c r="I401">
        <v>649.25</v>
      </c>
    </row>
    <row r="402" spans="1:9">
      <c r="A402" s="828">
        <v>44318</v>
      </c>
      <c r="B402" t="s">
        <v>6332</v>
      </c>
      <c r="C402" s="767">
        <v>6900.94</v>
      </c>
      <c r="D402" s="767">
        <v>6900.94</v>
      </c>
      <c r="E402" s="767">
        <v>24097.84</v>
      </c>
      <c r="I402" s="767">
        <v>6900.94</v>
      </c>
    </row>
    <row r="403" spans="1:9">
      <c r="A403" s="828">
        <v>44230</v>
      </c>
      <c r="B403" t="s">
        <v>6549</v>
      </c>
      <c r="C403" s="767">
        <v>11064.7</v>
      </c>
      <c r="D403" s="767">
        <v>11064.7</v>
      </c>
      <c r="E403" s="767">
        <v>35162.54</v>
      </c>
      <c r="I403" s="767">
        <v>11064.7</v>
      </c>
    </row>
    <row r="404" spans="1:9">
      <c r="A404" s="828">
        <v>44351</v>
      </c>
      <c r="B404" t="s">
        <v>7000</v>
      </c>
      <c r="C404" s="767">
        <v>10959.27</v>
      </c>
      <c r="D404" s="767">
        <v>10959.27</v>
      </c>
      <c r="E404" s="767">
        <v>46121.81</v>
      </c>
      <c r="G404" s="767">
        <v>10959.27</v>
      </c>
    </row>
    <row r="406" spans="1:9">
      <c r="A406" t="s">
        <v>4216</v>
      </c>
      <c r="B406" s="767">
        <v>48751.28</v>
      </c>
      <c r="C406" s="767">
        <v>46121.81</v>
      </c>
      <c r="D406">
        <v>0</v>
      </c>
      <c r="E406" s="767">
        <v>10959.27</v>
      </c>
      <c r="F406">
        <v>0</v>
      </c>
      <c r="G406" s="767">
        <v>35162.54</v>
      </c>
    </row>
    <row r="408" spans="1:9">
      <c r="A408">
        <v>11423</v>
      </c>
      <c r="B408" t="s">
        <v>3397</v>
      </c>
    </row>
    <row r="409" spans="1:9">
      <c r="A409" s="828">
        <v>43232</v>
      </c>
      <c r="B409" t="s">
        <v>4386</v>
      </c>
      <c r="C409" s="767">
        <v>6970.76</v>
      </c>
      <c r="D409" s="767">
        <v>6970.76</v>
      </c>
      <c r="E409" s="767">
        <v>6970.76</v>
      </c>
      <c r="I409" s="767">
        <v>6970.76</v>
      </c>
    </row>
    <row r="410" spans="1:9">
      <c r="A410" s="828">
        <v>43232</v>
      </c>
      <c r="B410" t="s">
        <v>4387</v>
      </c>
      <c r="C410" s="767">
        <v>6031.42</v>
      </c>
      <c r="D410" s="767">
        <v>6031.42</v>
      </c>
      <c r="E410" s="767">
        <v>13002.18</v>
      </c>
      <c r="I410" s="767">
        <v>6031.42</v>
      </c>
    </row>
    <row r="411" spans="1:9">
      <c r="A411" s="828">
        <v>43232</v>
      </c>
      <c r="B411" t="s">
        <v>4388</v>
      </c>
      <c r="C411" s="767">
        <v>20853.189999999999</v>
      </c>
      <c r="D411" s="767">
        <v>1502.75</v>
      </c>
      <c r="E411" s="767">
        <v>14504.93</v>
      </c>
      <c r="I411" s="767">
        <v>1502.75</v>
      </c>
    </row>
    <row r="412" spans="1:9">
      <c r="A412" t="s">
        <v>5518</v>
      </c>
      <c r="B412" t="s">
        <v>5524</v>
      </c>
      <c r="C412" s="767">
        <v>21092.31</v>
      </c>
      <c r="D412" s="767">
        <v>21092.31</v>
      </c>
      <c r="E412" s="767">
        <v>35597.24</v>
      </c>
      <c r="I412" s="767">
        <v>21092.31</v>
      </c>
    </row>
    <row r="413" spans="1:9">
      <c r="A413" s="828">
        <v>44200</v>
      </c>
      <c r="B413" t="s">
        <v>7001</v>
      </c>
      <c r="C413" s="767">
        <v>18150.39</v>
      </c>
      <c r="D413" s="767">
        <v>18150.39</v>
      </c>
      <c r="E413" s="767">
        <v>53747.63</v>
      </c>
      <c r="H413" s="767">
        <v>18150.39</v>
      </c>
    </row>
    <row r="415" spans="1:9">
      <c r="A415" t="s">
        <v>4216</v>
      </c>
      <c r="B415" s="767">
        <v>73098.070000000007</v>
      </c>
      <c r="C415" s="767">
        <v>53747.63</v>
      </c>
      <c r="D415">
        <v>0</v>
      </c>
      <c r="E415">
        <v>0</v>
      </c>
      <c r="F415" s="767">
        <v>18150.39</v>
      </c>
      <c r="G415" s="767">
        <v>35597.24</v>
      </c>
    </row>
    <row r="417" spans="1:9">
      <c r="A417">
        <v>11432</v>
      </c>
      <c r="B417" t="s">
        <v>5389</v>
      </c>
    </row>
    <row r="418" spans="1:9">
      <c r="A418" s="828">
        <v>43839</v>
      </c>
      <c r="B418" t="s">
        <v>5390</v>
      </c>
      <c r="C418" s="767">
        <v>4460.75</v>
      </c>
      <c r="D418" s="767">
        <v>4460.75</v>
      </c>
      <c r="E418" s="767">
        <v>4460.75</v>
      </c>
      <c r="I418" s="767">
        <v>4460.75</v>
      </c>
    </row>
    <row r="419" spans="1:9">
      <c r="A419" s="828">
        <v>44200</v>
      </c>
      <c r="B419" t="s">
        <v>7002</v>
      </c>
      <c r="C419" s="767">
        <v>288407.34000000003</v>
      </c>
      <c r="D419" s="767">
        <v>288407.34000000003</v>
      </c>
      <c r="E419" s="767">
        <v>292868.09000000003</v>
      </c>
      <c r="H419" s="767">
        <v>288407.34000000003</v>
      </c>
    </row>
    <row r="420" spans="1:9">
      <c r="A420" s="828">
        <v>44200</v>
      </c>
      <c r="B420" t="s">
        <v>7003</v>
      </c>
      <c r="C420" s="767">
        <v>14277.86</v>
      </c>
      <c r="D420" s="767">
        <v>14277.86</v>
      </c>
      <c r="E420" s="767">
        <v>307145.95</v>
      </c>
      <c r="H420" s="767">
        <v>14277.86</v>
      </c>
    </row>
    <row r="421" spans="1:9">
      <c r="A421" s="828">
        <v>44200</v>
      </c>
      <c r="B421" t="s">
        <v>7004</v>
      </c>
      <c r="C421" s="767">
        <v>8888.58</v>
      </c>
      <c r="D421" s="767">
        <v>8888.58</v>
      </c>
      <c r="E421" s="767">
        <v>316034.53000000003</v>
      </c>
      <c r="H421" s="767">
        <v>8888.58</v>
      </c>
    </row>
    <row r="422" spans="1:9">
      <c r="A422" s="828">
        <v>44200</v>
      </c>
      <c r="B422" t="s">
        <v>7005</v>
      </c>
      <c r="C422" s="767">
        <v>4645.3599999999997</v>
      </c>
      <c r="D422" s="767">
        <v>4645.3599999999997</v>
      </c>
      <c r="E422" s="767">
        <v>320679.89</v>
      </c>
      <c r="H422" s="767">
        <v>4645.3599999999997</v>
      </c>
    </row>
    <row r="424" spans="1:9">
      <c r="A424" t="s">
        <v>4216</v>
      </c>
      <c r="B424" s="767">
        <v>320679.89</v>
      </c>
      <c r="C424" s="767">
        <v>320679.89</v>
      </c>
      <c r="D424">
        <v>0</v>
      </c>
      <c r="E424">
        <v>0</v>
      </c>
      <c r="F424" s="767">
        <v>316219.14</v>
      </c>
      <c r="G424" s="767">
        <v>4460.75</v>
      </c>
    </row>
    <row r="426" spans="1:9">
      <c r="A426">
        <v>11434</v>
      </c>
      <c r="B426" t="s">
        <v>1040</v>
      </c>
    </row>
    <row r="427" spans="1:9">
      <c r="A427" s="828">
        <v>44200</v>
      </c>
      <c r="B427" t="s">
        <v>7006</v>
      </c>
      <c r="C427" s="767">
        <v>2211.9899999999998</v>
      </c>
      <c r="D427" s="767">
        <v>2211.9899999999998</v>
      </c>
      <c r="E427" s="767">
        <v>2211.9899999999998</v>
      </c>
      <c r="H427" s="767">
        <v>2211.9899999999998</v>
      </c>
    </row>
    <row r="429" spans="1:9">
      <c r="A429" t="s">
        <v>4216</v>
      </c>
      <c r="B429" s="767">
        <v>2211.9899999999998</v>
      </c>
      <c r="C429" s="767">
        <v>2211.9899999999998</v>
      </c>
      <c r="D429">
        <v>0</v>
      </c>
      <c r="E429">
        <v>0</v>
      </c>
      <c r="F429" s="767">
        <v>2211.9899999999998</v>
      </c>
      <c r="G429">
        <v>0</v>
      </c>
    </row>
    <row r="431" spans="1:9">
      <c r="A431">
        <v>11435</v>
      </c>
      <c r="B431" t="s">
        <v>1025</v>
      </c>
    </row>
    <row r="432" spans="1:9">
      <c r="A432" s="828">
        <v>44200</v>
      </c>
      <c r="B432" t="s">
        <v>7007</v>
      </c>
      <c r="C432" s="767">
        <v>2936.87</v>
      </c>
      <c r="D432" s="767">
        <v>2936.87</v>
      </c>
      <c r="E432" s="767">
        <v>2936.87</v>
      </c>
      <c r="H432" s="767">
        <v>2936.87</v>
      </c>
    </row>
    <row r="434" spans="1:9">
      <c r="A434" t="s">
        <v>4216</v>
      </c>
      <c r="B434" s="767">
        <v>2936.87</v>
      </c>
      <c r="C434" s="767">
        <v>2936.87</v>
      </c>
      <c r="D434">
        <v>0</v>
      </c>
      <c r="E434">
        <v>0</v>
      </c>
      <c r="F434" s="767">
        <v>2936.87</v>
      </c>
      <c r="G434">
        <v>0</v>
      </c>
    </row>
    <row r="436" spans="1:9">
      <c r="A436">
        <v>11438</v>
      </c>
      <c r="B436" t="s">
        <v>3398</v>
      </c>
    </row>
    <row r="437" spans="1:9">
      <c r="A437" s="828">
        <v>44317</v>
      </c>
      <c r="B437" t="s">
        <v>6068</v>
      </c>
      <c r="C437" s="767">
        <v>10155.67</v>
      </c>
      <c r="D437" s="767">
        <v>10155.67</v>
      </c>
      <c r="E437" s="767">
        <v>10155.67</v>
      </c>
      <c r="I437" s="767">
        <v>10155.67</v>
      </c>
    </row>
    <row r="438" spans="1:9">
      <c r="A438" s="828">
        <v>44200</v>
      </c>
      <c r="B438" t="s">
        <v>7008</v>
      </c>
      <c r="C438" s="767">
        <v>4591.97</v>
      </c>
      <c r="D438" s="767">
        <v>4591.97</v>
      </c>
      <c r="E438" s="767">
        <v>14747.64</v>
      </c>
      <c r="H438" s="767">
        <v>4591.97</v>
      </c>
    </row>
    <row r="440" spans="1:9">
      <c r="A440" t="s">
        <v>4216</v>
      </c>
      <c r="B440" s="767">
        <v>14747.64</v>
      </c>
      <c r="C440" s="767">
        <v>14747.64</v>
      </c>
      <c r="D440">
        <v>0</v>
      </c>
      <c r="E440">
        <v>0</v>
      </c>
      <c r="F440" s="767">
        <v>4591.97</v>
      </c>
      <c r="G440" s="767">
        <v>10155.67</v>
      </c>
    </row>
    <row r="442" spans="1:9">
      <c r="A442">
        <v>11439</v>
      </c>
      <c r="B442" t="s">
        <v>1026</v>
      </c>
    </row>
    <row r="443" spans="1:9">
      <c r="A443" s="828">
        <v>43476</v>
      </c>
      <c r="B443" t="s">
        <v>4389</v>
      </c>
      <c r="C443" s="767">
        <v>3212.45</v>
      </c>
      <c r="D443" s="767">
        <v>3165.14</v>
      </c>
      <c r="E443" s="767">
        <v>3165.14</v>
      </c>
      <c r="I443" s="767">
        <v>3165.14</v>
      </c>
    </row>
    <row r="444" spans="1:9">
      <c r="A444" s="828">
        <v>43477</v>
      </c>
      <c r="B444" t="s">
        <v>4390</v>
      </c>
      <c r="C444" s="767">
        <v>4362.79</v>
      </c>
      <c r="D444" s="767">
        <v>4362.79</v>
      </c>
      <c r="E444" s="767">
        <v>7527.93</v>
      </c>
      <c r="I444" s="767">
        <v>4362.79</v>
      </c>
    </row>
    <row r="445" spans="1:9">
      <c r="A445" s="828">
        <v>43983</v>
      </c>
      <c r="B445" t="s">
        <v>4391</v>
      </c>
      <c r="C445" s="767">
        <v>3823.57</v>
      </c>
      <c r="D445" s="767">
        <v>3823.57</v>
      </c>
      <c r="E445" s="767">
        <v>11351.5</v>
      </c>
      <c r="I445" s="767">
        <v>3823.57</v>
      </c>
    </row>
    <row r="446" spans="1:9">
      <c r="A446" s="828">
        <v>43923</v>
      </c>
      <c r="B446" t="s">
        <v>4392</v>
      </c>
      <c r="C446" s="767">
        <v>4210.8999999999996</v>
      </c>
      <c r="D446" s="767">
        <v>4210.8999999999996</v>
      </c>
      <c r="E446" s="767">
        <v>15562.4</v>
      </c>
      <c r="I446" s="767">
        <v>4210.8999999999996</v>
      </c>
    </row>
    <row r="447" spans="1:9">
      <c r="A447" s="828">
        <v>43893</v>
      </c>
      <c r="B447" t="s">
        <v>4393</v>
      </c>
      <c r="C447" s="767">
        <v>3380.48</v>
      </c>
      <c r="D447" s="767">
        <v>3380.48</v>
      </c>
      <c r="E447" s="767">
        <v>18942.88</v>
      </c>
      <c r="I447" s="767">
        <v>3380.48</v>
      </c>
    </row>
    <row r="448" spans="1:9">
      <c r="A448" s="828">
        <v>43986</v>
      </c>
      <c r="B448" t="s">
        <v>4394</v>
      </c>
      <c r="C448" s="767">
        <v>3154.01</v>
      </c>
      <c r="D448" s="767">
        <v>3154.01</v>
      </c>
      <c r="E448" s="767">
        <v>22096.89</v>
      </c>
      <c r="I448" s="767">
        <v>3154.01</v>
      </c>
    </row>
    <row r="449" spans="1:9">
      <c r="A449" s="828">
        <v>44048</v>
      </c>
      <c r="B449" t="s">
        <v>4395</v>
      </c>
      <c r="C449" s="767">
        <v>1908.37</v>
      </c>
      <c r="D449" s="767">
        <v>1908.37</v>
      </c>
      <c r="E449" s="767">
        <v>24005.26</v>
      </c>
      <c r="I449" s="767">
        <v>1908.37</v>
      </c>
    </row>
    <row r="450" spans="1:9">
      <c r="A450" s="828">
        <v>43867</v>
      </c>
      <c r="B450" t="s">
        <v>4396</v>
      </c>
      <c r="C450" s="767">
        <v>4080.68</v>
      </c>
      <c r="D450" s="767">
        <v>4080.68</v>
      </c>
      <c r="E450" s="767">
        <v>28085.94</v>
      </c>
      <c r="I450" s="767">
        <v>4080.68</v>
      </c>
    </row>
    <row r="451" spans="1:9">
      <c r="A451" s="828">
        <v>43930</v>
      </c>
      <c r="B451" t="s">
        <v>5391</v>
      </c>
      <c r="C451" s="767">
        <v>2864.86</v>
      </c>
      <c r="D451" s="767">
        <v>2864.86</v>
      </c>
      <c r="E451" s="767">
        <v>30950.799999999999</v>
      </c>
      <c r="I451" s="767">
        <v>2864.86</v>
      </c>
    </row>
    <row r="452" spans="1:9">
      <c r="A452" s="828">
        <v>44409</v>
      </c>
      <c r="B452" t="s">
        <v>6069</v>
      </c>
      <c r="C452" s="767">
        <v>1530.91</v>
      </c>
      <c r="D452" s="767">
        <v>1530.91</v>
      </c>
      <c r="E452" s="767">
        <v>32481.71</v>
      </c>
      <c r="I452" s="767">
        <v>1530.91</v>
      </c>
    </row>
    <row r="453" spans="1:9">
      <c r="A453" s="828">
        <v>44288</v>
      </c>
      <c r="B453" t="s">
        <v>6333</v>
      </c>
      <c r="C453" s="767">
        <v>1594.26</v>
      </c>
      <c r="D453" s="767">
        <v>1594.26</v>
      </c>
      <c r="E453" s="767">
        <v>34075.97</v>
      </c>
      <c r="I453" s="767">
        <v>1594.26</v>
      </c>
    </row>
    <row r="454" spans="1:9">
      <c r="A454" s="828">
        <v>44442</v>
      </c>
      <c r="B454" t="s">
        <v>6550</v>
      </c>
      <c r="C454" s="767">
        <v>1594.26</v>
      </c>
      <c r="D454" s="767">
        <v>1594.26</v>
      </c>
      <c r="E454" s="767">
        <v>35670.230000000003</v>
      </c>
      <c r="H454" s="767">
        <v>1594.26</v>
      </c>
    </row>
    <row r="455" spans="1:9">
      <c r="A455" s="828">
        <v>44200</v>
      </c>
      <c r="B455" t="s">
        <v>7009</v>
      </c>
      <c r="C455" s="767">
        <v>1594.26</v>
      </c>
      <c r="D455" s="767">
        <v>1594.26</v>
      </c>
      <c r="E455" s="767">
        <v>37264.49</v>
      </c>
      <c r="H455" s="767">
        <v>1594.26</v>
      </c>
    </row>
    <row r="457" spans="1:9">
      <c r="A457" t="s">
        <v>4216</v>
      </c>
      <c r="B457" s="767">
        <v>37311.800000000003</v>
      </c>
      <c r="C457" s="767">
        <v>37264.49</v>
      </c>
      <c r="D457">
        <v>0</v>
      </c>
      <c r="E457">
        <v>0</v>
      </c>
      <c r="F457" s="767">
        <v>3188.52</v>
      </c>
      <c r="G457" s="767">
        <v>34075.97</v>
      </c>
    </row>
    <row r="459" spans="1:9">
      <c r="A459">
        <v>11441</v>
      </c>
      <c r="B459" t="s">
        <v>4397</v>
      </c>
    </row>
    <row r="460" spans="1:9">
      <c r="A460" s="828">
        <v>44229</v>
      </c>
      <c r="B460" t="s">
        <v>6334</v>
      </c>
      <c r="C460" s="767">
        <v>28502.14</v>
      </c>
      <c r="D460" s="767">
        <v>28502.14</v>
      </c>
      <c r="E460" s="767">
        <v>28502.14</v>
      </c>
      <c r="I460" s="767">
        <v>28502.14</v>
      </c>
    </row>
    <row r="461" spans="1:9">
      <c r="A461" s="828">
        <v>44200</v>
      </c>
      <c r="B461" t="s">
        <v>7010</v>
      </c>
      <c r="C461">
        <v>372</v>
      </c>
      <c r="D461">
        <v>372</v>
      </c>
      <c r="E461" s="767">
        <v>28874.14</v>
      </c>
      <c r="H461">
        <v>372</v>
      </c>
    </row>
    <row r="462" spans="1:9">
      <c r="A462" t="s">
        <v>6977</v>
      </c>
      <c r="B462" t="s">
        <v>7011</v>
      </c>
      <c r="C462" s="767">
        <v>46011.47</v>
      </c>
      <c r="D462" s="767">
        <v>46011.47</v>
      </c>
      <c r="E462" s="767">
        <v>74885.61</v>
      </c>
      <c r="G462" s="767">
        <v>46011.47</v>
      </c>
    </row>
    <row r="464" spans="1:9">
      <c r="A464" t="s">
        <v>4216</v>
      </c>
      <c r="B464" s="767">
        <v>74885.61</v>
      </c>
      <c r="C464" s="767">
        <v>74885.61</v>
      </c>
      <c r="D464">
        <v>0</v>
      </c>
      <c r="E464" s="767">
        <v>46011.47</v>
      </c>
      <c r="F464">
        <v>372</v>
      </c>
      <c r="G464" s="767">
        <v>28502.14</v>
      </c>
    </row>
    <row r="466" spans="1:9">
      <c r="A466">
        <v>11442</v>
      </c>
      <c r="B466" t="s">
        <v>4398</v>
      </c>
    </row>
    <row r="467" spans="1:9">
      <c r="A467" t="s">
        <v>7012</v>
      </c>
      <c r="B467" t="s">
        <v>7013</v>
      </c>
      <c r="C467" s="767">
        <v>29367.62</v>
      </c>
      <c r="D467" s="767">
        <v>29367.62</v>
      </c>
      <c r="E467" s="767">
        <v>29367.62</v>
      </c>
      <c r="G467" s="767">
        <v>29367.62</v>
      </c>
    </row>
    <row r="468" spans="1:9">
      <c r="A468" t="s">
        <v>7012</v>
      </c>
      <c r="B468" t="s">
        <v>7014</v>
      </c>
      <c r="C468">
        <v>721.39</v>
      </c>
      <c r="D468">
        <v>721.39</v>
      </c>
      <c r="E468" s="767">
        <v>30089.01</v>
      </c>
      <c r="G468">
        <v>721.39</v>
      </c>
    </row>
    <row r="470" spans="1:9">
      <c r="A470" t="s">
        <v>4216</v>
      </c>
      <c r="B470" s="767">
        <v>30089.01</v>
      </c>
      <c r="C470" s="767">
        <v>30089.01</v>
      </c>
      <c r="D470">
        <v>0</v>
      </c>
      <c r="E470" s="767">
        <v>30089.01</v>
      </c>
      <c r="F470">
        <v>0</v>
      </c>
      <c r="G470">
        <v>0</v>
      </c>
    </row>
    <row r="472" spans="1:9">
      <c r="A472">
        <v>11444</v>
      </c>
      <c r="B472" t="s">
        <v>3399</v>
      </c>
    </row>
    <row r="473" spans="1:9">
      <c r="A473" t="s">
        <v>4399</v>
      </c>
      <c r="B473" t="s">
        <v>4400</v>
      </c>
      <c r="C473" s="767">
        <v>97821.09</v>
      </c>
      <c r="D473" s="767">
        <v>97821.09</v>
      </c>
      <c r="E473" s="767">
        <v>97821.09</v>
      </c>
      <c r="I473" s="767">
        <v>97821.09</v>
      </c>
    </row>
    <row r="474" spans="1:9">
      <c r="A474" s="828">
        <v>43200</v>
      </c>
      <c r="B474" t="s">
        <v>4401</v>
      </c>
      <c r="C474" s="767">
        <v>6783.26</v>
      </c>
      <c r="D474" s="767">
        <v>6783.26</v>
      </c>
      <c r="E474" s="767">
        <v>104604.35</v>
      </c>
      <c r="I474" s="767">
        <v>6783.26</v>
      </c>
    </row>
    <row r="475" spans="1:9">
      <c r="A475" t="s">
        <v>4403</v>
      </c>
      <c r="B475" t="s">
        <v>4404</v>
      </c>
      <c r="C475" s="767">
        <v>50795.71</v>
      </c>
      <c r="D475" s="767">
        <v>50795.71</v>
      </c>
      <c r="E475" s="767">
        <v>155400.06</v>
      </c>
      <c r="I475" s="767">
        <v>50795.71</v>
      </c>
    </row>
    <row r="476" spans="1:9">
      <c r="A476" t="s">
        <v>4403</v>
      </c>
      <c r="B476" t="s">
        <v>4405</v>
      </c>
      <c r="C476" s="767">
        <v>5278.99</v>
      </c>
      <c r="D476" s="767">
        <v>5278.99</v>
      </c>
      <c r="E476" s="767">
        <v>160679.04999999999</v>
      </c>
      <c r="I476" s="767">
        <v>5278.99</v>
      </c>
    </row>
    <row r="477" spans="1:9">
      <c r="A477" s="828">
        <v>44168</v>
      </c>
      <c r="B477" t="s">
        <v>4406</v>
      </c>
      <c r="C477" s="767">
        <v>72915.100000000006</v>
      </c>
      <c r="D477" s="767">
        <v>72915.100000000006</v>
      </c>
      <c r="E477" s="767">
        <v>233594.15</v>
      </c>
      <c r="I477" s="767">
        <v>72915.100000000006</v>
      </c>
    </row>
    <row r="478" spans="1:9">
      <c r="A478" s="828">
        <v>44016</v>
      </c>
      <c r="B478" t="s">
        <v>4407</v>
      </c>
      <c r="C478" s="767">
        <v>69933.13</v>
      </c>
      <c r="D478" s="767">
        <v>69933.13</v>
      </c>
      <c r="E478" s="767">
        <v>303527.28000000003</v>
      </c>
      <c r="I478" s="767">
        <v>69933.13</v>
      </c>
    </row>
    <row r="479" spans="1:9">
      <c r="A479" s="828">
        <v>44047</v>
      </c>
      <c r="B479" t="s">
        <v>4408</v>
      </c>
      <c r="C479" s="767">
        <v>5278.99</v>
      </c>
      <c r="D479" s="767">
        <v>5278.99</v>
      </c>
      <c r="E479" s="767">
        <v>308806.27</v>
      </c>
      <c r="I479" s="767">
        <v>5278.99</v>
      </c>
    </row>
    <row r="480" spans="1:9">
      <c r="A480" t="s">
        <v>4409</v>
      </c>
      <c r="B480" t="s">
        <v>4410</v>
      </c>
      <c r="C480" s="767">
        <v>69140.460000000006</v>
      </c>
      <c r="D480" s="767">
        <v>69140.460000000006</v>
      </c>
      <c r="E480" s="767">
        <v>377946.73</v>
      </c>
      <c r="I480" s="767">
        <v>69140.460000000006</v>
      </c>
    </row>
    <row r="481" spans="1:9">
      <c r="A481" t="s">
        <v>4409</v>
      </c>
      <c r="B481" t="s">
        <v>4411</v>
      </c>
      <c r="C481" s="767">
        <v>5278.99</v>
      </c>
      <c r="D481" s="767">
        <v>5278.99</v>
      </c>
      <c r="E481" s="767">
        <v>383225.72</v>
      </c>
      <c r="I481" s="767">
        <v>5278.99</v>
      </c>
    </row>
    <row r="482" spans="1:9">
      <c r="A482" s="828">
        <v>44110</v>
      </c>
      <c r="B482" t="s">
        <v>4412</v>
      </c>
      <c r="C482" s="767">
        <v>5278.99</v>
      </c>
      <c r="D482" s="767">
        <v>5278.99</v>
      </c>
      <c r="E482" s="767">
        <v>388504.71</v>
      </c>
      <c r="I482" s="767">
        <v>5278.99</v>
      </c>
    </row>
    <row r="483" spans="1:9">
      <c r="A483" s="828">
        <v>44110</v>
      </c>
      <c r="B483" t="s">
        <v>4413</v>
      </c>
      <c r="C483" s="767">
        <v>43208.68</v>
      </c>
      <c r="D483" s="767">
        <v>43208.68</v>
      </c>
      <c r="E483" s="767">
        <v>431713.39</v>
      </c>
      <c r="I483" s="767">
        <v>43208.68</v>
      </c>
    </row>
    <row r="484" spans="1:9">
      <c r="A484" t="s">
        <v>4353</v>
      </c>
      <c r="B484" t="s">
        <v>4415</v>
      </c>
      <c r="C484" s="767">
        <v>52343.31</v>
      </c>
      <c r="D484" s="767">
        <v>52343.31</v>
      </c>
      <c r="E484" s="767">
        <v>484056.7</v>
      </c>
      <c r="I484" s="767">
        <v>52343.31</v>
      </c>
    </row>
    <row r="485" spans="1:9">
      <c r="A485" t="s">
        <v>4353</v>
      </c>
      <c r="B485" t="s">
        <v>4416</v>
      </c>
      <c r="C485" s="767">
        <v>5278.99</v>
      </c>
      <c r="D485" s="767">
        <v>5278.99</v>
      </c>
      <c r="E485" s="767">
        <v>489335.69</v>
      </c>
      <c r="I485" s="767">
        <v>5278.99</v>
      </c>
    </row>
    <row r="486" spans="1:9">
      <c r="A486" t="s">
        <v>4418</v>
      </c>
      <c r="B486" t="s">
        <v>4419</v>
      </c>
      <c r="C486" s="767">
        <v>93033.93</v>
      </c>
      <c r="D486" s="767">
        <v>93033.93</v>
      </c>
      <c r="E486" s="767">
        <v>582369.62</v>
      </c>
      <c r="I486" s="767">
        <v>93033.93</v>
      </c>
    </row>
    <row r="487" spans="1:9">
      <c r="A487" t="s">
        <v>4420</v>
      </c>
      <c r="B487" t="s">
        <v>4421</v>
      </c>
      <c r="C487" s="767">
        <v>5278.99</v>
      </c>
      <c r="D487" s="767">
        <v>5278.99</v>
      </c>
      <c r="E487" s="767">
        <v>587648.61</v>
      </c>
      <c r="I487" s="767">
        <v>5278.99</v>
      </c>
    </row>
    <row r="488" spans="1:9">
      <c r="A488" t="s">
        <v>5392</v>
      </c>
      <c r="B488" t="s">
        <v>5393</v>
      </c>
      <c r="C488" s="767">
        <v>74387.210000000006</v>
      </c>
      <c r="D488" s="767">
        <v>74387.210000000006</v>
      </c>
      <c r="E488" s="767">
        <v>662035.81999999995</v>
      </c>
      <c r="I488" s="767">
        <v>74387.210000000006</v>
      </c>
    </row>
    <row r="489" spans="1:9">
      <c r="A489" t="s">
        <v>5392</v>
      </c>
      <c r="B489" t="s">
        <v>5394</v>
      </c>
      <c r="C489" s="767">
        <v>5278.99</v>
      </c>
      <c r="D489" s="767">
        <v>5278.99</v>
      </c>
      <c r="E489" s="767">
        <v>667314.81000000006</v>
      </c>
      <c r="I489" s="767">
        <v>5278.99</v>
      </c>
    </row>
    <row r="490" spans="1:9">
      <c r="A490" t="s">
        <v>5453</v>
      </c>
      <c r="B490" t="s">
        <v>5454</v>
      </c>
      <c r="C490" s="767">
        <v>5278.99</v>
      </c>
      <c r="D490" s="767">
        <v>5278.99</v>
      </c>
      <c r="E490" s="767">
        <v>672593.8</v>
      </c>
      <c r="I490" s="767">
        <v>5278.99</v>
      </c>
    </row>
    <row r="491" spans="1:9">
      <c r="A491" t="s">
        <v>5453</v>
      </c>
      <c r="B491" t="s">
        <v>5455</v>
      </c>
      <c r="C491" s="767">
        <v>64628.63</v>
      </c>
      <c r="D491" s="767">
        <v>64628.63</v>
      </c>
      <c r="E491" s="767">
        <v>737222.43</v>
      </c>
      <c r="I491" s="767">
        <v>64628.63</v>
      </c>
    </row>
    <row r="492" spans="1:9">
      <c r="A492" t="s">
        <v>5451</v>
      </c>
      <c r="B492" t="s">
        <v>5456</v>
      </c>
      <c r="C492">
        <v>708.5</v>
      </c>
      <c r="D492">
        <v>708.5</v>
      </c>
      <c r="E492" s="767">
        <v>737930.93</v>
      </c>
      <c r="I492">
        <v>708.5</v>
      </c>
    </row>
    <row r="493" spans="1:9">
      <c r="A493" t="s">
        <v>5519</v>
      </c>
      <c r="B493" t="s">
        <v>5525</v>
      </c>
      <c r="C493" s="767">
        <v>74422.31</v>
      </c>
      <c r="D493" s="767">
        <v>74422.31</v>
      </c>
      <c r="E493" s="767">
        <v>812353.24</v>
      </c>
      <c r="I493" s="767">
        <v>74422.31</v>
      </c>
    </row>
    <row r="494" spans="1:9">
      <c r="A494" t="s">
        <v>5519</v>
      </c>
      <c r="B494" t="s">
        <v>5526</v>
      </c>
      <c r="C494" s="767">
        <v>5278.99</v>
      </c>
      <c r="D494" s="767">
        <v>5278.99</v>
      </c>
      <c r="E494" s="767">
        <v>817632.23</v>
      </c>
      <c r="I494" s="767">
        <v>5278.99</v>
      </c>
    </row>
    <row r="495" spans="1:9">
      <c r="A495" t="s">
        <v>5519</v>
      </c>
      <c r="B495" t="s">
        <v>5527</v>
      </c>
      <c r="C495" s="767">
        <v>2818.52</v>
      </c>
      <c r="D495" s="767">
        <v>2818.52</v>
      </c>
      <c r="E495" s="767">
        <v>820450.75</v>
      </c>
      <c r="I495" s="767">
        <v>2818.52</v>
      </c>
    </row>
    <row r="496" spans="1:9">
      <c r="A496" t="s">
        <v>5522</v>
      </c>
      <c r="B496" t="s">
        <v>5528</v>
      </c>
      <c r="C496" s="767">
        <v>19752.689999999999</v>
      </c>
      <c r="D496" s="767">
        <v>19752.689999999999</v>
      </c>
      <c r="E496" s="767">
        <v>840203.44</v>
      </c>
      <c r="I496" s="767">
        <v>19752.689999999999</v>
      </c>
    </row>
    <row r="497" spans="1:9">
      <c r="A497" t="s">
        <v>5522</v>
      </c>
      <c r="B497" t="s">
        <v>5529</v>
      </c>
      <c r="C497" s="767">
        <v>15634.93</v>
      </c>
      <c r="D497" s="767">
        <v>15634.93</v>
      </c>
      <c r="E497" s="767">
        <v>855838.37</v>
      </c>
      <c r="I497" s="767">
        <v>15634.93</v>
      </c>
    </row>
    <row r="498" spans="1:9">
      <c r="A498" s="828">
        <v>44531</v>
      </c>
      <c r="B498" t="s">
        <v>6070</v>
      </c>
      <c r="C498" s="767">
        <v>74028.23</v>
      </c>
      <c r="D498" s="767">
        <v>74028.23</v>
      </c>
      <c r="E498" s="767">
        <v>929866.6</v>
      </c>
      <c r="I498" s="767">
        <v>74028.23</v>
      </c>
    </row>
    <row r="499" spans="1:9">
      <c r="A499" s="828">
        <v>44531</v>
      </c>
      <c r="B499" t="s">
        <v>6071</v>
      </c>
      <c r="C499" s="767">
        <v>5278.99</v>
      </c>
      <c r="D499" s="767">
        <v>5278.99</v>
      </c>
      <c r="E499" s="767">
        <v>935145.59</v>
      </c>
      <c r="I499" s="767">
        <v>5278.99</v>
      </c>
    </row>
    <row r="500" spans="1:9">
      <c r="A500" s="828">
        <v>44531</v>
      </c>
      <c r="B500" t="s">
        <v>6072</v>
      </c>
      <c r="C500" s="767">
        <v>19847.810000000001</v>
      </c>
      <c r="D500" s="767">
        <v>19847.810000000001</v>
      </c>
      <c r="E500" s="767">
        <v>954993.4</v>
      </c>
      <c r="I500" s="767">
        <v>19847.810000000001</v>
      </c>
    </row>
    <row r="501" spans="1:9">
      <c r="A501" s="828">
        <v>44531</v>
      </c>
      <c r="B501" t="s">
        <v>6073</v>
      </c>
      <c r="C501" s="767">
        <v>11073.01</v>
      </c>
      <c r="D501" s="767">
        <v>11073.01</v>
      </c>
      <c r="E501" s="767">
        <v>966066.41</v>
      </c>
      <c r="I501" s="767">
        <v>11073.01</v>
      </c>
    </row>
    <row r="502" spans="1:9">
      <c r="A502" s="828">
        <v>44531</v>
      </c>
      <c r="B502" t="s">
        <v>6074</v>
      </c>
      <c r="C502" s="767">
        <v>16158.48</v>
      </c>
      <c r="D502" s="767">
        <v>16158.48</v>
      </c>
      <c r="E502" s="767">
        <v>982224.89</v>
      </c>
      <c r="I502" s="767">
        <v>16158.48</v>
      </c>
    </row>
    <row r="503" spans="1:9">
      <c r="A503" s="828">
        <v>44441</v>
      </c>
      <c r="B503" t="s">
        <v>6335</v>
      </c>
      <c r="C503" s="767">
        <v>52283.49</v>
      </c>
      <c r="D503" s="767">
        <v>52283.49</v>
      </c>
      <c r="E503" s="767">
        <v>1034508.38</v>
      </c>
      <c r="I503" s="767">
        <v>52283.49</v>
      </c>
    </row>
    <row r="504" spans="1:9">
      <c r="A504" s="828">
        <v>44441</v>
      </c>
      <c r="B504" t="s">
        <v>6336</v>
      </c>
      <c r="C504" s="767">
        <v>5497.48</v>
      </c>
      <c r="D504" s="767">
        <v>5497.48</v>
      </c>
      <c r="E504" s="767">
        <v>1040005.86</v>
      </c>
      <c r="I504" s="767">
        <v>5497.48</v>
      </c>
    </row>
    <row r="505" spans="1:9">
      <c r="A505" s="828">
        <v>44441</v>
      </c>
      <c r="B505" t="s">
        <v>6337</v>
      </c>
      <c r="C505" s="767">
        <v>22061.27</v>
      </c>
      <c r="D505" s="767">
        <v>22061.27</v>
      </c>
      <c r="E505" s="767">
        <v>1062067.1299999999</v>
      </c>
      <c r="I505" s="767">
        <v>22061.27</v>
      </c>
    </row>
    <row r="506" spans="1:9">
      <c r="A506" s="828">
        <v>44441</v>
      </c>
      <c r="B506" t="s">
        <v>6338</v>
      </c>
      <c r="C506" s="767">
        <v>12240.46</v>
      </c>
      <c r="D506" s="767">
        <v>12240.46</v>
      </c>
      <c r="E506" s="767">
        <v>1074307.5900000001</v>
      </c>
      <c r="I506" s="767">
        <v>12240.46</v>
      </c>
    </row>
    <row r="507" spans="1:9">
      <c r="A507" s="828">
        <v>44441</v>
      </c>
      <c r="B507" t="s">
        <v>6339</v>
      </c>
      <c r="C507" s="767">
        <v>31377.599999999999</v>
      </c>
      <c r="D507" s="767">
        <v>31377.599999999999</v>
      </c>
      <c r="E507" s="767">
        <v>1105685.19</v>
      </c>
      <c r="I507" s="767">
        <v>31377.599999999999</v>
      </c>
    </row>
    <row r="508" spans="1:9">
      <c r="A508" s="828">
        <v>44442</v>
      </c>
      <c r="B508" t="s">
        <v>6551</v>
      </c>
      <c r="C508" s="767">
        <v>64995.93</v>
      </c>
      <c r="D508" s="767">
        <v>64995.93</v>
      </c>
      <c r="E508" s="767">
        <v>1170681.1200000001</v>
      </c>
      <c r="H508" s="767">
        <v>64995.93</v>
      </c>
    </row>
    <row r="509" spans="1:9">
      <c r="A509" s="828">
        <v>44442</v>
      </c>
      <c r="B509" t="s">
        <v>6552</v>
      </c>
      <c r="C509" s="767">
        <v>5497.48</v>
      </c>
      <c r="D509" s="767">
        <v>5497.48</v>
      </c>
      <c r="E509" s="767">
        <v>1176178.6000000001</v>
      </c>
      <c r="H509" s="767">
        <v>5497.48</v>
      </c>
    </row>
    <row r="510" spans="1:9">
      <c r="A510" s="828">
        <v>44442</v>
      </c>
      <c r="B510" t="s">
        <v>6553</v>
      </c>
      <c r="C510" s="767">
        <v>13450.18</v>
      </c>
      <c r="D510" s="767">
        <v>13450.18</v>
      </c>
      <c r="E510" s="767">
        <v>1189628.78</v>
      </c>
      <c r="H510" s="767">
        <v>13450.18</v>
      </c>
    </row>
    <row r="511" spans="1:9">
      <c r="A511" s="828">
        <v>44442</v>
      </c>
      <c r="B511" t="s">
        <v>6554</v>
      </c>
      <c r="C511" s="767">
        <v>44522.48</v>
      </c>
      <c r="D511" s="767">
        <v>44522.48</v>
      </c>
      <c r="E511" s="767">
        <v>1234151.26</v>
      </c>
      <c r="H511" s="767">
        <v>44522.48</v>
      </c>
    </row>
    <row r="512" spans="1:9">
      <c r="A512" s="828">
        <v>44442</v>
      </c>
      <c r="B512" t="s">
        <v>6555</v>
      </c>
      <c r="C512" s="767">
        <v>21451.65</v>
      </c>
      <c r="D512" s="767">
        <v>21451.65</v>
      </c>
      <c r="E512" s="767">
        <v>1255602.9099999999</v>
      </c>
      <c r="H512" s="767">
        <v>21451.65</v>
      </c>
    </row>
    <row r="513" spans="1:9">
      <c r="A513" s="828">
        <v>44534</v>
      </c>
      <c r="B513" t="s">
        <v>7015</v>
      </c>
      <c r="C513" s="767">
        <v>75914.559999999998</v>
      </c>
      <c r="D513" s="767">
        <v>75914.559999999998</v>
      </c>
      <c r="E513" s="767">
        <v>1331517.47</v>
      </c>
      <c r="G513" s="767">
        <v>75914.559999999998</v>
      </c>
    </row>
    <row r="514" spans="1:9">
      <c r="A514" t="s">
        <v>7012</v>
      </c>
      <c r="B514" t="s">
        <v>7016</v>
      </c>
      <c r="C514" s="767">
        <v>24353.41</v>
      </c>
      <c r="D514" s="767">
        <v>24353.41</v>
      </c>
      <c r="E514" s="767">
        <v>1355870.88</v>
      </c>
      <c r="G514" s="767">
        <v>24353.41</v>
      </c>
    </row>
    <row r="515" spans="1:9">
      <c r="A515" t="s">
        <v>7012</v>
      </c>
      <c r="B515" t="s">
        <v>7017</v>
      </c>
      <c r="C515" s="767">
        <v>5837.59</v>
      </c>
      <c r="D515" s="767">
        <v>5837.59</v>
      </c>
      <c r="E515" s="767">
        <v>1361708.47</v>
      </c>
      <c r="G515" s="767">
        <v>5837.59</v>
      </c>
    </row>
    <row r="516" spans="1:9">
      <c r="A516" t="s">
        <v>7012</v>
      </c>
      <c r="B516" t="s">
        <v>7018</v>
      </c>
      <c r="C516" s="767">
        <v>4507.5</v>
      </c>
      <c r="D516" s="767">
        <v>4507.5</v>
      </c>
      <c r="E516" s="767">
        <v>1366215.97</v>
      </c>
      <c r="G516" s="767">
        <v>4507.5</v>
      </c>
    </row>
    <row r="517" spans="1:9">
      <c r="A517" t="s">
        <v>7012</v>
      </c>
      <c r="B517" t="s">
        <v>7019</v>
      </c>
      <c r="C517" s="767">
        <v>58838.22</v>
      </c>
      <c r="D517" s="767">
        <v>58838.22</v>
      </c>
      <c r="E517" s="767">
        <v>1425054.19</v>
      </c>
      <c r="G517" s="767">
        <v>58838.22</v>
      </c>
    </row>
    <row r="518" spans="1:9">
      <c r="A518" t="s">
        <v>7012</v>
      </c>
      <c r="B518" t="s">
        <v>7020</v>
      </c>
      <c r="C518" s="767">
        <v>4507.5</v>
      </c>
      <c r="D518" s="767">
        <v>4507.5</v>
      </c>
      <c r="E518" s="767">
        <v>1429561.69</v>
      </c>
      <c r="G518" s="767">
        <v>4507.5</v>
      </c>
    </row>
    <row r="519" spans="1:9">
      <c r="A519" t="s">
        <v>7012</v>
      </c>
      <c r="B519" t="s">
        <v>7021</v>
      </c>
      <c r="C519" s="767">
        <v>4507.5</v>
      </c>
      <c r="D519" s="767">
        <v>4507.5</v>
      </c>
      <c r="E519" s="767">
        <v>1434069.19</v>
      </c>
      <c r="G519" s="767">
        <v>4507.5</v>
      </c>
    </row>
    <row r="520" spans="1:9">
      <c r="A520" t="s">
        <v>7012</v>
      </c>
      <c r="B520" t="s">
        <v>7022</v>
      </c>
      <c r="C520" s="767">
        <v>4507.5</v>
      </c>
      <c r="D520" s="767">
        <v>4507.5</v>
      </c>
      <c r="E520" s="767">
        <v>1438576.69</v>
      </c>
      <c r="G520" s="767">
        <v>4507.5</v>
      </c>
    </row>
    <row r="521" spans="1:9">
      <c r="A521" t="s">
        <v>7012</v>
      </c>
      <c r="B521" t="s">
        <v>7023</v>
      </c>
      <c r="C521" s="767">
        <v>78250.350000000006</v>
      </c>
      <c r="D521" s="767">
        <v>78250.350000000006</v>
      </c>
      <c r="E521" s="767">
        <v>1516827.04</v>
      </c>
      <c r="G521" s="767">
        <v>78250.350000000006</v>
      </c>
    </row>
    <row r="522" spans="1:9">
      <c r="A522" t="s">
        <v>7024</v>
      </c>
      <c r="B522" t="s">
        <v>7025</v>
      </c>
      <c r="C522" s="767">
        <v>1247.51</v>
      </c>
      <c r="D522" s="767">
        <v>1247.51</v>
      </c>
      <c r="E522" s="767">
        <v>1518074.55</v>
      </c>
      <c r="G522" s="767">
        <v>1247.51</v>
      </c>
    </row>
    <row r="524" spans="1:9">
      <c r="A524" t="s">
        <v>4216</v>
      </c>
      <c r="B524" s="767">
        <v>1518074.55</v>
      </c>
      <c r="C524" s="767">
        <v>1518074.55</v>
      </c>
      <c r="D524">
        <v>0</v>
      </c>
      <c r="E524" s="767">
        <v>262471.64</v>
      </c>
      <c r="F524" s="767">
        <v>149917.72</v>
      </c>
      <c r="G524" s="767">
        <v>1105685.19</v>
      </c>
    </row>
    <row r="526" spans="1:9">
      <c r="A526">
        <v>11448</v>
      </c>
      <c r="B526" t="s">
        <v>3400</v>
      </c>
    </row>
    <row r="527" spans="1:9">
      <c r="A527" s="828">
        <v>43232</v>
      </c>
      <c r="B527" t="s">
        <v>4422</v>
      </c>
      <c r="C527" s="767">
        <v>3836.76</v>
      </c>
      <c r="D527" s="767">
        <v>3836.76</v>
      </c>
      <c r="E527" s="767">
        <v>3836.76</v>
      </c>
      <c r="I527" s="767">
        <v>3836.76</v>
      </c>
    </row>
    <row r="529" spans="1:9">
      <c r="A529" t="s">
        <v>4216</v>
      </c>
      <c r="B529" s="767">
        <v>3836.76</v>
      </c>
      <c r="C529" s="767">
        <v>3836.76</v>
      </c>
      <c r="D529">
        <v>0</v>
      </c>
      <c r="E529">
        <v>0</v>
      </c>
      <c r="F529">
        <v>0</v>
      </c>
      <c r="G529" s="767">
        <v>3836.76</v>
      </c>
    </row>
    <row r="531" spans="1:9">
      <c r="A531">
        <v>11451</v>
      </c>
      <c r="B531" t="s">
        <v>5530</v>
      </c>
    </row>
    <row r="532" spans="1:9">
      <c r="A532" s="828">
        <v>44200</v>
      </c>
      <c r="B532" t="s">
        <v>7026</v>
      </c>
      <c r="C532" s="767">
        <v>133306.47</v>
      </c>
      <c r="D532" s="767">
        <v>133306.47</v>
      </c>
      <c r="E532" s="767">
        <v>133306.47</v>
      </c>
      <c r="H532" s="767">
        <v>133306.47</v>
      </c>
    </row>
    <row r="534" spans="1:9">
      <c r="A534" t="s">
        <v>4216</v>
      </c>
      <c r="B534" s="767">
        <v>133306.47</v>
      </c>
      <c r="C534" s="767">
        <v>133306.47</v>
      </c>
      <c r="D534">
        <v>0</v>
      </c>
      <c r="E534">
        <v>0</v>
      </c>
      <c r="F534" s="767">
        <v>133306.47</v>
      </c>
      <c r="G534">
        <v>0</v>
      </c>
    </row>
    <row r="536" spans="1:9">
      <c r="A536">
        <v>11471</v>
      </c>
      <c r="B536" t="s">
        <v>6075</v>
      </c>
    </row>
    <row r="537" spans="1:9">
      <c r="A537" t="s">
        <v>6977</v>
      </c>
      <c r="B537" t="s">
        <v>7027</v>
      </c>
      <c r="C537" s="767">
        <v>86202.4</v>
      </c>
      <c r="D537" s="767">
        <v>86202.4</v>
      </c>
      <c r="E537" s="767">
        <v>86202.4</v>
      </c>
      <c r="G537" s="767">
        <v>86202.4</v>
      </c>
    </row>
    <row r="538" spans="1:9">
      <c r="A538" t="s">
        <v>6977</v>
      </c>
      <c r="B538" t="s">
        <v>7028</v>
      </c>
      <c r="C538" s="767">
        <v>2336.42</v>
      </c>
      <c r="D538" s="767">
        <v>2336.42</v>
      </c>
      <c r="E538" s="767">
        <v>88538.82</v>
      </c>
      <c r="G538" s="767">
        <v>2336.42</v>
      </c>
    </row>
    <row r="540" spans="1:9">
      <c r="A540" t="s">
        <v>4216</v>
      </c>
      <c r="B540" s="767">
        <v>88538.82</v>
      </c>
      <c r="C540" s="767">
        <v>88538.82</v>
      </c>
      <c r="D540">
        <v>0</v>
      </c>
      <c r="E540" s="767">
        <v>88538.82</v>
      </c>
      <c r="F540">
        <v>0</v>
      </c>
      <c r="G540">
        <v>0</v>
      </c>
    </row>
    <row r="542" spans="1:9">
      <c r="A542">
        <v>11472</v>
      </c>
      <c r="B542" t="s">
        <v>3401</v>
      </c>
    </row>
    <row r="543" spans="1:9">
      <c r="A543" s="828">
        <v>43232</v>
      </c>
      <c r="B543" t="s">
        <v>4425</v>
      </c>
      <c r="C543" s="767">
        <v>10789.44</v>
      </c>
      <c r="D543" s="767">
        <v>10789.44</v>
      </c>
      <c r="E543" s="767">
        <v>10789.44</v>
      </c>
      <c r="I543" s="767">
        <v>10789.44</v>
      </c>
    </row>
    <row r="544" spans="1:9">
      <c r="A544" s="828">
        <v>43232</v>
      </c>
      <c r="B544" t="s">
        <v>4426</v>
      </c>
      <c r="C544" s="767">
        <v>11615.22</v>
      </c>
      <c r="D544" s="767">
        <v>11615.22</v>
      </c>
      <c r="E544" s="767">
        <v>22404.66</v>
      </c>
      <c r="I544" s="767">
        <v>11615.22</v>
      </c>
    </row>
    <row r="545" spans="1:9">
      <c r="A545" s="828">
        <v>43232</v>
      </c>
      <c r="B545" t="s">
        <v>4427</v>
      </c>
      <c r="C545" s="767">
        <v>8947.31</v>
      </c>
      <c r="D545" s="767">
        <v>8947.31</v>
      </c>
      <c r="E545" s="767">
        <v>31351.97</v>
      </c>
      <c r="I545" s="767">
        <v>8947.31</v>
      </c>
    </row>
    <row r="546" spans="1:9">
      <c r="A546" s="828">
        <v>43232</v>
      </c>
      <c r="B546" t="s">
        <v>4428</v>
      </c>
      <c r="C546" s="767">
        <v>10598.87</v>
      </c>
      <c r="D546" s="767">
        <v>10598.87</v>
      </c>
      <c r="E546" s="767">
        <v>41950.84</v>
      </c>
      <c r="I546" s="767">
        <v>10598.87</v>
      </c>
    </row>
    <row r="547" spans="1:9">
      <c r="A547" s="828">
        <v>43232</v>
      </c>
      <c r="B547" t="s">
        <v>4429</v>
      </c>
      <c r="C547" s="767">
        <v>10313.030000000001</v>
      </c>
      <c r="D547" s="767">
        <v>10313.030000000001</v>
      </c>
      <c r="E547" s="767">
        <v>52263.87</v>
      </c>
      <c r="I547" s="767">
        <v>10313.030000000001</v>
      </c>
    </row>
    <row r="548" spans="1:9">
      <c r="A548" s="828">
        <v>43232</v>
      </c>
      <c r="B548" t="s">
        <v>4430</v>
      </c>
      <c r="C548" s="767">
        <v>9550.77</v>
      </c>
      <c r="D548" s="767">
        <v>9550.77</v>
      </c>
      <c r="E548" s="767">
        <v>61814.64</v>
      </c>
      <c r="I548" s="767">
        <v>9550.77</v>
      </c>
    </row>
    <row r="549" spans="1:9">
      <c r="A549" s="828">
        <v>43232</v>
      </c>
      <c r="B549" t="s">
        <v>4431</v>
      </c>
      <c r="C549" s="767">
        <v>9741.33</v>
      </c>
      <c r="D549" s="767">
        <v>9741.33</v>
      </c>
      <c r="E549" s="767">
        <v>71555.97</v>
      </c>
      <c r="I549" s="767">
        <v>9741.33</v>
      </c>
    </row>
    <row r="550" spans="1:9">
      <c r="A550" s="828">
        <v>43232</v>
      </c>
      <c r="B550" t="s">
        <v>4432</v>
      </c>
      <c r="C550" s="767">
        <v>9010.83</v>
      </c>
      <c r="D550" s="767">
        <v>9010.83</v>
      </c>
      <c r="E550" s="767">
        <v>80566.8</v>
      </c>
      <c r="I550" s="767">
        <v>9010.83</v>
      </c>
    </row>
    <row r="551" spans="1:9">
      <c r="A551" s="828">
        <v>43232</v>
      </c>
      <c r="B551" t="s">
        <v>4433</v>
      </c>
      <c r="C551" s="767">
        <v>9010.83</v>
      </c>
      <c r="D551" s="767">
        <v>9010.83</v>
      </c>
      <c r="E551" s="767">
        <v>89577.63</v>
      </c>
      <c r="I551" s="767">
        <v>9010.83</v>
      </c>
    </row>
    <row r="552" spans="1:9">
      <c r="A552" s="828">
        <v>43232</v>
      </c>
      <c r="B552" t="s">
        <v>4434</v>
      </c>
      <c r="C552" s="767">
        <v>13692.14</v>
      </c>
      <c r="D552" s="767">
        <v>13692.14</v>
      </c>
      <c r="E552" s="767">
        <v>103269.77</v>
      </c>
      <c r="I552" s="767">
        <v>13692.14</v>
      </c>
    </row>
    <row r="553" spans="1:9">
      <c r="A553" s="828">
        <v>43232</v>
      </c>
      <c r="B553" t="s">
        <v>4435</v>
      </c>
      <c r="C553" s="767">
        <v>12267.57</v>
      </c>
      <c r="D553" s="767">
        <v>12267.57</v>
      </c>
      <c r="E553" s="767">
        <v>115537.34</v>
      </c>
      <c r="I553" s="767">
        <v>12267.57</v>
      </c>
    </row>
    <row r="554" spans="1:9">
      <c r="A554" s="828">
        <v>43232</v>
      </c>
      <c r="B554" t="s">
        <v>4436</v>
      </c>
      <c r="C554" s="767">
        <v>20407.98</v>
      </c>
      <c r="D554" s="767">
        <v>20407.98</v>
      </c>
      <c r="E554" s="767">
        <v>135945.32</v>
      </c>
      <c r="I554" s="767">
        <v>20407.98</v>
      </c>
    </row>
    <row r="555" spans="1:9">
      <c r="A555" s="828">
        <v>43232</v>
      </c>
      <c r="B555" t="s">
        <v>4437</v>
      </c>
      <c r="C555" s="767">
        <v>17949.96</v>
      </c>
      <c r="D555" s="767">
        <v>17949.96</v>
      </c>
      <c r="E555" s="767">
        <v>153895.28</v>
      </c>
      <c r="I555" s="767">
        <v>17949.96</v>
      </c>
    </row>
    <row r="556" spans="1:9">
      <c r="A556" s="828">
        <v>43410</v>
      </c>
      <c r="B556" t="s">
        <v>4438</v>
      </c>
      <c r="C556" s="767">
        <v>20833.02</v>
      </c>
      <c r="D556" s="767">
        <v>20833.02</v>
      </c>
      <c r="E556" s="767">
        <v>174728.3</v>
      </c>
      <c r="I556" s="767">
        <v>20833.02</v>
      </c>
    </row>
    <row r="557" spans="1:9">
      <c r="A557" s="828">
        <v>43411</v>
      </c>
      <c r="B557" t="s">
        <v>4439</v>
      </c>
      <c r="C557" s="767">
        <v>23207.31</v>
      </c>
      <c r="D557" s="767">
        <v>23207.31</v>
      </c>
      <c r="E557" s="767">
        <v>197935.61</v>
      </c>
      <c r="I557" s="767">
        <v>23207.31</v>
      </c>
    </row>
    <row r="558" spans="1:9">
      <c r="A558" s="828">
        <v>43259</v>
      </c>
      <c r="B558" t="s">
        <v>4440</v>
      </c>
      <c r="C558" s="767">
        <v>14965.14</v>
      </c>
      <c r="D558" s="767">
        <v>14965.14</v>
      </c>
      <c r="E558" s="767">
        <v>212900.75</v>
      </c>
      <c r="I558" s="767">
        <v>14965.14</v>
      </c>
    </row>
    <row r="559" spans="1:9">
      <c r="A559" t="s">
        <v>4441</v>
      </c>
      <c r="B559" t="s">
        <v>4442</v>
      </c>
      <c r="C559" s="767">
        <v>11844.64</v>
      </c>
      <c r="D559" s="767">
        <v>11844.64</v>
      </c>
      <c r="E559" s="767">
        <v>224745.39</v>
      </c>
      <c r="I559" s="767">
        <v>11844.64</v>
      </c>
    </row>
    <row r="561" spans="1:9">
      <c r="A561" t="s">
        <v>4216</v>
      </c>
      <c r="B561" s="767">
        <v>224745.39</v>
      </c>
      <c r="C561" s="767">
        <v>224745.39</v>
      </c>
      <c r="D561">
        <v>0</v>
      </c>
      <c r="E561">
        <v>0</v>
      </c>
      <c r="F561">
        <v>0</v>
      </c>
      <c r="G561" s="767">
        <v>224745.39</v>
      </c>
    </row>
    <row r="563" spans="1:9">
      <c r="A563">
        <v>11473</v>
      </c>
      <c r="B563" t="s">
        <v>4443</v>
      </c>
    </row>
    <row r="564" spans="1:9">
      <c r="A564" s="828">
        <v>44534</v>
      </c>
      <c r="B564" t="s">
        <v>7029</v>
      </c>
      <c r="C564" s="767">
        <v>369657.96</v>
      </c>
      <c r="D564" s="767">
        <v>369657.96</v>
      </c>
      <c r="E564" s="767">
        <v>369657.96</v>
      </c>
      <c r="G564" s="767">
        <v>369657.96</v>
      </c>
    </row>
    <row r="566" spans="1:9">
      <c r="A566" t="s">
        <v>4216</v>
      </c>
      <c r="B566" s="767">
        <v>369657.96</v>
      </c>
      <c r="C566" s="767">
        <v>369657.96</v>
      </c>
      <c r="D566">
        <v>0</v>
      </c>
      <c r="E566" s="767">
        <v>369657.96</v>
      </c>
      <c r="F566">
        <v>0</v>
      </c>
      <c r="G566">
        <v>0</v>
      </c>
    </row>
    <row r="568" spans="1:9">
      <c r="A568">
        <v>11475</v>
      </c>
      <c r="B568" t="s">
        <v>3402</v>
      </c>
    </row>
    <row r="569" spans="1:9">
      <c r="A569" t="s">
        <v>4444</v>
      </c>
      <c r="B569" t="s">
        <v>4445</v>
      </c>
      <c r="C569" s="767">
        <v>3718.69</v>
      </c>
      <c r="D569" s="767">
        <v>3718.69</v>
      </c>
      <c r="E569" s="767">
        <v>3718.69</v>
      </c>
      <c r="I569" s="767">
        <v>3718.69</v>
      </c>
    </row>
    <row r="571" spans="1:9">
      <c r="A571" t="s">
        <v>4216</v>
      </c>
      <c r="B571" s="767">
        <v>3718.69</v>
      </c>
      <c r="C571" s="767">
        <v>3718.69</v>
      </c>
      <c r="D571">
        <v>0</v>
      </c>
      <c r="E571">
        <v>0</v>
      </c>
      <c r="F571">
        <v>0</v>
      </c>
      <c r="G571" s="767">
        <v>3718.69</v>
      </c>
    </row>
    <row r="573" spans="1:9">
      <c r="A573">
        <v>11480</v>
      </c>
      <c r="B573" t="s">
        <v>3403</v>
      </c>
    </row>
    <row r="574" spans="1:9">
      <c r="A574" s="828">
        <v>43353</v>
      </c>
      <c r="B574" t="s">
        <v>4446</v>
      </c>
      <c r="C574">
        <v>754.68</v>
      </c>
      <c r="D574">
        <v>754.68</v>
      </c>
      <c r="E574">
        <v>754.68</v>
      </c>
      <c r="I574">
        <v>754.68</v>
      </c>
    </row>
    <row r="575" spans="1:9">
      <c r="A575" s="828">
        <v>44230</v>
      </c>
      <c r="B575" t="s">
        <v>6556</v>
      </c>
      <c r="C575" s="767">
        <v>1198.23</v>
      </c>
      <c r="D575" s="767">
        <v>1198.23</v>
      </c>
      <c r="E575" s="767">
        <v>1952.91</v>
      </c>
      <c r="I575" s="767">
        <v>1198.23</v>
      </c>
    </row>
    <row r="576" spans="1:9">
      <c r="A576" s="828">
        <v>44200</v>
      </c>
      <c r="B576" t="s">
        <v>7030</v>
      </c>
      <c r="C576">
        <v>867.26</v>
      </c>
      <c r="D576">
        <v>867.26</v>
      </c>
      <c r="E576" s="767">
        <v>2820.17</v>
      </c>
      <c r="H576">
        <v>867.26</v>
      </c>
    </row>
    <row r="578" spans="1:9">
      <c r="A578" t="s">
        <v>4216</v>
      </c>
      <c r="B578" s="767">
        <v>2820.17</v>
      </c>
      <c r="C578" s="767">
        <v>2820.17</v>
      </c>
      <c r="D578">
        <v>0</v>
      </c>
      <c r="E578">
        <v>0</v>
      </c>
      <c r="F578">
        <v>867.26</v>
      </c>
      <c r="G578" s="767">
        <v>1952.91</v>
      </c>
    </row>
    <row r="580" spans="1:9">
      <c r="A580">
        <v>11496</v>
      </c>
      <c r="B580" t="s">
        <v>4447</v>
      </c>
    </row>
    <row r="581" spans="1:9">
      <c r="A581" t="s">
        <v>4448</v>
      </c>
      <c r="B581" t="s">
        <v>4449</v>
      </c>
      <c r="C581" s="767">
        <v>1909.43</v>
      </c>
      <c r="D581" s="767">
        <v>1909.43</v>
      </c>
      <c r="E581" s="767">
        <v>1909.43</v>
      </c>
      <c r="I581" s="767">
        <v>1909.43</v>
      </c>
    </row>
    <row r="582" spans="1:9">
      <c r="A582" s="828">
        <v>43983</v>
      </c>
      <c r="B582" t="s">
        <v>4450</v>
      </c>
      <c r="C582" s="767">
        <v>1149.42</v>
      </c>
      <c r="D582" s="767">
        <v>1149.42</v>
      </c>
      <c r="E582" s="767">
        <v>3058.85</v>
      </c>
      <c r="I582" s="767">
        <v>1149.42</v>
      </c>
    </row>
    <row r="584" spans="1:9">
      <c r="A584" t="s">
        <v>4216</v>
      </c>
      <c r="B584" s="767">
        <v>3058.85</v>
      </c>
      <c r="C584" s="767">
        <v>3058.85</v>
      </c>
      <c r="D584">
        <v>0</v>
      </c>
      <c r="E584">
        <v>0</v>
      </c>
      <c r="F584">
        <v>0</v>
      </c>
      <c r="G584" s="767">
        <v>3058.85</v>
      </c>
    </row>
    <row r="586" spans="1:9">
      <c r="A586">
        <v>11505</v>
      </c>
      <c r="B586" t="s">
        <v>4451</v>
      </c>
    </row>
    <row r="587" spans="1:9">
      <c r="A587" s="828">
        <v>44200</v>
      </c>
      <c r="B587" t="s">
        <v>7031</v>
      </c>
      <c r="C587" s="767">
        <v>13452.08</v>
      </c>
      <c r="D587" s="767">
        <v>13452.08</v>
      </c>
      <c r="E587" s="767">
        <v>13452.08</v>
      </c>
      <c r="H587" s="767">
        <v>13452.08</v>
      </c>
    </row>
    <row r="589" spans="1:9">
      <c r="A589" t="s">
        <v>4216</v>
      </c>
      <c r="B589" s="767">
        <v>13452.08</v>
      </c>
      <c r="C589" s="767">
        <v>13452.08</v>
      </c>
      <c r="D589">
        <v>0</v>
      </c>
      <c r="E589">
        <v>0</v>
      </c>
      <c r="F589" s="767">
        <v>13452.08</v>
      </c>
      <c r="G589">
        <v>0</v>
      </c>
    </row>
    <row r="591" spans="1:9">
      <c r="A591">
        <v>11519</v>
      </c>
      <c r="B591" t="s">
        <v>4452</v>
      </c>
    </row>
    <row r="592" spans="1:9">
      <c r="A592" s="828">
        <v>43959</v>
      </c>
      <c r="B592" t="s">
        <v>4453</v>
      </c>
      <c r="C592" s="767">
        <v>6796.2</v>
      </c>
      <c r="D592" s="767">
        <v>6796.2</v>
      </c>
      <c r="E592" s="767">
        <v>6796.2</v>
      </c>
      <c r="I592" s="767">
        <v>6796.2</v>
      </c>
    </row>
    <row r="593" spans="1:9">
      <c r="A593" s="828">
        <v>43959</v>
      </c>
      <c r="B593" t="s">
        <v>4454</v>
      </c>
      <c r="C593" s="767">
        <v>3271.81</v>
      </c>
      <c r="D593" s="767">
        <v>3271.81</v>
      </c>
      <c r="E593" s="767">
        <v>10068.01</v>
      </c>
      <c r="I593" s="767">
        <v>3271.81</v>
      </c>
    </row>
    <row r="595" spans="1:9">
      <c r="A595" t="s">
        <v>4216</v>
      </c>
      <c r="B595" s="767">
        <v>10068.01</v>
      </c>
      <c r="C595" s="767">
        <v>10068.01</v>
      </c>
      <c r="D595">
        <v>0</v>
      </c>
      <c r="E595">
        <v>0</v>
      </c>
      <c r="F595">
        <v>0</v>
      </c>
      <c r="G595" s="767">
        <v>10068.01</v>
      </c>
    </row>
    <row r="597" spans="1:9">
      <c r="A597">
        <v>11522</v>
      </c>
      <c r="B597" t="s">
        <v>6557</v>
      </c>
    </row>
    <row r="598" spans="1:9">
      <c r="A598" s="828">
        <v>44230</v>
      </c>
      <c r="B598" t="s">
        <v>6558</v>
      </c>
      <c r="C598" s="767">
        <v>1704.21</v>
      </c>
      <c r="D598" s="767">
        <v>1704.21</v>
      </c>
      <c r="E598" s="767">
        <v>1704.21</v>
      </c>
      <c r="I598" s="767">
        <v>1704.21</v>
      </c>
    </row>
    <row r="599" spans="1:9">
      <c r="A599" s="828">
        <v>44230</v>
      </c>
      <c r="B599" t="s">
        <v>6559</v>
      </c>
      <c r="C599" s="767">
        <v>71424.240000000005</v>
      </c>
      <c r="D599" s="767">
        <v>71424.240000000005</v>
      </c>
      <c r="E599" s="767">
        <v>73128.45</v>
      </c>
      <c r="I599" s="767">
        <v>71424.240000000005</v>
      </c>
    </row>
    <row r="600" spans="1:9">
      <c r="A600" s="828">
        <v>44230</v>
      </c>
      <c r="B600" t="s">
        <v>6560</v>
      </c>
      <c r="C600" s="767">
        <v>1484.32</v>
      </c>
      <c r="D600" s="767">
        <v>1484.32</v>
      </c>
      <c r="E600" s="767">
        <v>74612.77</v>
      </c>
      <c r="I600" s="767">
        <v>1484.32</v>
      </c>
    </row>
    <row r="602" spans="1:9">
      <c r="A602" t="s">
        <v>4216</v>
      </c>
      <c r="B602" s="767">
        <v>74612.77</v>
      </c>
      <c r="C602" s="767">
        <v>74612.77</v>
      </c>
      <c r="D602">
        <v>0</v>
      </c>
      <c r="E602">
        <v>0</v>
      </c>
      <c r="F602">
        <v>0</v>
      </c>
      <c r="G602" s="767">
        <v>74612.77</v>
      </c>
    </row>
    <row r="604" spans="1:9">
      <c r="A604">
        <v>11524</v>
      </c>
      <c r="B604" t="s">
        <v>4455</v>
      </c>
    </row>
    <row r="605" spans="1:9">
      <c r="A605" s="828">
        <v>43679</v>
      </c>
      <c r="B605" t="s">
        <v>4456</v>
      </c>
      <c r="C605" s="767">
        <v>1509.83</v>
      </c>
      <c r="D605" s="767">
        <v>1509.83</v>
      </c>
      <c r="E605" s="767">
        <v>1509.83</v>
      </c>
      <c r="I605" s="767">
        <v>1509.83</v>
      </c>
    </row>
    <row r="606" spans="1:9">
      <c r="A606" s="828">
        <v>43619</v>
      </c>
      <c r="B606" t="s">
        <v>4457</v>
      </c>
      <c r="C606" s="767">
        <v>1186.3</v>
      </c>
      <c r="D606" s="767">
        <v>1186.3</v>
      </c>
      <c r="E606" s="767">
        <v>2696.13</v>
      </c>
      <c r="I606" s="767">
        <v>1186.3</v>
      </c>
    </row>
    <row r="607" spans="1:9">
      <c r="A607" s="828">
        <v>44288</v>
      </c>
      <c r="B607" t="s">
        <v>6340</v>
      </c>
      <c r="C607" s="767">
        <v>1283.45</v>
      </c>
      <c r="D607" s="767">
        <v>1283.45</v>
      </c>
      <c r="E607" s="767">
        <v>3979.58</v>
      </c>
      <c r="I607" s="767">
        <v>1283.45</v>
      </c>
    </row>
    <row r="609" spans="1:9">
      <c r="A609" t="s">
        <v>4216</v>
      </c>
      <c r="B609" s="767">
        <v>3979.58</v>
      </c>
      <c r="C609" s="767">
        <v>3979.58</v>
      </c>
      <c r="D609">
        <v>0</v>
      </c>
      <c r="E609">
        <v>0</v>
      </c>
      <c r="F609">
        <v>0</v>
      </c>
      <c r="G609" s="767">
        <v>3979.58</v>
      </c>
    </row>
    <row r="611" spans="1:9">
      <c r="A611">
        <v>11541</v>
      </c>
      <c r="B611" t="s">
        <v>3404</v>
      </c>
    </row>
    <row r="612" spans="1:9">
      <c r="A612" s="828">
        <v>44200</v>
      </c>
      <c r="B612" t="s">
        <v>7032</v>
      </c>
      <c r="C612" s="767">
        <v>23926.35</v>
      </c>
      <c r="D612" s="767">
        <v>23926.35</v>
      </c>
      <c r="E612" s="767">
        <v>23926.35</v>
      </c>
      <c r="H612" s="767">
        <v>23926.35</v>
      </c>
    </row>
    <row r="614" spans="1:9">
      <c r="A614" t="s">
        <v>4216</v>
      </c>
      <c r="B614" s="767">
        <v>23926.35</v>
      </c>
      <c r="C614" s="767">
        <v>23926.35</v>
      </c>
      <c r="D614">
        <v>0</v>
      </c>
      <c r="E614">
        <v>0</v>
      </c>
      <c r="F614" s="767">
        <v>23926.35</v>
      </c>
      <c r="G614">
        <v>0</v>
      </c>
    </row>
    <row r="616" spans="1:9">
      <c r="A616">
        <v>11546</v>
      </c>
      <c r="B616" t="s">
        <v>6341</v>
      </c>
    </row>
    <row r="617" spans="1:9">
      <c r="A617" s="828">
        <v>44199</v>
      </c>
      <c r="B617" t="s">
        <v>6561</v>
      </c>
      <c r="C617" s="767">
        <v>11557.02</v>
      </c>
      <c r="D617" s="767">
        <v>11557.02</v>
      </c>
      <c r="E617" s="767">
        <v>11557.02</v>
      </c>
      <c r="I617" s="767">
        <v>11557.02</v>
      </c>
    </row>
    <row r="618" spans="1:9">
      <c r="A618" s="828">
        <v>44200</v>
      </c>
      <c r="B618" t="s">
        <v>7033</v>
      </c>
      <c r="C618" s="767">
        <v>11153.52</v>
      </c>
      <c r="D618" s="767">
        <v>11153.52</v>
      </c>
      <c r="E618" s="767">
        <v>22710.54</v>
      </c>
      <c r="H618" s="767">
        <v>11153.52</v>
      </c>
    </row>
    <row r="620" spans="1:9">
      <c r="A620" t="s">
        <v>4216</v>
      </c>
      <c r="B620" s="767">
        <v>22710.54</v>
      </c>
      <c r="C620" s="767">
        <v>22710.54</v>
      </c>
      <c r="D620">
        <v>0</v>
      </c>
      <c r="E620">
        <v>0</v>
      </c>
      <c r="F620" s="767">
        <v>11153.52</v>
      </c>
      <c r="G620" s="767">
        <v>11557.02</v>
      </c>
    </row>
    <row r="622" spans="1:9">
      <c r="A622">
        <v>11552</v>
      </c>
      <c r="B622" t="s">
        <v>6562</v>
      </c>
    </row>
    <row r="623" spans="1:9">
      <c r="A623" s="828">
        <v>44200</v>
      </c>
      <c r="B623" t="s">
        <v>7034</v>
      </c>
      <c r="C623" s="767">
        <v>5057.66</v>
      </c>
      <c r="D623" s="767">
        <v>5057.66</v>
      </c>
      <c r="E623" s="767">
        <v>5057.66</v>
      </c>
      <c r="H623" s="767">
        <v>5057.66</v>
      </c>
    </row>
    <row r="624" spans="1:9">
      <c r="A624" s="828">
        <v>44200</v>
      </c>
      <c r="B624" t="s">
        <v>7035</v>
      </c>
      <c r="C624" s="767">
        <v>33205.67</v>
      </c>
      <c r="D624" s="767">
        <v>33205.67</v>
      </c>
      <c r="E624" s="767">
        <v>38263.33</v>
      </c>
      <c r="H624" s="767">
        <v>33205.67</v>
      </c>
    </row>
    <row r="626" spans="1:9">
      <c r="A626" t="s">
        <v>4216</v>
      </c>
      <c r="B626" s="767">
        <v>38263.33</v>
      </c>
      <c r="C626" s="767">
        <v>38263.33</v>
      </c>
      <c r="D626">
        <v>0</v>
      </c>
      <c r="E626">
        <v>0</v>
      </c>
      <c r="F626" s="767">
        <v>38263.33</v>
      </c>
      <c r="G626">
        <v>0</v>
      </c>
    </row>
    <row r="628" spans="1:9">
      <c r="A628">
        <v>11561</v>
      </c>
      <c r="B628" t="s">
        <v>6342</v>
      </c>
    </row>
    <row r="629" spans="1:9">
      <c r="A629" s="828">
        <v>44288</v>
      </c>
      <c r="B629" t="s">
        <v>6343</v>
      </c>
      <c r="C629" s="767">
        <v>34098.29</v>
      </c>
      <c r="D629" s="767">
        <v>34098.29</v>
      </c>
      <c r="E629" s="767">
        <v>34098.29</v>
      </c>
      <c r="I629" s="767">
        <v>34098.29</v>
      </c>
    </row>
    <row r="630" spans="1:9">
      <c r="A630" s="828">
        <v>44288</v>
      </c>
      <c r="B630" t="s">
        <v>6344</v>
      </c>
      <c r="C630" s="767">
        <v>2128.38</v>
      </c>
      <c r="D630" s="767">
        <v>2128.38</v>
      </c>
      <c r="E630" s="767">
        <v>36226.67</v>
      </c>
      <c r="I630" s="767">
        <v>2128.38</v>
      </c>
    </row>
    <row r="631" spans="1:9">
      <c r="A631" s="828">
        <v>44288</v>
      </c>
      <c r="B631" t="s">
        <v>6345</v>
      </c>
      <c r="C631" s="767">
        <v>1142.6099999999999</v>
      </c>
      <c r="D631" s="767">
        <v>1142.6099999999999</v>
      </c>
      <c r="E631" s="767">
        <v>37369.279999999999</v>
      </c>
      <c r="I631" s="767">
        <v>1142.6099999999999</v>
      </c>
    </row>
    <row r="632" spans="1:9">
      <c r="A632" s="828">
        <v>44288</v>
      </c>
      <c r="B632" t="s">
        <v>6346</v>
      </c>
      <c r="C632" s="767">
        <v>2986.89</v>
      </c>
      <c r="D632" s="767">
        <v>2986.89</v>
      </c>
      <c r="E632" s="767">
        <v>40356.17</v>
      </c>
      <c r="I632" s="767">
        <v>2986.89</v>
      </c>
    </row>
    <row r="633" spans="1:9">
      <c r="A633" s="828">
        <v>44288</v>
      </c>
      <c r="B633" t="s">
        <v>6347</v>
      </c>
      <c r="C633" s="767">
        <v>1603.5</v>
      </c>
      <c r="D633" s="767">
        <v>1603.5</v>
      </c>
      <c r="E633" s="767">
        <v>41959.67</v>
      </c>
      <c r="I633" s="767">
        <v>1603.5</v>
      </c>
    </row>
    <row r="634" spans="1:9">
      <c r="A634" s="828">
        <v>44230</v>
      </c>
      <c r="B634" t="s">
        <v>6563</v>
      </c>
      <c r="C634" s="767">
        <v>48623.74</v>
      </c>
      <c r="D634" s="767">
        <v>48623.74</v>
      </c>
      <c r="E634" s="767">
        <v>90583.41</v>
      </c>
      <c r="I634" s="767">
        <v>48623.74</v>
      </c>
    </row>
    <row r="635" spans="1:9">
      <c r="A635" s="828">
        <v>44230</v>
      </c>
      <c r="B635" t="s">
        <v>6564</v>
      </c>
      <c r="C635" s="767">
        <v>2128.38</v>
      </c>
      <c r="D635" s="767">
        <v>2128.38</v>
      </c>
      <c r="E635" s="767">
        <v>92711.79</v>
      </c>
      <c r="I635" s="767">
        <v>2128.38</v>
      </c>
    </row>
    <row r="636" spans="1:9">
      <c r="A636" s="828">
        <v>44230</v>
      </c>
      <c r="B636" t="s">
        <v>6565</v>
      </c>
      <c r="C636" s="767">
        <v>1142.6099999999999</v>
      </c>
      <c r="D636" s="767">
        <v>1142.6099999999999</v>
      </c>
      <c r="E636" s="767">
        <v>93854.399999999994</v>
      </c>
      <c r="I636" s="767">
        <v>1142.6099999999999</v>
      </c>
    </row>
    <row r="637" spans="1:9">
      <c r="A637" s="828">
        <v>44230</v>
      </c>
      <c r="B637" t="s">
        <v>6566</v>
      </c>
      <c r="C637" s="767">
        <v>2986.89</v>
      </c>
      <c r="D637" s="767">
        <v>2986.89</v>
      </c>
      <c r="E637" s="767">
        <v>96841.29</v>
      </c>
      <c r="I637" s="767">
        <v>2986.89</v>
      </c>
    </row>
    <row r="638" spans="1:9">
      <c r="A638" s="828">
        <v>44230</v>
      </c>
      <c r="B638" t="s">
        <v>6567</v>
      </c>
      <c r="C638" s="767">
        <v>1603.5</v>
      </c>
      <c r="D638" s="767">
        <v>1603.5</v>
      </c>
      <c r="E638" s="767">
        <v>98444.79</v>
      </c>
      <c r="I638" s="767">
        <v>1603.5</v>
      </c>
    </row>
    <row r="639" spans="1:9">
      <c r="A639" s="828">
        <v>44200</v>
      </c>
      <c r="B639" t="s">
        <v>7036</v>
      </c>
      <c r="C639" s="767">
        <v>42671.03</v>
      </c>
      <c r="D639" s="767">
        <v>42671.03</v>
      </c>
      <c r="E639" s="767">
        <v>141115.82</v>
      </c>
      <c r="H639" s="767">
        <v>42671.03</v>
      </c>
    </row>
    <row r="640" spans="1:9">
      <c r="A640" s="828">
        <v>44200</v>
      </c>
      <c r="B640" t="s">
        <v>7037</v>
      </c>
      <c r="C640" s="767">
        <v>2128.38</v>
      </c>
      <c r="D640" s="767">
        <v>2128.38</v>
      </c>
      <c r="E640" s="767">
        <v>143244.20000000001</v>
      </c>
      <c r="H640" s="767">
        <v>2128.38</v>
      </c>
    </row>
    <row r="641" spans="1:9">
      <c r="A641" s="828">
        <v>44200</v>
      </c>
      <c r="B641" t="s">
        <v>7038</v>
      </c>
      <c r="C641" s="767">
        <v>1142.6099999999999</v>
      </c>
      <c r="D641" s="767">
        <v>1142.6099999999999</v>
      </c>
      <c r="E641" s="767">
        <v>144386.81</v>
      </c>
      <c r="H641" s="767">
        <v>1142.6099999999999</v>
      </c>
    </row>
    <row r="642" spans="1:9">
      <c r="A642" s="828">
        <v>44200</v>
      </c>
      <c r="B642" t="s">
        <v>7039</v>
      </c>
      <c r="C642" s="767">
        <v>2986.89</v>
      </c>
      <c r="D642" s="767">
        <v>2986.89</v>
      </c>
      <c r="E642" s="767">
        <v>147373.70000000001</v>
      </c>
      <c r="H642" s="767">
        <v>2986.89</v>
      </c>
    </row>
    <row r="643" spans="1:9">
      <c r="A643" s="828">
        <v>44200</v>
      </c>
      <c r="B643" t="s">
        <v>7040</v>
      </c>
      <c r="C643" s="767">
        <v>1603.5</v>
      </c>
      <c r="D643" s="767">
        <v>1603.5</v>
      </c>
      <c r="E643" s="767">
        <v>148977.20000000001</v>
      </c>
      <c r="H643" s="767">
        <v>1603.5</v>
      </c>
    </row>
    <row r="645" spans="1:9">
      <c r="A645" t="s">
        <v>4216</v>
      </c>
      <c r="B645" s="767">
        <v>148977.20000000001</v>
      </c>
      <c r="C645" s="767">
        <v>148977.20000000001</v>
      </c>
      <c r="D645">
        <v>0</v>
      </c>
      <c r="E645">
        <v>0</v>
      </c>
      <c r="F645" s="767">
        <v>50532.41</v>
      </c>
      <c r="G645" s="767">
        <v>98444.79</v>
      </c>
    </row>
    <row r="647" spans="1:9">
      <c r="A647">
        <v>11604</v>
      </c>
      <c r="B647" t="s">
        <v>4458</v>
      </c>
    </row>
    <row r="648" spans="1:9">
      <c r="A648" s="828">
        <v>43232</v>
      </c>
      <c r="B648" t="s">
        <v>4459</v>
      </c>
      <c r="C648" s="767">
        <v>5108.22</v>
      </c>
      <c r="D648" s="767">
        <v>5108.22</v>
      </c>
      <c r="E648" s="767">
        <v>5108.22</v>
      </c>
      <c r="I648" s="767">
        <v>5108.22</v>
      </c>
    </row>
    <row r="649" spans="1:9">
      <c r="A649" s="828">
        <v>43232</v>
      </c>
      <c r="B649" t="s">
        <v>4460</v>
      </c>
      <c r="C649" s="767">
        <v>5089.78</v>
      </c>
      <c r="D649" s="767">
        <v>5089.78</v>
      </c>
      <c r="E649" s="767">
        <v>10198</v>
      </c>
      <c r="I649" s="767">
        <v>5089.78</v>
      </c>
    </row>
    <row r="650" spans="1:9">
      <c r="A650" s="828">
        <v>43232</v>
      </c>
      <c r="B650" t="s">
        <v>4461</v>
      </c>
      <c r="C650" s="767">
        <v>6868.38</v>
      </c>
      <c r="D650" s="767">
        <v>6868.38</v>
      </c>
      <c r="E650" s="767">
        <v>17066.38</v>
      </c>
      <c r="I650" s="767">
        <v>6868.38</v>
      </c>
    </row>
    <row r="651" spans="1:9">
      <c r="A651" s="828">
        <v>43232</v>
      </c>
      <c r="B651" t="s">
        <v>4462</v>
      </c>
      <c r="C651" s="767">
        <v>7249.51</v>
      </c>
      <c r="D651" s="767">
        <v>7249.51</v>
      </c>
      <c r="E651" s="767">
        <v>24315.89</v>
      </c>
      <c r="I651" s="767">
        <v>7249.51</v>
      </c>
    </row>
    <row r="652" spans="1:9">
      <c r="A652" s="828">
        <v>43232</v>
      </c>
      <c r="B652" t="s">
        <v>4463</v>
      </c>
      <c r="C652" s="767">
        <v>6646.06</v>
      </c>
      <c r="D652" s="767">
        <v>6646.06</v>
      </c>
      <c r="E652" s="767">
        <v>30961.95</v>
      </c>
      <c r="I652" s="767">
        <v>6646.06</v>
      </c>
    </row>
    <row r="653" spans="1:9">
      <c r="A653" s="828">
        <v>43232</v>
      </c>
      <c r="B653" t="s">
        <v>4464</v>
      </c>
      <c r="C653" s="767">
        <v>14868.96</v>
      </c>
      <c r="D653" s="767">
        <v>14868.96</v>
      </c>
      <c r="E653" s="767">
        <v>45830.91</v>
      </c>
      <c r="I653" s="767">
        <v>14868.96</v>
      </c>
    </row>
    <row r="654" spans="1:9">
      <c r="A654" s="828">
        <v>43232</v>
      </c>
      <c r="B654" t="s">
        <v>4465</v>
      </c>
      <c r="C654" s="767">
        <v>3374.7</v>
      </c>
      <c r="D654" s="767">
        <v>3374.7</v>
      </c>
      <c r="E654" s="767">
        <v>49205.61</v>
      </c>
      <c r="I654" s="767">
        <v>3374.7</v>
      </c>
    </row>
    <row r="655" spans="1:9">
      <c r="A655" s="828">
        <v>43232</v>
      </c>
      <c r="B655" t="s">
        <v>4466</v>
      </c>
      <c r="C655" s="767">
        <v>3342.93</v>
      </c>
      <c r="D655" s="767">
        <v>3342.93</v>
      </c>
      <c r="E655" s="767">
        <v>52548.54</v>
      </c>
      <c r="I655" s="767">
        <v>3342.93</v>
      </c>
    </row>
    <row r="656" spans="1:9">
      <c r="A656" s="828">
        <v>43232</v>
      </c>
      <c r="B656" t="s">
        <v>4467</v>
      </c>
      <c r="C656" s="767">
        <v>1818.42</v>
      </c>
      <c r="D656" s="767">
        <v>1818.42</v>
      </c>
      <c r="E656" s="767">
        <v>54366.96</v>
      </c>
      <c r="I656" s="767">
        <v>1818.42</v>
      </c>
    </row>
    <row r="657" spans="1:9">
      <c r="A657" s="828">
        <v>43232</v>
      </c>
      <c r="B657" t="s">
        <v>4468</v>
      </c>
      <c r="C657">
        <v>704.56</v>
      </c>
      <c r="D657">
        <v>704.56</v>
      </c>
      <c r="E657" s="767">
        <v>55071.519999999997</v>
      </c>
      <c r="I657">
        <v>704.56</v>
      </c>
    </row>
    <row r="658" spans="1:9">
      <c r="A658" s="828">
        <v>43619</v>
      </c>
      <c r="B658" t="s">
        <v>4469</v>
      </c>
      <c r="C658" s="767">
        <v>1659.61</v>
      </c>
      <c r="D658" s="767">
        <v>1659.61</v>
      </c>
      <c r="E658" s="767">
        <v>56731.13</v>
      </c>
      <c r="I658" s="767">
        <v>1659.61</v>
      </c>
    </row>
    <row r="659" spans="1:9">
      <c r="A659" s="828">
        <v>43410</v>
      </c>
      <c r="B659" t="s">
        <v>4470</v>
      </c>
      <c r="C659" s="767">
        <v>1469.37</v>
      </c>
      <c r="D659" s="767">
        <v>1469.37</v>
      </c>
      <c r="E659" s="767">
        <v>58200.5</v>
      </c>
      <c r="I659" s="767">
        <v>1469.37</v>
      </c>
    </row>
    <row r="660" spans="1:9">
      <c r="A660" s="828">
        <v>43410</v>
      </c>
      <c r="B660" t="s">
        <v>4471</v>
      </c>
      <c r="C660" s="767">
        <v>4884.25</v>
      </c>
      <c r="D660" s="767">
        <v>4884.25</v>
      </c>
      <c r="E660" s="767">
        <v>63084.75</v>
      </c>
      <c r="I660" s="767">
        <v>4884.25</v>
      </c>
    </row>
    <row r="661" spans="1:9">
      <c r="A661" s="828">
        <v>43259</v>
      </c>
      <c r="B661" t="s">
        <v>4472</v>
      </c>
      <c r="C661" s="767">
        <v>5220.5</v>
      </c>
      <c r="D661" s="767">
        <v>5220.5</v>
      </c>
      <c r="E661" s="767">
        <v>68305.25</v>
      </c>
      <c r="I661" s="767">
        <v>5220.5</v>
      </c>
    </row>
    <row r="662" spans="1:9">
      <c r="A662" t="s">
        <v>4441</v>
      </c>
      <c r="B662" t="s">
        <v>4473</v>
      </c>
      <c r="C662" s="767">
        <v>5457.93</v>
      </c>
      <c r="D662" s="767">
        <v>5457.93</v>
      </c>
      <c r="E662" s="767">
        <v>73763.179999999993</v>
      </c>
      <c r="I662" s="767">
        <v>5457.93</v>
      </c>
    </row>
    <row r="663" spans="1:9">
      <c r="A663" s="828">
        <v>43292</v>
      </c>
      <c r="B663" t="s">
        <v>4474</v>
      </c>
      <c r="C663" s="767">
        <v>33203.17</v>
      </c>
      <c r="D663" s="767">
        <v>33203.17</v>
      </c>
      <c r="E663" s="767">
        <v>106966.35</v>
      </c>
      <c r="I663" s="767">
        <v>33203.17</v>
      </c>
    </row>
    <row r="664" spans="1:9">
      <c r="A664" s="828">
        <v>43202</v>
      </c>
      <c r="B664" t="s">
        <v>4475</v>
      </c>
      <c r="C664" s="767">
        <v>20008.919999999998</v>
      </c>
      <c r="D664" s="767">
        <v>20008.919999999998</v>
      </c>
      <c r="E664" s="767">
        <v>126975.27</v>
      </c>
      <c r="I664" s="767">
        <v>20008.919999999998</v>
      </c>
    </row>
    <row r="665" spans="1:9">
      <c r="A665" t="s">
        <v>4377</v>
      </c>
      <c r="B665" t="s">
        <v>4476</v>
      </c>
      <c r="C665" s="767">
        <v>4881.3100000000004</v>
      </c>
      <c r="D665" s="767">
        <v>4881.3100000000004</v>
      </c>
      <c r="E665" s="767">
        <v>131856.57999999999</v>
      </c>
      <c r="I665" s="767">
        <v>4881.3100000000004</v>
      </c>
    </row>
    <row r="666" spans="1:9">
      <c r="A666" s="828">
        <v>43771</v>
      </c>
      <c r="B666" t="s">
        <v>4477</v>
      </c>
      <c r="C666" s="767">
        <v>4896.25</v>
      </c>
      <c r="D666" s="767">
        <v>4896.25</v>
      </c>
      <c r="E666" s="767">
        <v>136752.82999999999</v>
      </c>
      <c r="I666" s="767">
        <v>4896.25</v>
      </c>
    </row>
    <row r="667" spans="1:9">
      <c r="A667" s="828">
        <v>43619</v>
      </c>
      <c r="B667" t="s">
        <v>4478</v>
      </c>
      <c r="C667" s="767">
        <v>5794.96</v>
      </c>
      <c r="D667" s="767">
        <v>5794.96</v>
      </c>
      <c r="E667" s="767">
        <v>142547.79</v>
      </c>
      <c r="I667" s="767">
        <v>5794.96</v>
      </c>
    </row>
    <row r="668" spans="1:9">
      <c r="A668" s="828">
        <v>43681</v>
      </c>
      <c r="B668" t="s">
        <v>4479</v>
      </c>
      <c r="C668" s="767">
        <v>5723.06</v>
      </c>
      <c r="D668" s="767">
        <v>5723.06</v>
      </c>
      <c r="E668" s="767">
        <v>148270.85</v>
      </c>
      <c r="I668" s="767">
        <v>5723.06</v>
      </c>
    </row>
    <row r="669" spans="1:9">
      <c r="A669" t="s">
        <v>4480</v>
      </c>
      <c r="B669" t="s">
        <v>4481</v>
      </c>
      <c r="C669" s="767">
        <v>4680.5600000000004</v>
      </c>
      <c r="D669" s="767">
        <v>4680.5600000000004</v>
      </c>
      <c r="E669" s="767">
        <v>152951.41</v>
      </c>
      <c r="I669" s="767">
        <v>4680.5600000000004</v>
      </c>
    </row>
    <row r="670" spans="1:9">
      <c r="A670" s="828">
        <v>43564</v>
      </c>
      <c r="B670" t="s">
        <v>4482</v>
      </c>
      <c r="C670" s="767">
        <v>4932.1899999999996</v>
      </c>
      <c r="D670" s="767">
        <v>4932.1899999999996</v>
      </c>
      <c r="E670" s="767">
        <v>157883.6</v>
      </c>
      <c r="I670" s="767">
        <v>4932.1899999999996</v>
      </c>
    </row>
    <row r="671" spans="1:9">
      <c r="A671" s="828">
        <v>43477</v>
      </c>
      <c r="B671" t="s">
        <v>4483</v>
      </c>
      <c r="C671" s="767">
        <v>5147.8900000000003</v>
      </c>
      <c r="D671" s="767">
        <v>5147.8900000000003</v>
      </c>
      <c r="E671" s="767">
        <v>163031.49</v>
      </c>
      <c r="I671" s="767">
        <v>5147.8900000000003</v>
      </c>
    </row>
    <row r="672" spans="1:9">
      <c r="A672" s="828">
        <v>43983</v>
      </c>
      <c r="B672" t="s">
        <v>4484</v>
      </c>
      <c r="C672" s="767">
        <v>12601.43</v>
      </c>
      <c r="D672" s="767">
        <v>12601.43</v>
      </c>
      <c r="E672" s="767">
        <v>175632.92</v>
      </c>
      <c r="I672" s="767">
        <v>12601.43</v>
      </c>
    </row>
    <row r="673" spans="1:9">
      <c r="A673" s="828">
        <v>43923</v>
      </c>
      <c r="B673" t="s">
        <v>4485</v>
      </c>
      <c r="C673" s="767">
        <v>4254.9399999999996</v>
      </c>
      <c r="D673" s="767">
        <v>4254.9399999999996</v>
      </c>
      <c r="E673" s="767">
        <v>179887.86</v>
      </c>
      <c r="I673" s="767">
        <v>4254.9399999999996</v>
      </c>
    </row>
    <row r="674" spans="1:9">
      <c r="A674" s="828">
        <v>43893</v>
      </c>
      <c r="B674" t="s">
        <v>4486</v>
      </c>
      <c r="C674" s="767">
        <v>4405.92</v>
      </c>
      <c r="D674" s="767">
        <v>4405.92</v>
      </c>
      <c r="E674" s="767">
        <v>184293.78</v>
      </c>
      <c r="I674" s="767">
        <v>4405.92</v>
      </c>
    </row>
    <row r="675" spans="1:9">
      <c r="A675" t="s">
        <v>4487</v>
      </c>
      <c r="B675" t="s">
        <v>4488</v>
      </c>
      <c r="C675" s="767">
        <v>1599.32</v>
      </c>
      <c r="D675" s="767">
        <v>1599.32</v>
      </c>
      <c r="E675" s="767">
        <v>185893.1</v>
      </c>
      <c r="I675" s="767">
        <v>1599.32</v>
      </c>
    </row>
    <row r="676" spans="1:9">
      <c r="A676" s="828">
        <v>43868</v>
      </c>
      <c r="B676" t="s">
        <v>4489</v>
      </c>
      <c r="C676" s="767">
        <v>2006.97</v>
      </c>
      <c r="D676" s="767">
        <v>2006.97</v>
      </c>
      <c r="E676" s="767">
        <v>187900.07</v>
      </c>
      <c r="I676" s="767">
        <v>2006.97</v>
      </c>
    </row>
    <row r="677" spans="1:9">
      <c r="A677" t="s">
        <v>4490</v>
      </c>
      <c r="B677" t="s">
        <v>4491</v>
      </c>
      <c r="C677" s="767">
        <v>3283.94</v>
      </c>
      <c r="D677" s="767">
        <v>3283.94</v>
      </c>
      <c r="E677" s="767">
        <v>191184.01</v>
      </c>
      <c r="I677" s="767">
        <v>3283.94</v>
      </c>
    </row>
    <row r="678" spans="1:9">
      <c r="A678" t="s">
        <v>4490</v>
      </c>
      <c r="B678" t="s">
        <v>4492</v>
      </c>
      <c r="C678" s="767">
        <v>2168.16</v>
      </c>
      <c r="D678" s="767">
        <v>2168.16</v>
      </c>
      <c r="E678" s="767">
        <v>193352.17</v>
      </c>
      <c r="I678" s="767">
        <v>2168.16</v>
      </c>
    </row>
    <row r="679" spans="1:9">
      <c r="A679" s="828">
        <v>43898</v>
      </c>
      <c r="B679" t="s">
        <v>4493</v>
      </c>
      <c r="C679" s="767">
        <v>1692.17</v>
      </c>
      <c r="D679" s="767">
        <v>1692.17</v>
      </c>
      <c r="E679" s="767">
        <v>195044.34</v>
      </c>
      <c r="I679" s="767">
        <v>1692.17</v>
      </c>
    </row>
    <row r="680" spans="1:9">
      <c r="A680" s="828">
        <v>43870</v>
      </c>
      <c r="B680" t="s">
        <v>5395</v>
      </c>
      <c r="C680" s="767">
        <v>2541.84</v>
      </c>
      <c r="D680" s="767">
        <v>2541.84</v>
      </c>
      <c r="E680" s="767">
        <v>197586.18</v>
      </c>
      <c r="I680" s="767">
        <v>2541.84</v>
      </c>
    </row>
    <row r="681" spans="1:9">
      <c r="A681" s="828">
        <v>43871</v>
      </c>
      <c r="B681" t="s">
        <v>5457</v>
      </c>
      <c r="C681" s="767">
        <v>1769.17</v>
      </c>
      <c r="D681" s="767">
        <v>1769.17</v>
      </c>
      <c r="E681" s="767">
        <v>199355.35</v>
      </c>
      <c r="I681" s="767">
        <v>1769.17</v>
      </c>
    </row>
    <row r="682" spans="1:9">
      <c r="A682" s="828">
        <v>43932</v>
      </c>
      <c r="B682" t="s">
        <v>5531</v>
      </c>
      <c r="C682" s="767">
        <v>1429.07</v>
      </c>
      <c r="D682" s="767">
        <v>1429.07</v>
      </c>
      <c r="E682" s="767">
        <v>200784.42</v>
      </c>
      <c r="I682" s="767">
        <v>1429.07</v>
      </c>
    </row>
    <row r="683" spans="1:9">
      <c r="A683" s="828">
        <v>44288</v>
      </c>
      <c r="B683" t="s">
        <v>6348</v>
      </c>
      <c r="C683" s="767">
        <v>3985.57</v>
      </c>
      <c r="D683" s="767">
        <v>3985.57</v>
      </c>
      <c r="E683" s="767">
        <v>204769.99</v>
      </c>
      <c r="I683" s="767">
        <v>3985.57</v>
      </c>
    </row>
    <row r="684" spans="1:9">
      <c r="A684" s="828">
        <v>44230</v>
      </c>
      <c r="B684" t="s">
        <v>6568</v>
      </c>
      <c r="C684" s="767">
        <v>1648.51</v>
      </c>
      <c r="D684" s="767">
        <v>1648.51</v>
      </c>
      <c r="E684" s="767">
        <v>206418.5</v>
      </c>
      <c r="I684" s="767">
        <v>1648.51</v>
      </c>
    </row>
    <row r="685" spans="1:9">
      <c r="A685" s="828">
        <v>44351</v>
      </c>
      <c r="B685" t="s">
        <v>7041</v>
      </c>
      <c r="C685" s="767">
        <v>1504.62</v>
      </c>
      <c r="D685" s="767">
        <v>1504.62</v>
      </c>
      <c r="E685" s="767">
        <v>207923.12</v>
      </c>
      <c r="G685" s="767">
        <v>1504.62</v>
      </c>
    </row>
    <row r="686" spans="1:9">
      <c r="A686" s="828">
        <v>44351</v>
      </c>
      <c r="B686" t="s">
        <v>7042</v>
      </c>
      <c r="C686" s="767">
        <v>2858.69</v>
      </c>
      <c r="D686" s="767">
        <v>2858.69</v>
      </c>
      <c r="E686" s="767">
        <v>210781.81</v>
      </c>
      <c r="G686" s="767">
        <v>2858.69</v>
      </c>
    </row>
    <row r="688" spans="1:9">
      <c r="A688" t="s">
        <v>4216</v>
      </c>
      <c r="B688" s="767">
        <v>210781.81</v>
      </c>
      <c r="C688" s="767">
        <v>210781.81</v>
      </c>
      <c r="D688">
        <v>0</v>
      </c>
      <c r="E688" s="767">
        <v>4363.3100000000004</v>
      </c>
      <c r="F688">
        <v>0</v>
      </c>
      <c r="G688" s="767">
        <v>206418.5</v>
      </c>
    </row>
    <row r="690" spans="1:9">
      <c r="A690">
        <v>11605</v>
      </c>
      <c r="B690" t="s">
        <v>4494</v>
      </c>
    </row>
    <row r="691" spans="1:9">
      <c r="A691" s="828">
        <v>43619</v>
      </c>
      <c r="B691" t="s">
        <v>4495</v>
      </c>
      <c r="C691">
        <v>939.54</v>
      </c>
      <c r="D691">
        <v>939.54</v>
      </c>
      <c r="E691">
        <v>939.54</v>
      </c>
      <c r="I691">
        <v>939.54</v>
      </c>
    </row>
    <row r="692" spans="1:9">
      <c r="A692" t="s">
        <v>4350</v>
      </c>
      <c r="B692" t="s">
        <v>4496</v>
      </c>
      <c r="C692" s="767">
        <v>2138.33</v>
      </c>
      <c r="D692" s="767">
        <v>2138.33</v>
      </c>
      <c r="E692" s="767">
        <v>3077.87</v>
      </c>
      <c r="I692" s="767">
        <v>2138.33</v>
      </c>
    </row>
    <row r="693" spans="1:9">
      <c r="A693" s="828">
        <v>43897</v>
      </c>
      <c r="B693" t="s">
        <v>4497</v>
      </c>
      <c r="C693">
        <v>267.25</v>
      </c>
      <c r="D693">
        <v>267.25</v>
      </c>
      <c r="E693" s="767">
        <v>3345.12</v>
      </c>
      <c r="I693">
        <v>267.25</v>
      </c>
    </row>
    <row r="694" spans="1:9">
      <c r="A694" s="828">
        <v>43897</v>
      </c>
      <c r="B694" t="s">
        <v>4498</v>
      </c>
      <c r="C694">
        <v>155.07</v>
      </c>
      <c r="D694">
        <v>155.07</v>
      </c>
      <c r="E694" s="767">
        <v>3500.19</v>
      </c>
      <c r="I694">
        <v>155.07</v>
      </c>
    </row>
    <row r="695" spans="1:9">
      <c r="A695" s="828">
        <v>44200</v>
      </c>
      <c r="B695" t="s">
        <v>7043</v>
      </c>
      <c r="C695">
        <v>286.17</v>
      </c>
      <c r="D695">
        <v>286.17</v>
      </c>
      <c r="E695" s="767">
        <v>3786.36</v>
      </c>
      <c r="H695">
        <v>286.17</v>
      </c>
    </row>
    <row r="696" spans="1:9">
      <c r="A696" s="828">
        <v>44200</v>
      </c>
      <c r="B696" t="s">
        <v>7044</v>
      </c>
      <c r="C696">
        <v>153.63</v>
      </c>
      <c r="D696">
        <v>153.63</v>
      </c>
      <c r="E696" s="767">
        <v>3939.99</v>
      </c>
      <c r="H696">
        <v>153.63</v>
      </c>
    </row>
    <row r="698" spans="1:9">
      <c r="A698" t="s">
        <v>4216</v>
      </c>
      <c r="B698" s="767">
        <v>3939.99</v>
      </c>
      <c r="C698" s="767">
        <v>3939.99</v>
      </c>
      <c r="D698">
        <v>0</v>
      </c>
      <c r="E698">
        <v>0</v>
      </c>
      <c r="F698">
        <v>439.8</v>
      </c>
      <c r="G698" s="767">
        <v>3500.19</v>
      </c>
    </row>
    <row r="700" spans="1:9">
      <c r="A700">
        <v>11606</v>
      </c>
      <c r="B700" t="s">
        <v>3405</v>
      </c>
    </row>
    <row r="701" spans="1:9">
      <c r="A701" s="828">
        <v>43476</v>
      </c>
      <c r="B701" t="s">
        <v>4499</v>
      </c>
      <c r="C701" s="767">
        <v>1126.52</v>
      </c>
      <c r="D701" s="767">
        <v>1126.52</v>
      </c>
      <c r="E701" s="767">
        <v>1126.52</v>
      </c>
      <c r="I701" s="767">
        <v>1126.52</v>
      </c>
    </row>
    <row r="702" spans="1:9">
      <c r="A702" s="828">
        <v>43477</v>
      </c>
      <c r="B702" t="s">
        <v>4500</v>
      </c>
      <c r="C702" s="767">
        <v>1126.52</v>
      </c>
      <c r="D702" s="767">
        <v>1126.52</v>
      </c>
      <c r="E702" s="767">
        <v>2253.04</v>
      </c>
      <c r="I702" s="767">
        <v>1126.52</v>
      </c>
    </row>
    <row r="703" spans="1:9">
      <c r="A703" s="828">
        <v>43781</v>
      </c>
      <c r="B703" t="s">
        <v>4501</v>
      </c>
      <c r="C703" s="767">
        <v>2375.84</v>
      </c>
      <c r="D703" s="767">
        <v>2375.84</v>
      </c>
      <c r="E703" s="767">
        <v>4628.88</v>
      </c>
      <c r="I703" s="767">
        <v>2375.84</v>
      </c>
    </row>
    <row r="704" spans="1:9">
      <c r="A704" s="828">
        <v>43983</v>
      </c>
      <c r="B704" t="s">
        <v>4502</v>
      </c>
      <c r="C704" s="767">
        <v>2502.0300000000002</v>
      </c>
      <c r="D704" s="767">
        <v>2502.0300000000002</v>
      </c>
      <c r="E704" s="767">
        <v>7130.91</v>
      </c>
      <c r="I704" s="767">
        <v>2502.0300000000002</v>
      </c>
    </row>
    <row r="705" spans="1:9">
      <c r="A705" s="828">
        <v>43983</v>
      </c>
      <c r="B705" t="s">
        <v>4503</v>
      </c>
      <c r="C705" s="767">
        <v>1126.52</v>
      </c>
      <c r="D705" s="767">
        <v>1126.52</v>
      </c>
      <c r="E705" s="767">
        <v>8257.43</v>
      </c>
      <c r="I705" s="767">
        <v>1126.52</v>
      </c>
    </row>
    <row r="706" spans="1:9">
      <c r="A706" s="828">
        <v>43923</v>
      </c>
      <c r="B706" t="s">
        <v>4504</v>
      </c>
      <c r="C706" s="767">
        <v>1560.34</v>
      </c>
      <c r="D706" s="767">
        <v>1560.34</v>
      </c>
      <c r="E706" s="767">
        <v>9817.77</v>
      </c>
      <c r="I706" s="767">
        <v>1560.34</v>
      </c>
    </row>
    <row r="707" spans="1:9">
      <c r="A707" s="828">
        <v>43893</v>
      </c>
      <c r="B707" t="s">
        <v>4505</v>
      </c>
      <c r="C707" s="767">
        <v>1560.34</v>
      </c>
      <c r="D707" s="767">
        <v>1560.34</v>
      </c>
      <c r="E707" s="767">
        <v>11378.11</v>
      </c>
      <c r="I707" s="767">
        <v>1560.34</v>
      </c>
    </row>
    <row r="708" spans="1:9">
      <c r="A708" s="828">
        <v>43834</v>
      </c>
      <c r="B708" t="s">
        <v>4506</v>
      </c>
      <c r="C708" s="767">
        <v>1560.34</v>
      </c>
      <c r="D708" s="767">
        <v>1560.34</v>
      </c>
      <c r="E708" s="767">
        <v>12938.45</v>
      </c>
      <c r="I708" s="767">
        <v>1560.34</v>
      </c>
    </row>
    <row r="709" spans="1:9">
      <c r="A709" s="828">
        <v>44048</v>
      </c>
      <c r="B709" t="s">
        <v>4507</v>
      </c>
      <c r="C709" s="767">
        <v>1560.34</v>
      </c>
      <c r="D709" s="767">
        <v>1560.34</v>
      </c>
      <c r="E709" s="767">
        <v>14498.79</v>
      </c>
      <c r="I709" s="767">
        <v>1560.34</v>
      </c>
    </row>
    <row r="710" spans="1:9">
      <c r="A710" s="828">
        <v>43842</v>
      </c>
      <c r="B710" t="s">
        <v>5844</v>
      </c>
      <c r="C710" s="767">
        <v>10820.11</v>
      </c>
      <c r="D710" s="767">
        <v>10820.11</v>
      </c>
      <c r="E710" s="767">
        <v>25318.9</v>
      </c>
      <c r="I710" s="767">
        <v>10820.11</v>
      </c>
    </row>
    <row r="711" spans="1:9">
      <c r="A711" s="828">
        <v>43902</v>
      </c>
      <c r="B711" t="s">
        <v>5845</v>
      </c>
      <c r="C711" s="767">
        <v>2689.25</v>
      </c>
      <c r="D711" s="767">
        <v>2689.25</v>
      </c>
      <c r="E711" s="767">
        <v>28008.15</v>
      </c>
      <c r="I711" s="767">
        <v>2689.25</v>
      </c>
    </row>
    <row r="712" spans="1:9">
      <c r="A712" s="828">
        <v>43902</v>
      </c>
      <c r="B712" t="s">
        <v>5846</v>
      </c>
      <c r="C712" s="767">
        <v>1560.34</v>
      </c>
      <c r="D712" s="767">
        <v>1560.34</v>
      </c>
      <c r="E712" s="767">
        <v>29568.49</v>
      </c>
      <c r="I712" s="767">
        <v>1560.34</v>
      </c>
    </row>
    <row r="713" spans="1:9">
      <c r="A713" s="828">
        <v>43902</v>
      </c>
      <c r="B713" t="s">
        <v>5847</v>
      </c>
      <c r="C713" s="767">
        <v>2689.25</v>
      </c>
      <c r="D713" s="767">
        <v>2689.25</v>
      </c>
      <c r="E713" s="767">
        <v>32257.74</v>
      </c>
      <c r="I713" s="767">
        <v>2689.25</v>
      </c>
    </row>
    <row r="714" spans="1:9">
      <c r="A714" s="828">
        <v>43902</v>
      </c>
      <c r="B714" t="s">
        <v>5848</v>
      </c>
      <c r="C714" s="767">
        <v>1560.34</v>
      </c>
      <c r="D714" s="767">
        <v>1560.34</v>
      </c>
      <c r="E714" s="767">
        <v>33818.080000000002</v>
      </c>
      <c r="I714" s="767">
        <v>1560.34</v>
      </c>
    </row>
    <row r="715" spans="1:9">
      <c r="A715" s="828">
        <v>43902</v>
      </c>
      <c r="B715" t="s">
        <v>5849</v>
      </c>
      <c r="C715" s="767">
        <v>2689.25</v>
      </c>
      <c r="D715" s="767">
        <v>2689.25</v>
      </c>
      <c r="E715" s="767">
        <v>36507.33</v>
      </c>
      <c r="I715" s="767">
        <v>2689.25</v>
      </c>
    </row>
    <row r="716" spans="1:9">
      <c r="A716" s="828">
        <v>43902</v>
      </c>
      <c r="B716" t="s">
        <v>5850</v>
      </c>
      <c r="C716" s="767">
        <v>1560.34</v>
      </c>
      <c r="D716" s="767">
        <v>1560.34</v>
      </c>
      <c r="E716" s="767">
        <v>38067.67</v>
      </c>
      <c r="I716" s="767">
        <v>1560.34</v>
      </c>
    </row>
    <row r="717" spans="1:9">
      <c r="A717" s="828">
        <v>43902</v>
      </c>
      <c r="B717" t="s">
        <v>5851</v>
      </c>
      <c r="C717" s="767">
        <v>2689.25</v>
      </c>
      <c r="D717" s="767">
        <v>2689.25</v>
      </c>
      <c r="E717" s="767">
        <v>40756.92</v>
      </c>
      <c r="I717" s="767">
        <v>2689.25</v>
      </c>
    </row>
    <row r="718" spans="1:9">
      <c r="A718" s="828">
        <v>43902</v>
      </c>
      <c r="B718" t="s">
        <v>5852</v>
      </c>
      <c r="C718" s="767">
        <v>1560.34</v>
      </c>
      <c r="D718" s="767">
        <v>1560.34</v>
      </c>
      <c r="E718" s="767">
        <v>42317.26</v>
      </c>
      <c r="I718" s="767">
        <v>1560.34</v>
      </c>
    </row>
    <row r="719" spans="1:9">
      <c r="A719" s="828">
        <v>43902</v>
      </c>
      <c r="B719" t="s">
        <v>5853</v>
      </c>
      <c r="C719" s="767">
        <v>2689.25</v>
      </c>
      <c r="D719" s="767">
        <v>2689.25</v>
      </c>
      <c r="E719" s="767">
        <v>45006.51</v>
      </c>
      <c r="I719" s="767">
        <v>2689.25</v>
      </c>
    </row>
    <row r="720" spans="1:9">
      <c r="A720" s="828">
        <v>43902</v>
      </c>
      <c r="B720" t="s">
        <v>5854</v>
      </c>
      <c r="C720" s="767">
        <v>1560.34</v>
      </c>
      <c r="D720" s="767">
        <v>1560.34</v>
      </c>
      <c r="E720" s="767">
        <v>46566.85</v>
      </c>
      <c r="I720" s="767">
        <v>1560.34</v>
      </c>
    </row>
    <row r="721" spans="1:9">
      <c r="A721" s="828">
        <v>43902</v>
      </c>
      <c r="B721" t="s">
        <v>5855</v>
      </c>
      <c r="C721" s="767">
        <v>2689.25</v>
      </c>
      <c r="D721" s="767">
        <v>2689.25</v>
      </c>
      <c r="E721" s="767">
        <v>49256.1</v>
      </c>
      <c r="I721" s="767">
        <v>2689.25</v>
      </c>
    </row>
    <row r="722" spans="1:9">
      <c r="A722" s="828">
        <v>43902</v>
      </c>
      <c r="B722" t="s">
        <v>5856</v>
      </c>
      <c r="C722" s="767">
        <v>1560.34</v>
      </c>
      <c r="D722" s="767">
        <v>1560.34</v>
      </c>
      <c r="E722" s="767">
        <v>50816.44</v>
      </c>
      <c r="I722" s="767">
        <v>1560.34</v>
      </c>
    </row>
    <row r="723" spans="1:9">
      <c r="A723" s="828">
        <v>44317</v>
      </c>
      <c r="B723" t="s">
        <v>6076</v>
      </c>
      <c r="C723" s="767">
        <v>5364.51</v>
      </c>
      <c r="D723" s="767">
        <v>5364.51</v>
      </c>
      <c r="E723" s="767">
        <v>56180.95</v>
      </c>
      <c r="I723" s="767">
        <v>5364.51</v>
      </c>
    </row>
    <row r="724" spans="1:9">
      <c r="A724" s="828">
        <v>44318</v>
      </c>
      <c r="B724" t="s">
        <v>6349</v>
      </c>
      <c r="C724" s="767">
        <v>4425.46</v>
      </c>
      <c r="D724" s="767">
        <v>4425.46</v>
      </c>
      <c r="E724" s="767">
        <v>60606.41</v>
      </c>
      <c r="I724" s="767">
        <v>4425.46</v>
      </c>
    </row>
    <row r="725" spans="1:9">
      <c r="A725" s="828">
        <v>44318</v>
      </c>
      <c r="B725" t="s">
        <v>6350</v>
      </c>
      <c r="C725" s="767">
        <v>5634.03</v>
      </c>
      <c r="D725" s="767">
        <v>5634.03</v>
      </c>
      <c r="E725" s="767">
        <v>66240.44</v>
      </c>
      <c r="I725" s="767">
        <v>5634.03</v>
      </c>
    </row>
    <row r="726" spans="1:9">
      <c r="A726" s="828">
        <v>44230</v>
      </c>
      <c r="B726" t="s">
        <v>6569</v>
      </c>
      <c r="C726" s="767">
        <v>6108.1</v>
      </c>
      <c r="D726" s="767">
        <v>6108.1</v>
      </c>
      <c r="E726" s="767">
        <v>72348.539999999994</v>
      </c>
      <c r="I726" s="767">
        <v>6108.1</v>
      </c>
    </row>
    <row r="727" spans="1:9">
      <c r="A727" s="828">
        <v>44230</v>
      </c>
      <c r="B727" t="s">
        <v>6570</v>
      </c>
      <c r="C727" s="767">
        <v>2879.57</v>
      </c>
      <c r="D727" s="767">
        <v>2879.57</v>
      </c>
      <c r="E727" s="767">
        <v>75228.11</v>
      </c>
      <c r="I727" s="767">
        <v>2879.57</v>
      </c>
    </row>
    <row r="728" spans="1:9">
      <c r="A728" s="828">
        <v>44230</v>
      </c>
      <c r="B728" t="s">
        <v>6571</v>
      </c>
      <c r="C728" s="767">
        <v>1545.89</v>
      </c>
      <c r="D728" s="767">
        <v>1545.89</v>
      </c>
      <c r="E728" s="767">
        <v>76774</v>
      </c>
      <c r="I728" s="767">
        <v>1545.89</v>
      </c>
    </row>
    <row r="729" spans="1:9">
      <c r="A729" s="828">
        <v>44200</v>
      </c>
      <c r="B729" t="s">
        <v>7045</v>
      </c>
      <c r="C729" s="767">
        <v>5805.66</v>
      </c>
      <c r="D729" s="767">
        <v>5805.66</v>
      </c>
      <c r="E729" s="767">
        <v>82579.66</v>
      </c>
      <c r="H729" s="767">
        <v>5805.66</v>
      </c>
    </row>
    <row r="731" spans="1:9">
      <c r="A731" t="s">
        <v>4216</v>
      </c>
      <c r="B731" s="767">
        <v>82579.66</v>
      </c>
      <c r="C731" s="767">
        <v>82579.66</v>
      </c>
      <c r="D731">
        <v>0</v>
      </c>
      <c r="E731">
        <v>0</v>
      </c>
      <c r="F731" s="767">
        <v>5805.66</v>
      </c>
      <c r="G731" s="767">
        <v>76774</v>
      </c>
    </row>
    <row r="733" spans="1:9">
      <c r="A733">
        <v>11621</v>
      </c>
      <c r="B733" t="s">
        <v>6351</v>
      </c>
    </row>
    <row r="734" spans="1:9">
      <c r="A734" s="828">
        <v>44288</v>
      </c>
      <c r="B734" t="s">
        <v>6352</v>
      </c>
      <c r="C734">
        <v>446.25</v>
      </c>
      <c r="D734">
        <v>446.25</v>
      </c>
      <c r="E734">
        <v>446.25</v>
      </c>
      <c r="I734">
        <v>446.25</v>
      </c>
    </row>
    <row r="736" spans="1:9">
      <c r="A736" t="s">
        <v>4216</v>
      </c>
      <c r="B736">
        <v>446.25</v>
      </c>
      <c r="C736">
        <v>446.25</v>
      </c>
      <c r="D736">
        <v>0</v>
      </c>
      <c r="E736">
        <v>0</v>
      </c>
      <c r="F736">
        <v>0</v>
      </c>
      <c r="G736">
        <v>446.25</v>
      </c>
    </row>
    <row r="738" spans="1:9">
      <c r="A738">
        <v>11626</v>
      </c>
      <c r="B738" t="s">
        <v>4508</v>
      </c>
    </row>
    <row r="739" spans="1:9">
      <c r="A739" t="s">
        <v>4509</v>
      </c>
      <c r="B739" t="s">
        <v>4510</v>
      </c>
      <c r="C739" s="767">
        <v>2539.5500000000002</v>
      </c>
      <c r="D739" s="767">
        <v>2539.5500000000002</v>
      </c>
      <c r="E739" s="767">
        <v>2539.5500000000002</v>
      </c>
      <c r="I739" s="767">
        <v>2539.5500000000002</v>
      </c>
    </row>
    <row r="740" spans="1:9">
      <c r="A740" s="828">
        <v>44351</v>
      </c>
      <c r="B740" t="s">
        <v>7046</v>
      </c>
      <c r="C740" s="767">
        <v>2919.88</v>
      </c>
      <c r="D740" s="767">
        <v>2919.88</v>
      </c>
      <c r="E740" s="767">
        <v>5459.43</v>
      </c>
      <c r="G740" s="767">
        <v>2919.88</v>
      </c>
    </row>
    <row r="742" spans="1:9">
      <c r="A742" t="s">
        <v>4216</v>
      </c>
      <c r="B742" s="767">
        <v>5459.43</v>
      </c>
      <c r="C742" s="767">
        <v>5459.43</v>
      </c>
      <c r="D742">
        <v>0</v>
      </c>
      <c r="E742" s="767">
        <v>2919.88</v>
      </c>
      <c r="F742">
        <v>0</v>
      </c>
      <c r="G742" s="767">
        <v>2539.5500000000002</v>
      </c>
    </row>
    <row r="744" spans="1:9">
      <c r="A744">
        <v>11669</v>
      </c>
      <c r="B744" t="s">
        <v>1837</v>
      </c>
    </row>
    <row r="745" spans="1:9">
      <c r="A745" s="828">
        <v>43232</v>
      </c>
      <c r="B745" t="s">
        <v>4511</v>
      </c>
      <c r="C745" s="767">
        <v>1840.82</v>
      </c>
      <c r="D745" s="767">
        <v>1840.82</v>
      </c>
      <c r="E745" s="767">
        <v>1840.82</v>
      </c>
      <c r="I745" s="767">
        <v>1840.82</v>
      </c>
    </row>
    <row r="746" spans="1:9">
      <c r="A746" s="828">
        <v>43411</v>
      </c>
      <c r="B746" t="s">
        <v>4512</v>
      </c>
      <c r="C746" s="767">
        <v>1950.52</v>
      </c>
      <c r="D746" s="767">
        <v>1950.52</v>
      </c>
      <c r="E746" s="767">
        <v>3791.34</v>
      </c>
      <c r="I746" s="767">
        <v>1950.52</v>
      </c>
    </row>
    <row r="747" spans="1:9">
      <c r="A747" s="828">
        <v>43230</v>
      </c>
      <c r="B747" t="s">
        <v>4513</v>
      </c>
      <c r="C747" s="767">
        <v>1848.76</v>
      </c>
      <c r="D747" s="767">
        <v>1848.76</v>
      </c>
      <c r="E747" s="767">
        <v>5640.1</v>
      </c>
      <c r="I747" s="767">
        <v>1848.76</v>
      </c>
    </row>
    <row r="748" spans="1:9">
      <c r="A748" t="s">
        <v>4441</v>
      </c>
      <c r="B748" t="s">
        <v>4514</v>
      </c>
      <c r="C748" s="767">
        <v>7987.99</v>
      </c>
      <c r="D748" s="767">
        <v>7987.99</v>
      </c>
      <c r="E748" s="767">
        <v>13628.09</v>
      </c>
      <c r="I748" s="767">
        <v>7987.99</v>
      </c>
    </row>
    <row r="749" spans="1:9">
      <c r="A749" s="828">
        <v>43353</v>
      </c>
      <c r="B749" t="s">
        <v>4515</v>
      </c>
      <c r="C749" s="767">
        <v>1441.74</v>
      </c>
      <c r="D749" s="767">
        <v>1441.74</v>
      </c>
      <c r="E749" s="767">
        <v>15069.83</v>
      </c>
      <c r="I749" s="767">
        <v>1441.74</v>
      </c>
    </row>
    <row r="750" spans="1:9">
      <c r="A750" s="828">
        <v>43292</v>
      </c>
      <c r="B750" t="s">
        <v>4516</v>
      </c>
      <c r="C750" s="767">
        <v>1407.82</v>
      </c>
      <c r="D750" s="767">
        <v>1407.82</v>
      </c>
      <c r="E750" s="767">
        <v>16477.650000000001</v>
      </c>
      <c r="I750" s="767">
        <v>1407.82</v>
      </c>
    </row>
    <row r="751" spans="1:9">
      <c r="A751" s="828">
        <v>43232</v>
      </c>
      <c r="B751" t="s">
        <v>4517</v>
      </c>
      <c r="C751" s="767">
        <v>1373.91</v>
      </c>
      <c r="D751" s="767">
        <v>1373.91</v>
      </c>
      <c r="E751" s="767">
        <v>17851.560000000001</v>
      </c>
      <c r="I751" s="767">
        <v>1373.91</v>
      </c>
    </row>
    <row r="752" spans="1:9">
      <c r="A752" s="828">
        <v>43739</v>
      </c>
      <c r="B752" t="s">
        <v>4518</v>
      </c>
      <c r="C752" s="767">
        <v>1407.82</v>
      </c>
      <c r="D752" s="767">
        <v>1407.82</v>
      </c>
      <c r="E752" s="767">
        <v>19259.38</v>
      </c>
      <c r="I752" s="767">
        <v>1407.82</v>
      </c>
    </row>
    <row r="753" spans="1:9">
      <c r="A753" s="828">
        <v>43648</v>
      </c>
      <c r="B753" t="s">
        <v>4519</v>
      </c>
      <c r="C753" s="767">
        <v>1505.18</v>
      </c>
      <c r="D753" s="767">
        <v>1505.18</v>
      </c>
      <c r="E753" s="767">
        <v>20764.560000000001</v>
      </c>
      <c r="I753" s="767">
        <v>1505.18</v>
      </c>
    </row>
    <row r="754" spans="1:9">
      <c r="A754" t="s">
        <v>4520</v>
      </c>
      <c r="B754" t="s">
        <v>4521</v>
      </c>
      <c r="C754" s="767">
        <v>1397.33</v>
      </c>
      <c r="D754" s="767">
        <v>1397.33</v>
      </c>
      <c r="E754" s="767">
        <v>22161.89</v>
      </c>
      <c r="I754" s="767">
        <v>1397.33</v>
      </c>
    </row>
    <row r="755" spans="1:9">
      <c r="A755" t="s">
        <v>4520</v>
      </c>
      <c r="B755" t="s">
        <v>4522</v>
      </c>
      <c r="C755" s="767">
        <v>1397.33</v>
      </c>
      <c r="D755" s="767">
        <v>1397.33</v>
      </c>
      <c r="E755" s="767">
        <v>23559.22</v>
      </c>
      <c r="I755" s="767">
        <v>1397.33</v>
      </c>
    </row>
    <row r="756" spans="1:9">
      <c r="A756" s="828">
        <v>43624</v>
      </c>
      <c r="B756" t="s">
        <v>4523</v>
      </c>
      <c r="C756" s="767">
        <v>1397.33</v>
      </c>
      <c r="D756" s="767">
        <v>1397.33</v>
      </c>
      <c r="E756" s="767">
        <v>24956.55</v>
      </c>
      <c r="I756" s="767">
        <v>1397.33</v>
      </c>
    </row>
    <row r="758" spans="1:9">
      <c r="A758" t="s">
        <v>4216</v>
      </c>
      <c r="B758" s="767">
        <v>24956.55</v>
      </c>
      <c r="C758" s="767">
        <v>24956.55</v>
      </c>
      <c r="D758">
        <v>0</v>
      </c>
      <c r="E758">
        <v>0</v>
      </c>
      <c r="F758">
        <v>0</v>
      </c>
      <c r="G758" s="767">
        <v>24956.55</v>
      </c>
    </row>
    <row r="760" spans="1:9">
      <c r="A760">
        <v>11671</v>
      </c>
      <c r="B760" t="s">
        <v>7047</v>
      </c>
    </row>
    <row r="761" spans="1:9">
      <c r="A761" s="828">
        <v>44200</v>
      </c>
      <c r="B761" t="s">
        <v>7048</v>
      </c>
      <c r="C761">
        <v>164.92</v>
      </c>
      <c r="D761">
        <v>164.92</v>
      </c>
      <c r="E761">
        <v>164.92</v>
      </c>
      <c r="H761">
        <v>164.92</v>
      </c>
    </row>
    <row r="762" spans="1:9">
      <c r="A762" s="828">
        <v>44200</v>
      </c>
      <c r="B762" t="s">
        <v>7049</v>
      </c>
      <c r="C762">
        <v>192.41</v>
      </c>
      <c r="D762">
        <v>192.41</v>
      </c>
      <c r="E762">
        <v>357.33</v>
      </c>
      <c r="H762">
        <v>192.41</v>
      </c>
    </row>
    <row r="763" spans="1:9">
      <c r="A763" s="828">
        <v>44200</v>
      </c>
      <c r="B763" t="s">
        <v>7050</v>
      </c>
      <c r="C763" s="767">
        <v>1215.5999999999999</v>
      </c>
      <c r="D763" s="767">
        <v>1215.5999999999999</v>
      </c>
      <c r="E763" s="767">
        <v>1572.93</v>
      </c>
      <c r="H763" s="767">
        <v>1215.5999999999999</v>
      </c>
    </row>
    <row r="764" spans="1:9">
      <c r="A764" s="828">
        <v>44200</v>
      </c>
      <c r="B764" t="s">
        <v>7051</v>
      </c>
      <c r="C764">
        <v>192.41</v>
      </c>
      <c r="D764">
        <v>192.41</v>
      </c>
      <c r="E764" s="767">
        <v>1765.34</v>
      </c>
      <c r="H764">
        <v>192.41</v>
      </c>
    </row>
    <row r="766" spans="1:9">
      <c r="A766" t="s">
        <v>4216</v>
      </c>
      <c r="B766" s="767">
        <v>1765.34</v>
      </c>
      <c r="C766" s="767">
        <v>1765.34</v>
      </c>
      <c r="D766">
        <v>0</v>
      </c>
      <c r="E766">
        <v>0</v>
      </c>
      <c r="F766" s="767">
        <v>1765.34</v>
      </c>
      <c r="G766">
        <v>0</v>
      </c>
    </row>
    <row r="768" spans="1:9">
      <c r="A768">
        <v>11677</v>
      </c>
      <c r="B768" t="s">
        <v>6077</v>
      </c>
    </row>
    <row r="769" spans="1:9">
      <c r="A769" t="s">
        <v>6977</v>
      </c>
      <c r="B769" t="s">
        <v>7052</v>
      </c>
      <c r="C769" s="767">
        <v>149528.06</v>
      </c>
      <c r="D769" s="767">
        <v>149528.06</v>
      </c>
      <c r="E769" s="767">
        <v>149528.06</v>
      </c>
      <c r="G769" s="767">
        <v>149528.06</v>
      </c>
    </row>
    <row r="770" spans="1:9">
      <c r="A770" t="s">
        <v>6977</v>
      </c>
      <c r="B770" t="s">
        <v>7053</v>
      </c>
      <c r="C770" s="767">
        <v>3755.6</v>
      </c>
      <c r="D770" s="767">
        <v>3755.6</v>
      </c>
      <c r="E770" s="767">
        <v>153283.66</v>
      </c>
      <c r="G770" s="767">
        <v>3755.6</v>
      </c>
    </row>
    <row r="772" spans="1:9">
      <c r="A772" t="s">
        <v>4216</v>
      </c>
      <c r="B772" s="767">
        <v>153283.66</v>
      </c>
      <c r="C772" s="767">
        <v>153283.66</v>
      </c>
      <c r="D772">
        <v>0</v>
      </c>
      <c r="E772" s="767">
        <v>153283.66</v>
      </c>
      <c r="F772">
        <v>0</v>
      </c>
      <c r="G772">
        <v>0</v>
      </c>
    </row>
    <row r="774" spans="1:9">
      <c r="A774">
        <v>11679</v>
      </c>
      <c r="B774" t="s">
        <v>7054</v>
      </c>
    </row>
    <row r="775" spans="1:9">
      <c r="A775" s="828">
        <v>44200</v>
      </c>
      <c r="B775" t="s">
        <v>7055</v>
      </c>
      <c r="C775" s="767">
        <v>35646.14</v>
      </c>
      <c r="D775" s="767">
        <v>35646.14</v>
      </c>
      <c r="E775" s="767">
        <v>35646.14</v>
      </c>
      <c r="H775" s="767">
        <v>35646.14</v>
      </c>
    </row>
    <row r="777" spans="1:9">
      <c r="A777" t="s">
        <v>4216</v>
      </c>
      <c r="B777" s="767">
        <v>35646.14</v>
      </c>
      <c r="C777" s="767">
        <v>35646.14</v>
      </c>
      <c r="D777">
        <v>0</v>
      </c>
      <c r="E777">
        <v>0</v>
      </c>
      <c r="F777" s="767">
        <v>35646.14</v>
      </c>
      <c r="G777">
        <v>0</v>
      </c>
    </row>
    <row r="779" spans="1:9">
      <c r="A779">
        <v>11689</v>
      </c>
      <c r="B779" t="s">
        <v>3407</v>
      </c>
    </row>
    <row r="780" spans="1:9">
      <c r="A780" s="828">
        <v>43739</v>
      </c>
      <c r="B780" t="s">
        <v>4524</v>
      </c>
      <c r="C780" s="767">
        <v>16729.52</v>
      </c>
      <c r="D780" s="767">
        <v>16729.52</v>
      </c>
      <c r="E780" s="767">
        <v>16729.52</v>
      </c>
      <c r="I780" s="767">
        <v>16729.52</v>
      </c>
    </row>
    <row r="781" spans="1:9">
      <c r="A781" t="s">
        <v>7012</v>
      </c>
      <c r="B781" t="s">
        <v>7056</v>
      </c>
      <c r="C781" s="767">
        <v>2831.2</v>
      </c>
      <c r="D781" s="767">
        <v>2831.2</v>
      </c>
      <c r="E781" s="767">
        <v>19560.72</v>
      </c>
      <c r="G781" s="767">
        <v>2831.2</v>
      </c>
    </row>
    <row r="783" spans="1:9">
      <c r="A783" t="s">
        <v>4216</v>
      </c>
      <c r="B783" s="767">
        <v>19560.72</v>
      </c>
      <c r="C783" s="767">
        <v>19560.72</v>
      </c>
      <c r="D783">
        <v>0</v>
      </c>
      <c r="E783" s="767">
        <v>2831.2</v>
      </c>
      <c r="F783">
        <v>0</v>
      </c>
      <c r="G783" s="767">
        <v>16729.52</v>
      </c>
    </row>
    <row r="785" spans="1:9">
      <c r="A785">
        <v>11691</v>
      </c>
      <c r="B785" t="s">
        <v>1842</v>
      </c>
    </row>
    <row r="786" spans="1:9">
      <c r="A786" s="828">
        <v>44200</v>
      </c>
      <c r="B786" t="s">
        <v>7057</v>
      </c>
      <c r="C786">
        <v>936.63</v>
      </c>
      <c r="D786">
        <v>936.63</v>
      </c>
      <c r="E786">
        <v>936.63</v>
      </c>
      <c r="H786">
        <v>936.63</v>
      </c>
    </row>
    <row r="787" spans="1:9">
      <c r="A787" s="828">
        <v>44200</v>
      </c>
      <c r="B787" t="s">
        <v>7058</v>
      </c>
      <c r="C787" s="767">
        <v>1044.5</v>
      </c>
      <c r="D787" s="767">
        <v>1044.5</v>
      </c>
      <c r="E787" s="767">
        <v>1981.13</v>
      </c>
      <c r="H787" s="767">
        <v>1044.5</v>
      </c>
    </row>
    <row r="789" spans="1:9">
      <c r="A789" t="s">
        <v>4216</v>
      </c>
      <c r="B789" s="767">
        <v>1981.13</v>
      </c>
      <c r="C789" s="767">
        <v>1981.13</v>
      </c>
      <c r="D789">
        <v>0</v>
      </c>
      <c r="E789">
        <v>0</v>
      </c>
      <c r="F789" s="767">
        <v>1981.13</v>
      </c>
      <c r="G789">
        <v>0</v>
      </c>
    </row>
    <row r="791" spans="1:9">
      <c r="A791">
        <v>11699</v>
      </c>
      <c r="B791" t="s">
        <v>3408</v>
      </c>
    </row>
    <row r="792" spans="1:9">
      <c r="A792" s="828">
        <v>43770</v>
      </c>
      <c r="B792" t="s">
        <v>4525</v>
      </c>
      <c r="C792">
        <v>251.34</v>
      </c>
      <c r="D792">
        <v>251.34</v>
      </c>
      <c r="E792">
        <v>251.34</v>
      </c>
      <c r="I792">
        <v>251.34</v>
      </c>
    </row>
    <row r="793" spans="1:9">
      <c r="A793" s="828">
        <v>43648</v>
      </c>
      <c r="B793" t="s">
        <v>4526</v>
      </c>
      <c r="C793">
        <v>181.67</v>
      </c>
      <c r="D793">
        <v>181.67</v>
      </c>
      <c r="E793">
        <v>433.01</v>
      </c>
      <c r="I793">
        <v>181.67</v>
      </c>
    </row>
    <row r="794" spans="1:9">
      <c r="A794" s="828">
        <v>44013</v>
      </c>
      <c r="B794" t="s">
        <v>4527</v>
      </c>
      <c r="C794">
        <v>134.94999999999999</v>
      </c>
      <c r="D794">
        <v>134.94999999999999</v>
      </c>
      <c r="E794">
        <v>567.96</v>
      </c>
      <c r="I794">
        <v>134.94999999999999</v>
      </c>
    </row>
    <row r="795" spans="1:9">
      <c r="A795" s="828">
        <v>44105</v>
      </c>
      <c r="B795" t="s">
        <v>4528</v>
      </c>
      <c r="C795">
        <v>111.57</v>
      </c>
      <c r="D795">
        <v>111.57</v>
      </c>
      <c r="E795">
        <v>679.53</v>
      </c>
      <c r="I795">
        <v>111.57</v>
      </c>
    </row>
    <row r="797" spans="1:9">
      <c r="A797" t="s">
        <v>4216</v>
      </c>
      <c r="B797">
        <v>679.53</v>
      </c>
      <c r="C797">
        <v>679.53</v>
      </c>
      <c r="D797">
        <v>0</v>
      </c>
      <c r="E797">
        <v>0</v>
      </c>
      <c r="F797">
        <v>0</v>
      </c>
      <c r="G797">
        <v>679.53</v>
      </c>
    </row>
    <row r="799" spans="1:9">
      <c r="A799">
        <v>11702</v>
      </c>
      <c r="B799" t="s">
        <v>3409</v>
      </c>
    </row>
    <row r="800" spans="1:9">
      <c r="A800" s="828">
        <v>43353</v>
      </c>
      <c r="B800" t="s">
        <v>4529</v>
      </c>
      <c r="C800" s="767">
        <v>1263.3599999999999</v>
      </c>
      <c r="D800" s="767">
        <v>1263.3599999999999</v>
      </c>
      <c r="E800" s="767">
        <v>1263.3599999999999</v>
      </c>
      <c r="I800" s="767">
        <v>1263.3599999999999</v>
      </c>
    </row>
    <row r="801" spans="1:9">
      <c r="A801" s="828">
        <v>44200</v>
      </c>
      <c r="B801" t="s">
        <v>7059</v>
      </c>
      <c r="C801" s="767">
        <v>1533.31</v>
      </c>
      <c r="D801" s="767">
        <v>1533.31</v>
      </c>
      <c r="E801" s="767">
        <v>2796.67</v>
      </c>
      <c r="H801" s="767">
        <v>1533.31</v>
      </c>
    </row>
    <row r="803" spans="1:9">
      <c r="A803" t="s">
        <v>4216</v>
      </c>
      <c r="B803" s="767">
        <v>2796.67</v>
      </c>
      <c r="C803" s="767">
        <v>2796.67</v>
      </c>
      <c r="D803">
        <v>0</v>
      </c>
      <c r="E803">
        <v>0</v>
      </c>
      <c r="F803" s="767">
        <v>1533.31</v>
      </c>
      <c r="G803" s="767">
        <v>1263.3599999999999</v>
      </c>
    </row>
    <row r="805" spans="1:9">
      <c r="A805">
        <v>11712</v>
      </c>
      <c r="B805" t="s">
        <v>3410</v>
      </c>
    </row>
    <row r="806" spans="1:9">
      <c r="A806" s="828">
        <v>43196</v>
      </c>
      <c r="B806" t="s">
        <v>4530</v>
      </c>
      <c r="C806" s="767">
        <v>4232.4799999999996</v>
      </c>
      <c r="D806" s="767">
        <v>4232.4799999999996</v>
      </c>
      <c r="E806" s="767">
        <v>4232.4799999999996</v>
      </c>
      <c r="I806" s="767">
        <v>4232.4799999999996</v>
      </c>
    </row>
    <row r="807" spans="1:9">
      <c r="A807" s="828">
        <v>43196</v>
      </c>
      <c r="B807" t="s">
        <v>4531</v>
      </c>
      <c r="C807" s="767">
        <v>2666.57</v>
      </c>
      <c r="D807" s="767">
        <v>2666.57</v>
      </c>
      <c r="E807" s="767">
        <v>6899.05</v>
      </c>
      <c r="I807" s="767">
        <v>2666.57</v>
      </c>
    </row>
    <row r="809" spans="1:9">
      <c r="A809" t="s">
        <v>4216</v>
      </c>
      <c r="B809" s="767">
        <v>6899.05</v>
      </c>
      <c r="C809" s="767">
        <v>6899.05</v>
      </c>
      <c r="D809">
        <v>0</v>
      </c>
      <c r="E809">
        <v>0</v>
      </c>
      <c r="F809">
        <v>0</v>
      </c>
      <c r="G809" s="767">
        <v>6899.05</v>
      </c>
    </row>
    <row r="811" spans="1:9">
      <c r="A811">
        <v>11736</v>
      </c>
      <c r="B811" t="s">
        <v>1030</v>
      </c>
    </row>
    <row r="812" spans="1:9">
      <c r="A812" s="828">
        <v>44288</v>
      </c>
      <c r="B812" t="s">
        <v>6353</v>
      </c>
      <c r="C812">
        <v>471.7</v>
      </c>
      <c r="D812">
        <v>471.7</v>
      </c>
      <c r="E812">
        <v>471.7</v>
      </c>
      <c r="I812">
        <v>471.7</v>
      </c>
    </row>
    <row r="813" spans="1:9">
      <c r="A813" s="828">
        <v>44230</v>
      </c>
      <c r="B813" t="s">
        <v>6572</v>
      </c>
      <c r="C813">
        <v>723</v>
      </c>
      <c r="D813">
        <v>723</v>
      </c>
      <c r="E813" s="767">
        <v>1194.7</v>
      </c>
      <c r="I813">
        <v>723</v>
      </c>
    </row>
    <row r="814" spans="1:9">
      <c r="A814" s="828">
        <v>44200</v>
      </c>
      <c r="B814" t="s">
        <v>7060</v>
      </c>
      <c r="C814">
        <v>678.21</v>
      </c>
      <c r="D814">
        <v>678.21</v>
      </c>
      <c r="E814" s="767">
        <v>1872.91</v>
      </c>
      <c r="H814">
        <v>678.21</v>
      </c>
    </row>
    <row r="816" spans="1:9">
      <c r="A816" t="s">
        <v>4216</v>
      </c>
      <c r="B816" s="767">
        <v>1872.91</v>
      </c>
      <c r="C816" s="767">
        <v>1872.91</v>
      </c>
      <c r="D816">
        <v>0</v>
      </c>
      <c r="E816">
        <v>0</v>
      </c>
      <c r="F816">
        <v>678.21</v>
      </c>
      <c r="G816" s="767">
        <v>1194.7</v>
      </c>
    </row>
    <row r="818" spans="1:9">
      <c r="A818">
        <v>11737</v>
      </c>
      <c r="B818" t="s">
        <v>1030</v>
      </c>
    </row>
    <row r="819" spans="1:9">
      <c r="A819" s="828">
        <v>44288</v>
      </c>
      <c r="B819" t="s">
        <v>6354</v>
      </c>
      <c r="C819" s="767">
        <v>4702.58</v>
      </c>
      <c r="D819" s="767">
        <v>4702.58</v>
      </c>
      <c r="E819" s="767">
        <v>4702.58</v>
      </c>
      <c r="I819" s="767">
        <v>4702.58</v>
      </c>
    </row>
    <row r="820" spans="1:9">
      <c r="A820" s="828">
        <v>44230</v>
      </c>
      <c r="B820" t="s">
        <v>6573</v>
      </c>
      <c r="C820" s="767">
        <v>2677.92</v>
      </c>
      <c r="D820" s="767">
        <v>2677.92</v>
      </c>
      <c r="E820" s="767">
        <v>7380.5</v>
      </c>
      <c r="I820" s="767">
        <v>2677.92</v>
      </c>
    </row>
    <row r="821" spans="1:9">
      <c r="A821" s="828">
        <v>44200</v>
      </c>
      <c r="B821" t="s">
        <v>7061</v>
      </c>
      <c r="C821" s="767">
        <v>2237.15</v>
      </c>
      <c r="D821" s="767">
        <v>2237.15</v>
      </c>
      <c r="E821" s="767">
        <v>9617.65</v>
      </c>
      <c r="H821" s="767">
        <v>2237.15</v>
      </c>
    </row>
    <row r="823" spans="1:9">
      <c r="A823" t="s">
        <v>4216</v>
      </c>
      <c r="B823" s="767">
        <v>9617.65</v>
      </c>
      <c r="C823" s="767">
        <v>9617.65</v>
      </c>
      <c r="D823">
        <v>0</v>
      </c>
      <c r="E823">
        <v>0</v>
      </c>
      <c r="F823" s="767">
        <v>2237.15</v>
      </c>
      <c r="G823" s="767">
        <v>7380.5</v>
      </c>
    </row>
    <row r="825" spans="1:9">
      <c r="A825">
        <v>11749</v>
      </c>
      <c r="B825" t="s">
        <v>3411</v>
      </c>
    </row>
    <row r="826" spans="1:9">
      <c r="A826" s="828">
        <v>43259</v>
      </c>
      <c r="B826" t="s">
        <v>4532</v>
      </c>
      <c r="C826">
        <v>434.51</v>
      </c>
      <c r="D826">
        <v>434.51</v>
      </c>
      <c r="E826">
        <v>434.51</v>
      </c>
      <c r="I826">
        <v>434.51</v>
      </c>
    </row>
    <row r="827" spans="1:9">
      <c r="A827" s="828">
        <v>43262</v>
      </c>
      <c r="B827" t="s">
        <v>4533</v>
      </c>
      <c r="C827">
        <v>960.75</v>
      </c>
      <c r="D827">
        <v>960.75</v>
      </c>
      <c r="E827" s="767">
        <v>1395.26</v>
      </c>
      <c r="I827">
        <v>960.75</v>
      </c>
    </row>
    <row r="828" spans="1:9">
      <c r="A828" s="828">
        <v>43202</v>
      </c>
      <c r="B828" t="s">
        <v>4534</v>
      </c>
      <c r="C828">
        <v>434.51</v>
      </c>
      <c r="D828">
        <v>434.51</v>
      </c>
      <c r="E828" s="767">
        <v>1829.77</v>
      </c>
      <c r="I828">
        <v>434.51</v>
      </c>
    </row>
    <row r="829" spans="1:9">
      <c r="A829" s="828">
        <v>43202</v>
      </c>
      <c r="B829" t="s">
        <v>4535</v>
      </c>
      <c r="C829">
        <v>960.75</v>
      </c>
      <c r="D829">
        <v>960.75</v>
      </c>
      <c r="E829" s="767">
        <v>2790.52</v>
      </c>
      <c r="I829">
        <v>960.75</v>
      </c>
    </row>
    <row r="830" spans="1:9">
      <c r="A830" s="828">
        <v>43202</v>
      </c>
      <c r="B830" t="s">
        <v>4536</v>
      </c>
      <c r="C830">
        <v>16.96</v>
      </c>
      <c r="D830">
        <v>16.96</v>
      </c>
      <c r="E830" s="767">
        <v>2807.48</v>
      </c>
      <c r="I830">
        <v>16.96</v>
      </c>
    </row>
    <row r="831" spans="1:9">
      <c r="A831" s="828">
        <v>43477</v>
      </c>
      <c r="B831" t="s">
        <v>4537</v>
      </c>
      <c r="C831">
        <v>475.8</v>
      </c>
      <c r="D831">
        <v>475.8</v>
      </c>
      <c r="E831" s="767">
        <v>3283.28</v>
      </c>
      <c r="I831">
        <v>475.8</v>
      </c>
    </row>
    <row r="832" spans="1:9">
      <c r="A832" s="828">
        <v>43927</v>
      </c>
      <c r="B832" t="s">
        <v>4538</v>
      </c>
      <c r="C832">
        <v>12.83</v>
      </c>
      <c r="D832">
        <v>12.83</v>
      </c>
      <c r="E832" s="767">
        <v>3296.11</v>
      </c>
      <c r="I832">
        <v>12.83</v>
      </c>
    </row>
    <row r="833" spans="1:9">
      <c r="A833" s="828">
        <v>43927</v>
      </c>
      <c r="B833" t="s">
        <v>4539</v>
      </c>
      <c r="C833">
        <v>659.03</v>
      </c>
      <c r="D833">
        <v>659.03</v>
      </c>
      <c r="E833" s="767">
        <v>3955.14</v>
      </c>
      <c r="I833">
        <v>659.03</v>
      </c>
    </row>
    <row r="834" spans="1:9">
      <c r="A834" t="s">
        <v>4490</v>
      </c>
      <c r="B834" t="s">
        <v>4540</v>
      </c>
      <c r="C834">
        <v>31.7</v>
      </c>
      <c r="D834">
        <v>31.7</v>
      </c>
      <c r="E834" s="767">
        <v>3986.84</v>
      </c>
      <c r="I834">
        <v>31.7</v>
      </c>
    </row>
    <row r="835" spans="1:9">
      <c r="A835" t="s">
        <v>4490</v>
      </c>
      <c r="B835" t="s">
        <v>4541</v>
      </c>
      <c r="C835" s="767">
        <v>1135.8399999999999</v>
      </c>
      <c r="D835" s="767">
        <v>1135.8399999999999</v>
      </c>
      <c r="E835" s="767">
        <v>5122.68</v>
      </c>
      <c r="I835" s="767">
        <v>1135.8399999999999</v>
      </c>
    </row>
    <row r="836" spans="1:9">
      <c r="A836" t="s">
        <v>4490</v>
      </c>
      <c r="B836" t="s">
        <v>4542</v>
      </c>
      <c r="C836">
        <v>659.03</v>
      </c>
      <c r="D836">
        <v>659.03</v>
      </c>
      <c r="E836" s="767">
        <v>5781.71</v>
      </c>
      <c r="I836">
        <v>659.03</v>
      </c>
    </row>
    <row r="837" spans="1:9">
      <c r="A837" s="828">
        <v>43930</v>
      </c>
      <c r="B837" t="s">
        <v>5396</v>
      </c>
      <c r="C837">
        <v>36.24</v>
      </c>
      <c r="D837">
        <v>36.24</v>
      </c>
      <c r="E837" s="767">
        <v>5817.95</v>
      </c>
      <c r="I837">
        <v>36.24</v>
      </c>
    </row>
    <row r="838" spans="1:9">
      <c r="A838" s="828">
        <v>43930</v>
      </c>
      <c r="B838" t="s">
        <v>5397</v>
      </c>
      <c r="C838" s="767">
        <v>1135.8399999999999</v>
      </c>
      <c r="D838" s="767">
        <v>1135.8399999999999</v>
      </c>
      <c r="E838" s="767">
        <v>6953.79</v>
      </c>
      <c r="I838" s="767">
        <v>1135.8399999999999</v>
      </c>
    </row>
    <row r="839" spans="1:9">
      <c r="A839" s="828">
        <v>43930</v>
      </c>
      <c r="B839" t="s">
        <v>5398</v>
      </c>
      <c r="C839">
        <v>659.03</v>
      </c>
      <c r="D839">
        <v>659.03</v>
      </c>
      <c r="E839" s="767">
        <v>7612.82</v>
      </c>
      <c r="I839">
        <v>659.03</v>
      </c>
    </row>
    <row r="840" spans="1:9">
      <c r="A840" s="828">
        <v>44200</v>
      </c>
      <c r="B840" t="s">
        <v>7062</v>
      </c>
      <c r="C840">
        <v>0.39</v>
      </c>
      <c r="D840">
        <v>0.39</v>
      </c>
      <c r="E840" s="767">
        <v>7613.21</v>
      </c>
      <c r="H840">
        <v>0.39</v>
      </c>
    </row>
    <row r="841" spans="1:9">
      <c r="A841" s="828">
        <v>44200</v>
      </c>
      <c r="B841" t="s">
        <v>7063</v>
      </c>
      <c r="C841">
        <v>652.91999999999996</v>
      </c>
      <c r="D841">
        <v>652.91999999999996</v>
      </c>
      <c r="E841" s="767">
        <v>8266.1299999999992</v>
      </c>
      <c r="H841">
        <v>652.91999999999996</v>
      </c>
    </row>
    <row r="842" spans="1:9">
      <c r="A842" s="828">
        <v>44200</v>
      </c>
      <c r="B842" t="s">
        <v>7064</v>
      </c>
      <c r="C842" s="767">
        <v>1216.21</v>
      </c>
      <c r="D842" s="767">
        <v>1216.21</v>
      </c>
      <c r="E842" s="767">
        <v>9482.34</v>
      </c>
      <c r="H842" s="767">
        <v>1216.21</v>
      </c>
    </row>
    <row r="844" spans="1:9">
      <c r="A844" t="s">
        <v>4216</v>
      </c>
      <c r="B844" s="767">
        <v>9482.34</v>
      </c>
      <c r="C844" s="767">
        <v>9482.34</v>
      </c>
      <c r="D844">
        <v>0</v>
      </c>
      <c r="E844">
        <v>0</v>
      </c>
      <c r="F844" s="767">
        <v>1869.52</v>
      </c>
      <c r="G844" s="767">
        <v>7612.82</v>
      </c>
    </row>
    <row r="846" spans="1:9">
      <c r="A846">
        <v>11752</v>
      </c>
      <c r="B846" t="s">
        <v>7065</v>
      </c>
    </row>
    <row r="847" spans="1:9">
      <c r="A847" s="828">
        <v>44200</v>
      </c>
      <c r="B847" t="s">
        <v>7066</v>
      </c>
      <c r="C847" s="767">
        <v>4390.62</v>
      </c>
      <c r="D847" s="767">
        <v>4390.62</v>
      </c>
      <c r="E847" s="767">
        <v>4390.62</v>
      </c>
      <c r="H847" s="767">
        <v>4390.62</v>
      </c>
    </row>
    <row r="849" spans="1:9">
      <c r="A849" t="s">
        <v>4216</v>
      </c>
      <c r="B849" s="767">
        <v>4390.62</v>
      </c>
      <c r="C849" s="767">
        <v>4390.62</v>
      </c>
      <c r="D849">
        <v>0</v>
      </c>
      <c r="E849">
        <v>0</v>
      </c>
      <c r="F849" s="767">
        <v>4390.62</v>
      </c>
      <c r="G849">
        <v>0</v>
      </c>
    </row>
    <row r="851" spans="1:9">
      <c r="A851">
        <v>11755</v>
      </c>
      <c r="B851" t="s">
        <v>4543</v>
      </c>
    </row>
    <row r="852" spans="1:9">
      <c r="A852" s="828">
        <v>43983</v>
      </c>
      <c r="B852" t="s">
        <v>4544</v>
      </c>
      <c r="C852">
        <v>295.83999999999997</v>
      </c>
      <c r="D852">
        <v>295.83999999999997</v>
      </c>
      <c r="E852">
        <v>295.83999999999997</v>
      </c>
      <c r="I852">
        <v>295.83999999999997</v>
      </c>
    </row>
    <row r="853" spans="1:9">
      <c r="A853" s="828">
        <v>44200</v>
      </c>
      <c r="B853" t="s">
        <v>7067</v>
      </c>
      <c r="C853">
        <v>411.22</v>
      </c>
      <c r="D853">
        <v>411.22</v>
      </c>
      <c r="E853">
        <v>707.06</v>
      </c>
      <c r="H853">
        <v>411.22</v>
      </c>
    </row>
    <row r="855" spans="1:9">
      <c r="A855" t="s">
        <v>4216</v>
      </c>
      <c r="B855">
        <v>707.06</v>
      </c>
      <c r="C855">
        <v>707.06</v>
      </c>
      <c r="D855">
        <v>0</v>
      </c>
      <c r="E855">
        <v>0</v>
      </c>
      <c r="F855">
        <v>411.22</v>
      </c>
      <c r="G855">
        <v>295.83999999999997</v>
      </c>
    </row>
    <row r="857" spans="1:9">
      <c r="A857">
        <v>11762</v>
      </c>
      <c r="B857" t="s">
        <v>1032</v>
      </c>
    </row>
    <row r="858" spans="1:9">
      <c r="A858" s="828">
        <v>43232</v>
      </c>
      <c r="B858" t="s">
        <v>4545</v>
      </c>
      <c r="C858" s="767">
        <v>1206.9100000000001</v>
      </c>
      <c r="D858" s="767">
        <v>1206.9100000000001</v>
      </c>
      <c r="E858" s="767">
        <v>1206.9100000000001</v>
      </c>
      <c r="I858" s="767">
        <v>1206.9100000000001</v>
      </c>
    </row>
    <row r="859" spans="1:9">
      <c r="A859" t="s">
        <v>4546</v>
      </c>
      <c r="B859" t="s">
        <v>4547</v>
      </c>
      <c r="C859" s="767">
        <v>1114.4000000000001</v>
      </c>
      <c r="D859" s="767">
        <v>1114.4000000000001</v>
      </c>
      <c r="E859" s="767">
        <v>2321.31</v>
      </c>
      <c r="I859" s="767">
        <v>1114.4000000000001</v>
      </c>
    </row>
    <row r="860" spans="1:9">
      <c r="A860" t="s">
        <v>4546</v>
      </c>
      <c r="B860" t="s">
        <v>4548</v>
      </c>
      <c r="C860">
        <v>415.21</v>
      </c>
      <c r="D860">
        <v>415.21</v>
      </c>
      <c r="E860" s="767">
        <v>2736.52</v>
      </c>
      <c r="I860">
        <v>415.21</v>
      </c>
    </row>
    <row r="862" spans="1:9">
      <c r="A862" t="s">
        <v>4216</v>
      </c>
      <c r="B862" s="767">
        <v>2736.52</v>
      </c>
      <c r="C862" s="767">
        <v>2736.52</v>
      </c>
      <c r="D862">
        <v>0</v>
      </c>
      <c r="E862">
        <v>0</v>
      </c>
      <c r="F862">
        <v>0</v>
      </c>
      <c r="G862" s="767">
        <v>2736.52</v>
      </c>
    </row>
    <row r="864" spans="1:9">
      <c r="A864">
        <v>11764</v>
      </c>
      <c r="B864" t="s">
        <v>5532</v>
      </c>
    </row>
    <row r="865" spans="1:9">
      <c r="A865" s="828">
        <v>44317</v>
      </c>
      <c r="B865" t="s">
        <v>6078</v>
      </c>
      <c r="C865" s="767">
        <v>16644.96</v>
      </c>
      <c r="D865" s="767">
        <v>16644.96</v>
      </c>
      <c r="E865" s="767">
        <v>16644.96</v>
      </c>
      <c r="I865" s="767">
        <v>16644.96</v>
      </c>
    </row>
    <row r="866" spans="1:9">
      <c r="A866" t="s">
        <v>6312</v>
      </c>
      <c r="B866" t="s">
        <v>6355</v>
      </c>
      <c r="C866" s="767">
        <v>24042.22</v>
      </c>
      <c r="D866" s="767">
        <v>24042.22</v>
      </c>
      <c r="E866" s="767">
        <v>40687.18</v>
      </c>
      <c r="I866" s="767">
        <v>24042.22</v>
      </c>
    </row>
    <row r="867" spans="1:9">
      <c r="A867" s="828">
        <v>44230</v>
      </c>
      <c r="B867" t="s">
        <v>6574</v>
      </c>
      <c r="C867" s="767">
        <v>20510.54</v>
      </c>
      <c r="D867" s="767">
        <v>20510.54</v>
      </c>
      <c r="E867" s="767">
        <v>61197.72</v>
      </c>
      <c r="I867" s="767">
        <v>20510.54</v>
      </c>
    </row>
    <row r="868" spans="1:9">
      <c r="A868" s="828">
        <v>44200</v>
      </c>
      <c r="B868" t="s">
        <v>7068</v>
      </c>
      <c r="C868" s="767">
        <v>2717.4</v>
      </c>
      <c r="D868" s="767">
        <v>2717.4</v>
      </c>
      <c r="E868" s="767">
        <v>63915.12</v>
      </c>
      <c r="H868" s="767">
        <v>2717.4</v>
      </c>
    </row>
    <row r="870" spans="1:9">
      <c r="A870" t="s">
        <v>4216</v>
      </c>
      <c r="B870" s="767">
        <v>63915.12</v>
      </c>
      <c r="C870" s="767">
        <v>63915.12</v>
      </c>
      <c r="D870">
        <v>0</v>
      </c>
      <c r="E870">
        <v>0</v>
      </c>
      <c r="F870" s="767">
        <v>2717.4</v>
      </c>
      <c r="G870" s="767">
        <v>61197.72</v>
      </c>
    </row>
    <row r="872" spans="1:9">
      <c r="A872">
        <v>11767</v>
      </c>
      <c r="B872" t="s">
        <v>4549</v>
      </c>
    </row>
    <row r="873" spans="1:9">
      <c r="A873" s="828">
        <v>44288</v>
      </c>
      <c r="B873" t="s">
        <v>6356</v>
      </c>
      <c r="C873" s="767">
        <v>1667.35</v>
      </c>
      <c r="D873" s="767">
        <v>1667.35</v>
      </c>
      <c r="E873" s="767">
        <v>1667.35</v>
      </c>
      <c r="I873" s="767">
        <v>1667.35</v>
      </c>
    </row>
    <row r="874" spans="1:9">
      <c r="A874" s="828">
        <v>44230</v>
      </c>
      <c r="B874" t="s">
        <v>6575</v>
      </c>
      <c r="C874" s="767">
        <v>2321.36</v>
      </c>
      <c r="D874" s="767">
        <v>2321.36</v>
      </c>
      <c r="E874" s="767">
        <v>3988.71</v>
      </c>
      <c r="I874" s="767">
        <v>2321.36</v>
      </c>
    </row>
    <row r="875" spans="1:9">
      <c r="A875" s="828">
        <v>44200</v>
      </c>
      <c r="B875" t="s">
        <v>7069</v>
      </c>
      <c r="C875" s="767">
        <v>2025.27</v>
      </c>
      <c r="D875" s="767">
        <v>2025.27</v>
      </c>
      <c r="E875" s="767">
        <v>6013.98</v>
      </c>
      <c r="H875" s="767">
        <v>2025.27</v>
      </c>
    </row>
    <row r="877" spans="1:9">
      <c r="A877" t="s">
        <v>4216</v>
      </c>
      <c r="B877" s="767">
        <v>6013.98</v>
      </c>
      <c r="C877" s="767">
        <v>6013.98</v>
      </c>
      <c r="D877">
        <v>0</v>
      </c>
      <c r="E877">
        <v>0</v>
      </c>
      <c r="F877" s="767">
        <v>2025.27</v>
      </c>
      <c r="G877" s="767">
        <v>3988.71</v>
      </c>
    </row>
    <row r="879" spans="1:9">
      <c r="A879">
        <v>11768</v>
      </c>
      <c r="B879" t="s">
        <v>2069</v>
      </c>
    </row>
    <row r="880" spans="1:9">
      <c r="A880" t="s">
        <v>6977</v>
      </c>
      <c r="B880" t="s">
        <v>7070</v>
      </c>
      <c r="C880" s="767">
        <v>20203.11</v>
      </c>
      <c r="D880" s="767">
        <v>20203.11</v>
      </c>
      <c r="E880" s="767">
        <v>20203.11</v>
      </c>
      <c r="G880" s="767">
        <v>20203.11</v>
      </c>
    </row>
    <row r="881" spans="1:9">
      <c r="A881" t="s">
        <v>6977</v>
      </c>
      <c r="B881" t="s">
        <v>7071</v>
      </c>
      <c r="C881" s="767">
        <v>2061.56</v>
      </c>
      <c r="D881" s="767">
        <v>2061.56</v>
      </c>
      <c r="E881" s="767">
        <v>22264.67</v>
      </c>
      <c r="G881" s="767">
        <v>2061.56</v>
      </c>
    </row>
    <row r="882" spans="1:9">
      <c r="A882" t="s">
        <v>6977</v>
      </c>
      <c r="B882" t="s">
        <v>7072</v>
      </c>
      <c r="C882" s="767">
        <v>23251.61</v>
      </c>
      <c r="D882" s="767">
        <v>23251.61</v>
      </c>
      <c r="E882" s="767">
        <v>45516.28</v>
      </c>
      <c r="G882" s="767">
        <v>23251.61</v>
      </c>
    </row>
    <row r="883" spans="1:9">
      <c r="A883" t="s">
        <v>6977</v>
      </c>
      <c r="B883" t="s">
        <v>7073</v>
      </c>
      <c r="C883">
        <v>302.36</v>
      </c>
      <c r="D883">
        <v>302.36</v>
      </c>
      <c r="E883" s="767">
        <v>45818.64</v>
      </c>
      <c r="G883">
        <v>302.36</v>
      </c>
    </row>
    <row r="885" spans="1:9">
      <c r="A885" t="s">
        <v>4216</v>
      </c>
      <c r="B885" s="767">
        <v>45818.64</v>
      </c>
      <c r="C885" s="767">
        <v>45818.64</v>
      </c>
      <c r="D885">
        <v>0</v>
      </c>
      <c r="E885" s="767">
        <v>45818.64</v>
      </c>
      <c r="F885">
        <v>0</v>
      </c>
      <c r="G885">
        <v>0</v>
      </c>
    </row>
    <row r="887" spans="1:9">
      <c r="A887">
        <v>11769</v>
      </c>
      <c r="B887" t="s">
        <v>5458</v>
      </c>
    </row>
    <row r="888" spans="1:9">
      <c r="A888" s="828">
        <v>44200</v>
      </c>
      <c r="B888" t="s">
        <v>7074</v>
      </c>
      <c r="C888">
        <v>241.01</v>
      </c>
      <c r="D888">
        <v>241.01</v>
      </c>
      <c r="E888">
        <v>241.01</v>
      </c>
      <c r="H888">
        <v>241.01</v>
      </c>
    </row>
    <row r="890" spans="1:9">
      <c r="A890" t="s">
        <v>4216</v>
      </c>
      <c r="B890">
        <v>241.01</v>
      </c>
      <c r="C890">
        <v>241.01</v>
      </c>
      <c r="D890">
        <v>0</v>
      </c>
      <c r="E890">
        <v>0</v>
      </c>
      <c r="F890">
        <v>241.01</v>
      </c>
      <c r="G890">
        <v>0</v>
      </c>
    </row>
    <row r="892" spans="1:9">
      <c r="A892">
        <v>11770</v>
      </c>
      <c r="B892" t="s">
        <v>5459</v>
      </c>
    </row>
    <row r="893" spans="1:9">
      <c r="A893" s="828">
        <v>44230</v>
      </c>
      <c r="B893" t="s">
        <v>6576</v>
      </c>
      <c r="C893">
        <v>122.1</v>
      </c>
      <c r="D893">
        <v>122.1</v>
      </c>
      <c r="E893">
        <v>122.1</v>
      </c>
      <c r="I893">
        <v>122.1</v>
      </c>
    </row>
    <row r="894" spans="1:9">
      <c r="A894" s="828">
        <v>44200</v>
      </c>
      <c r="B894" t="s">
        <v>7075</v>
      </c>
      <c r="C894">
        <v>161.72999999999999</v>
      </c>
      <c r="D894">
        <v>161.72999999999999</v>
      </c>
      <c r="E894">
        <v>283.83</v>
      </c>
      <c r="H894">
        <v>161.72999999999999</v>
      </c>
    </row>
    <row r="896" spans="1:9">
      <c r="A896" t="s">
        <v>4216</v>
      </c>
      <c r="B896">
        <v>283.83</v>
      </c>
      <c r="C896">
        <v>283.83</v>
      </c>
      <c r="D896">
        <v>0</v>
      </c>
      <c r="E896">
        <v>0</v>
      </c>
      <c r="F896">
        <v>161.72999999999999</v>
      </c>
      <c r="G896">
        <v>122.1</v>
      </c>
    </row>
    <row r="898" spans="1:9">
      <c r="A898">
        <v>11773</v>
      </c>
      <c r="B898" t="s">
        <v>7076</v>
      </c>
    </row>
    <row r="899" spans="1:9">
      <c r="A899" s="828">
        <v>44200</v>
      </c>
      <c r="B899" t="s">
        <v>7077</v>
      </c>
      <c r="C899" s="767">
        <v>9881.39</v>
      </c>
      <c r="D899" s="767">
        <v>9881.39</v>
      </c>
      <c r="E899" s="767">
        <v>9881.39</v>
      </c>
      <c r="H899" s="767">
        <v>9881.39</v>
      </c>
    </row>
    <row r="901" spans="1:9">
      <c r="A901" t="s">
        <v>4216</v>
      </c>
      <c r="B901" s="767">
        <v>9881.39</v>
      </c>
      <c r="C901" s="767">
        <v>9881.39</v>
      </c>
      <c r="D901">
        <v>0</v>
      </c>
      <c r="E901">
        <v>0</v>
      </c>
      <c r="F901" s="767">
        <v>9881.39</v>
      </c>
      <c r="G901">
        <v>0</v>
      </c>
    </row>
    <row r="903" spans="1:9">
      <c r="A903">
        <v>11776</v>
      </c>
      <c r="B903" t="s">
        <v>2074</v>
      </c>
    </row>
    <row r="904" spans="1:9">
      <c r="A904" s="828">
        <v>44200</v>
      </c>
      <c r="B904" t="s">
        <v>7078</v>
      </c>
      <c r="C904" s="767">
        <v>1649.24</v>
      </c>
      <c r="D904" s="767">
        <v>1649.24</v>
      </c>
      <c r="E904" s="767">
        <v>1649.24</v>
      </c>
      <c r="H904" s="767">
        <v>1649.24</v>
      </c>
    </row>
    <row r="905" spans="1:9">
      <c r="A905" s="828">
        <v>44200</v>
      </c>
      <c r="B905" t="s">
        <v>7079</v>
      </c>
      <c r="C905" s="767">
        <v>16433.32</v>
      </c>
      <c r="D905" s="767">
        <v>16433.32</v>
      </c>
      <c r="E905" s="767">
        <v>18082.560000000001</v>
      </c>
      <c r="H905" s="767">
        <v>16433.32</v>
      </c>
    </row>
    <row r="907" spans="1:9">
      <c r="A907" t="s">
        <v>4216</v>
      </c>
      <c r="B907" s="767">
        <v>18082.560000000001</v>
      </c>
      <c r="C907" s="767">
        <v>18082.560000000001</v>
      </c>
      <c r="D907">
        <v>0</v>
      </c>
      <c r="E907">
        <v>0</v>
      </c>
      <c r="F907" s="767">
        <v>18082.560000000001</v>
      </c>
      <c r="G907">
        <v>0</v>
      </c>
    </row>
    <row r="909" spans="1:9">
      <c r="A909">
        <v>11779</v>
      </c>
      <c r="B909" t="s">
        <v>1184</v>
      </c>
    </row>
    <row r="910" spans="1:9">
      <c r="A910" t="s">
        <v>4441</v>
      </c>
      <c r="B910" t="s">
        <v>4550</v>
      </c>
      <c r="C910">
        <v>841.26</v>
      </c>
      <c r="D910">
        <v>841.26</v>
      </c>
      <c r="E910">
        <v>841.26</v>
      </c>
      <c r="I910">
        <v>841.26</v>
      </c>
    </row>
    <row r="911" spans="1:9">
      <c r="A911" s="828">
        <v>43353</v>
      </c>
      <c r="B911" t="s">
        <v>4551</v>
      </c>
      <c r="C911">
        <v>841.26</v>
      </c>
      <c r="D911">
        <v>841.26</v>
      </c>
      <c r="E911" s="767">
        <v>1682.52</v>
      </c>
      <c r="I911">
        <v>841.26</v>
      </c>
    </row>
    <row r="912" spans="1:9">
      <c r="A912" s="828">
        <v>43232</v>
      </c>
      <c r="B912" t="s">
        <v>4552</v>
      </c>
      <c r="C912">
        <v>841.26</v>
      </c>
      <c r="D912">
        <v>841.26</v>
      </c>
      <c r="E912" s="767">
        <v>2523.7800000000002</v>
      </c>
      <c r="I912">
        <v>841.26</v>
      </c>
    </row>
    <row r="914" spans="1:9">
      <c r="A914" t="s">
        <v>4216</v>
      </c>
      <c r="B914" s="767">
        <v>2523.7800000000002</v>
      </c>
      <c r="C914" s="767">
        <v>2523.7800000000002</v>
      </c>
      <c r="D914">
        <v>0</v>
      </c>
      <c r="E914">
        <v>0</v>
      </c>
      <c r="F914">
        <v>0</v>
      </c>
      <c r="G914" s="767">
        <v>2523.7800000000002</v>
      </c>
    </row>
    <row r="916" spans="1:9">
      <c r="A916">
        <v>11784</v>
      </c>
      <c r="B916" t="s">
        <v>2169</v>
      </c>
    </row>
    <row r="917" spans="1:9">
      <c r="A917" s="828">
        <v>43558</v>
      </c>
      <c r="B917" t="s">
        <v>4553</v>
      </c>
      <c r="C917" s="767">
        <v>3838.26</v>
      </c>
      <c r="D917" s="767">
        <v>3838.26</v>
      </c>
      <c r="E917" s="767">
        <v>3838.26</v>
      </c>
      <c r="I917" s="767">
        <v>3838.26</v>
      </c>
    </row>
    <row r="918" spans="1:9">
      <c r="A918" s="828">
        <v>44200</v>
      </c>
      <c r="B918" t="s">
        <v>7080</v>
      </c>
      <c r="C918" s="767">
        <v>5565.88</v>
      </c>
      <c r="D918" s="767">
        <v>5565.88</v>
      </c>
      <c r="E918" s="767">
        <v>9404.14</v>
      </c>
      <c r="H918" s="767">
        <v>5565.88</v>
      </c>
    </row>
    <row r="920" spans="1:9">
      <c r="A920" t="s">
        <v>4216</v>
      </c>
      <c r="B920" s="767">
        <v>9404.14</v>
      </c>
      <c r="C920" s="767">
        <v>9404.14</v>
      </c>
      <c r="D920">
        <v>0</v>
      </c>
      <c r="E920">
        <v>0</v>
      </c>
      <c r="F920" s="767">
        <v>5565.88</v>
      </c>
      <c r="G920" s="767">
        <v>3838.26</v>
      </c>
    </row>
    <row r="922" spans="1:9">
      <c r="A922">
        <v>11790</v>
      </c>
      <c r="B922" t="s">
        <v>1302</v>
      </c>
    </row>
    <row r="923" spans="1:9">
      <c r="A923" s="828">
        <v>44200</v>
      </c>
      <c r="B923" t="s">
        <v>7081</v>
      </c>
      <c r="C923" s="767">
        <v>24544.57</v>
      </c>
      <c r="D923" s="767">
        <v>24544.57</v>
      </c>
      <c r="E923" s="767">
        <v>24544.57</v>
      </c>
      <c r="H923" s="767">
        <v>24544.57</v>
      </c>
    </row>
    <row r="925" spans="1:9">
      <c r="A925" t="s">
        <v>4216</v>
      </c>
      <c r="B925" s="767">
        <v>24544.57</v>
      </c>
      <c r="C925" s="767">
        <v>24544.57</v>
      </c>
      <c r="D925">
        <v>0</v>
      </c>
      <c r="E925">
        <v>0</v>
      </c>
      <c r="F925" s="767">
        <v>24544.57</v>
      </c>
      <c r="G925">
        <v>0</v>
      </c>
    </row>
    <row r="927" spans="1:9">
      <c r="A927">
        <v>11797</v>
      </c>
      <c r="B927" t="s">
        <v>6079</v>
      </c>
    </row>
    <row r="928" spans="1:9">
      <c r="A928" s="828">
        <v>44230</v>
      </c>
      <c r="B928" t="s">
        <v>6577</v>
      </c>
      <c r="C928">
        <v>995.5</v>
      </c>
      <c r="D928">
        <v>995.5</v>
      </c>
      <c r="E928">
        <v>995.5</v>
      </c>
      <c r="I928">
        <v>995.5</v>
      </c>
    </row>
    <row r="929" spans="1:9">
      <c r="A929" t="s">
        <v>7082</v>
      </c>
      <c r="B929" t="s">
        <v>7083</v>
      </c>
      <c r="C929">
        <v>673.83</v>
      </c>
      <c r="D929">
        <v>673.83</v>
      </c>
      <c r="E929" s="767">
        <v>1669.33</v>
      </c>
      <c r="G929">
        <v>673.83</v>
      </c>
    </row>
    <row r="931" spans="1:9">
      <c r="A931" t="s">
        <v>4216</v>
      </c>
      <c r="B931" s="767">
        <v>1669.33</v>
      </c>
      <c r="C931" s="767">
        <v>1669.33</v>
      </c>
      <c r="D931">
        <v>0</v>
      </c>
      <c r="E931">
        <v>673.83</v>
      </c>
      <c r="F931">
        <v>0</v>
      </c>
      <c r="G931">
        <v>995.5</v>
      </c>
    </row>
    <row r="933" spans="1:9">
      <c r="A933">
        <v>11801</v>
      </c>
      <c r="B933" t="s">
        <v>2082</v>
      </c>
    </row>
    <row r="934" spans="1:9">
      <c r="A934" s="828">
        <v>43411</v>
      </c>
      <c r="B934" t="s">
        <v>4554</v>
      </c>
      <c r="C934" s="767">
        <v>3057.27</v>
      </c>
      <c r="D934" s="767">
        <v>3057.27</v>
      </c>
      <c r="E934" s="767">
        <v>3057.27</v>
      </c>
      <c r="I934" s="767">
        <v>3057.27</v>
      </c>
    </row>
    <row r="936" spans="1:9">
      <c r="A936" t="s">
        <v>4216</v>
      </c>
      <c r="B936" s="767">
        <v>3057.27</v>
      </c>
      <c r="C936" s="767">
        <v>3057.27</v>
      </c>
      <c r="D936">
        <v>0</v>
      </c>
      <c r="E936">
        <v>0</v>
      </c>
      <c r="F936">
        <v>0</v>
      </c>
      <c r="G936" s="767">
        <v>3057.27</v>
      </c>
    </row>
    <row r="938" spans="1:9">
      <c r="A938">
        <v>11802</v>
      </c>
      <c r="B938" t="s">
        <v>3412</v>
      </c>
    </row>
    <row r="939" spans="1:9">
      <c r="A939" s="828">
        <v>44288</v>
      </c>
      <c r="B939" t="s">
        <v>6357</v>
      </c>
      <c r="C939" s="767">
        <v>8667.61</v>
      </c>
      <c r="D939" s="767">
        <v>8667.61</v>
      </c>
      <c r="E939" s="767">
        <v>8667.61</v>
      </c>
      <c r="I939" s="767">
        <v>8667.61</v>
      </c>
    </row>
    <row r="940" spans="1:9">
      <c r="A940" s="828">
        <v>44230</v>
      </c>
      <c r="B940" t="s">
        <v>6578</v>
      </c>
      <c r="C940" s="767">
        <v>18344.64</v>
      </c>
      <c r="D940" s="767">
        <v>18344.64</v>
      </c>
      <c r="E940" s="767">
        <v>27012.25</v>
      </c>
      <c r="I940" s="767">
        <v>18344.64</v>
      </c>
    </row>
    <row r="941" spans="1:9">
      <c r="A941" s="828">
        <v>44200</v>
      </c>
      <c r="B941" t="s">
        <v>7084</v>
      </c>
      <c r="C941" s="767">
        <v>19389.080000000002</v>
      </c>
      <c r="D941" s="767">
        <v>19389.080000000002</v>
      </c>
      <c r="E941" s="767">
        <v>46401.33</v>
      </c>
      <c r="H941" s="767">
        <v>19389.080000000002</v>
      </c>
    </row>
    <row r="943" spans="1:9">
      <c r="A943" t="s">
        <v>4216</v>
      </c>
      <c r="B943" s="767">
        <v>46401.33</v>
      </c>
      <c r="C943" s="767">
        <v>46401.33</v>
      </c>
      <c r="D943">
        <v>0</v>
      </c>
      <c r="E943">
        <v>0</v>
      </c>
      <c r="F943" s="767">
        <v>19389.080000000002</v>
      </c>
      <c r="G943" s="767">
        <v>27012.25</v>
      </c>
    </row>
    <row r="945" spans="1:9">
      <c r="A945">
        <v>11805</v>
      </c>
      <c r="B945" t="s">
        <v>7085</v>
      </c>
    </row>
    <row r="946" spans="1:9">
      <c r="A946" s="828">
        <v>44200</v>
      </c>
      <c r="B946" t="s">
        <v>7086</v>
      </c>
      <c r="C946">
        <v>697.22</v>
      </c>
      <c r="D946">
        <v>697.22</v>
      </c>
      <c r="E946">
        <v>697.22</v>
      </c>
      <c r="H946">
        <v>697.22</v>
      </c>
    </row>
    <row r="947" spans="1:9">
      <c r="A947" s="828">
        <v>44200</v>
      </c>
      <c r="B947" t="s">
        <v>7087</v>
      </c>
      <c r="C947" s="767">
        <v>2941.15</v>
      </c>
      <c r="D947" s="767">
        <v>2941.15</v>
      </c>
      <c r="E947" s="767">
        <v>3638.37</v>
      </c>
      <c r="H947" s="767">
        <v>2941.15</v>
      </c>
    </row>
    <row r="949" spans="1:9">
      <c r="A949" t="s">
        <v>4216</v>
      </c>
      <c r="B949" s="767">
        <v>3638.37</v>
      </c>
      <c r="C949" s="767">
        <v>3638.37</v>
      </c>
      <c r="D949">
        <v>0</v>
      </c>
      <c r="E949">
        <v>0</v>
      </c>
      <c r="F949" s="767">
        <v>3638.37</v>
      </c>
      <c r="G949">
        <v>0</v>
      </c>
    </row>
    <row r="951" spans="1:9">
      <c r="A951">
        <v>11806</v>
      </c>
      <c r="B951" t="s">
        <v>3413</v>
      </c>
    </row>
    <row r="952" spans="1:9">
      <c r="A952" s="828">
        <v>43893</v>
      </c>
      <c r="B952" t="s">
        <v>4555</v>
      </c>
      <c r="C952">
        <v>392.51</v>
      </c>
      <c r="D952">
        <v>392.51</v>
      </c>
      <c r="E952">
        <v>392.51</v>
      </c>
      <c r="I952">
        <v>392.51</v>
      </c>
    </row>
    <row r="954" spans="1:9">
      <c r="A954" t="s">
        <v>4216</v>
      </c>
      <c r="B954">
        <v>392.51</v>
      </c>
      <c r="C954">
        <v>392.51</v>
      </c>
      <c r="D954">
        <v>0</v>
      </c>
      <c r="E954">
        <v>0</v>
      </c>
      <c r="F954">
        <v>0</v>
      </c>
      <c r="G954">
        <v>392.51</v>
      </c>
    </row>
    <row r="956" spans="1:9">
      <c r="A956">
        <v>11809</v>
      </c>
      <c r="B956" t="s">
        <v>3414</v>
      </c>
    </row>
    <row r="957" spans="1:9">
      <c r="A957" s="828">
        <v>43232</v>
      </c>
      <c r="B957" t="s">
        <v>4556</v>
      </c>
      <c r="C957" s="767">
        <v>1163.31</v>
      </c>
      <c r="D957" s="767">
        <v>1163.31</v>
      </c>
      <c r="E957" s="767">
        <v>1163.31</v>
      </c>
      <c r="I957" s="767">
        <v>1163.31</v>
      </c>
    </row>
    <row r="958" spans="1:9">
      <c r="A958" t="s">
        <v>4441</v>
      </c>
      <c r="B958" t="s">
        <v>4557</v>
      </c>
      <c r="C958" s="767">
        <v>1159.92</v>
      </c>
      <c r="D958" s="767">
        <v>1159.92</v>
      </c>
      <c r="E958" s="767">
        <v>2323.23</v>
      </c>
      <c r="I958" s="767">
        <v>1159.92</v>
      </c>
    </row>
    <row r="960" spans="1:9">
      <c r="A960" t="s">
        <v>4216</v>
      </c>
      <c r="B960" s="767">
        <v>2323.23</v>
      </c>
      <c r="C960" s="767">
        <v>2323.23</v>
      </c>
      <c r="D960">
        <v>0</v>
      </c>
      <c r="E960">
        <v>0</v>
      </c>
      <c r="F960">
        <v>0</v>
      </c>
      <c r="G960" s="767">
        <v>2323.23</v>
      </c>
    </row>
    <row r="962" spans="1:9">
      <c r="A962">
        <v>11811</v>
      </c>
      <c r="B962" t="s">
        <v>3415</v>
      </c>
    </row>
    <row r="963" spans="1:9">
      <c r="A963" s="828">
        <v>43232</v>
      </c>
      <c r="B963" t="s">
        <v>4558</v>
      </c>
      <c r="C963" s="767">
        <v>5917.69</v>
      </c>
      <c r="D963" s="767">
        <v>5917.69</v>
      </c>
      <c r="E963" s="767">
        <v>5917.69</v>
      </c>
      <c r="I963" s="767">
        <v>5917.69</v>
      </c>
    </row>
    <row r="964" spans="1:9">
      <c r="A964" s="828">
        <v>43232</v>
      </c>
      <c r="B964" t="s">
        <v>4559</v>
      </c>
      <c r="C964" s="767">
        <v>5155.43</v>
      </c>
      <c r="D964" s="767">
        <v>5155.43</v>
      </c>
      <c r="E964" s="767">
        <v>11073.12</v>
      </c>
      <c r="I964" s="767">
        <v>5155.43</v>
      </c>
    </row>
    <row r="965" spans="1:9">
      <c r="A965" t="s">
        <v>4560</v>
      </c>
      <c r="B965" t="s">
        <v>4561</v>
      </c>
      <c r="C965" s="767">
        <v>5569</v>
      </c>
      <c r="D965" s="767">
        <v>5569</v>
      </c>
      <c r="E965" s="767">
        <v>16642.12</v>
      </c>
      <c r="I965" s="767">
        <v>5569</v>
      </c>
    </row>
    <row r="966" spans="1:9">
      <c r="A966" s="828">
        <v>43836</v>
      </c>
      <c r="B966" t="s">
        <v>4562</v>
      </c>
      <c r="C966" s="767">
        <v>5391.97</v>
      </c>
      <c r="D966" s="767">
        <v>5391.97</v>
      </c>
      <c r="E966" s="767">
        <v>22034.09</v>
      </c>
      <c r="I966" s="767">
        <v>5391.97</v>
      </c>
    </row>
    <row r="967" spans="1:9">
      <c r="A967" s="828">
        <v>43837</v>
      </c>
      <c r="B967" t="s">
        <v>4563</v>
      </c>
      <c r="C967" s="767">
        <v>7218.52</v>
      </c>
      <c r="D967" s="767">
        <v>7218.52</v>
      </c>
      <c r="E967" s="767">
        <v>29252.61</v>
      </c>
      <c r="I967" s="767">
        <v>7218.52</v>
      </c>
    </row>
    <row r="968" spans="1:9">
      <c r="A968" s="828">
        <v>43898</v>
      </c>
      <c r="B968" t="s">
        <v>4564</v>
      </c>
      <c r="C968" s="767">
        <v>5830.96</v>
      </c>
      <c r="D968" s="767">
        <v>5830.96</v>
      </c>
      <c r="E968" s="767">
        <v>35083.57</v>
      </c>
      <c r="I968" s="767">
        <v>5830.96</v>
      </c>
    </row>
    <row r="969" spans="1:9">
      <c r="A969" s="828">
        <v>43870</v>
      </c>
      <c r="B969" t="s">
        <v>5399</v>
      </c>
      <c r="C969" s="767">
        <v>5465.19</v>
      </c>
      <c r="D969" s="767">
        <v>5465.19</v>
      </c>
      <c r="E969" s="767">
        <v>40548.76</v>
      </c>
      <c r="I969" s="767">
        <v>5465.19</v>
      </c>
    </row>
    <row r="970" spans="1:9">
      <c r="A970" s="828">
        <v>43871</v>
      </c>
      <c r="B970" t="s">
        <v>5460</v>
      </c>
      <c r="C970" s="767">
        <v>6436.03</v>
      </c>
      <c r="D970" s="767">
        <v>6436.03</v>
      </c>
      <c r="E970" s="767">
        <v>46984.79</v>
      </c>
      <c r="I970" s="767">
        <v>6436.03</v>
      </c>
    </row>
    <row r="971" spans="1:9">
      <c r="A971" s="828">
        <v>43901</v>
      </c>
      <c r="B971" t="s">
        <v>5533</v>
      </c>
      <c r="C971" s="767">
        <v>5926.08</v>
      </c>
      <c r="D971" s="767">
        <v>5926.08</v>
      </c>
      <c r="E971" s="767">
        <v>52910.87</v>
      </c>
      <c r="I971" s="767">
        <v>5926.08</v>
      </c>
    </row>
    <row r="972" spans="1:9">
      <c r="A972" s="828">
        <v>43842</v>
      </c>
      <c r="B972" t="s">
        <v>5857</v>
      </c>
      <c r="C972" s="767">
        <v>6297.13</v>
      </c>
      <c r="D972" s="767">
        <v>6297.13</v>
      </c>
      <c r="E972" s="767">
        <v>59208</v>
      </c>
      <c r="I972" s="767">
        <v>6297.13</v>
      </c>
    </row>
    <row r="973" spans="1:9">
      <c r="A973" s="828">
        <v>44317</v>
      </c>
      <c r="B973" t="s">
        <v>6080</v>
      </c>
      <c r="C973" s="767">
        <v>5906.45</v>
      </c>
      <c r="D973" s="767">
        <v>5906.45</v>
      </c>
      <c r="E973" s="767">
        <v>65114.45</v>
      </c>
      <c r="I973" s="767">
        <v>5906.45</v>
      </c>
    </row>
    <row r="974" spans="1:9">
      <c r="A974" s="828">
        <v>44288</v>
      </c>
      <c r="B974" t="s">
        <v>6358</v>
      </c>
      <c r="C974" s="767">
        <v>6504.37</v>
      </c>
      <c r="D974" s="767">
        <v>6504.37</v>
      </c>
      <c r="E974" s="767">
        <v>71618.820000000007</v>
      </c>
      <c r="I974" s="767">
        <v>6504.37</v>
      </c>
    </row>
    <row r="975" spans="1:9">
      <c r="A975" s="828">
        <v>44230</v>
      </c>
      <c r="B975" t="s">
        <v>6579</v>
      </c>
      <c r="C975" s="767">
        <v>7596.76</v>
      </c>
      <c r="D975" s="767">
        <v>7596.76</v>
      </c>
      <c r="E975" s="767">
        <v>79215.58</v>
      </c>
      <c r="I975" s="767">
        <v>7596.76</v>
      </c>
    </row>
    <row r="976" spans="1:9">
      <c r="A976" s="828">
        <v>44200</v>
      </c>
      <c r="B976" t="s">
        <v>7088</v>
      </c>
      <c r="C976" s="767">
        <v>6951.07</v>
      </c>
      <c r="D976" s="767">
        <v>6951.07</v>
      </c>
      <c r="E976" s="767">
        <v>86166.65</v>
      </c>
      <c r="H976" s="767">
        <v>6951.07</v>
      </c>
    </row>
    <row r="978" spans="1:9">
      <c r="A978" t="s">
        <v>4216</v>
      </c>
      <c r="B978" s="767">
        <v>86166.65</v>
      </c>
      <c r="C978" s="767">
        <v>86166.65</v>
      </c>
      <c r="D978">
        <v>0</v>
      </c>
      <c r="E978">
        <v>0</v>
      </c>
      <c r="F978" s="767">
        <v>6951.07</v>
      </c>
      <c r="G978" s="767">
        <v>79215.58</v>
      </c>
    </row>
    <row r="980" spans="1:9">
      <c r="A980">
        <v>11812</v>
      </c>
      <c r="B980" t="s">
        <v>3416</v>
      </c>
    </row>
    <row r="981" spans="1:9">
      <c r="A981" s="828">
        <v>43654</v>
      </c>
      <c r="B981" t="s">
        <v>4565</v>
      </c>
      <c r="C981" s="767">
        <v>2122.0700000000002</v>
      </c>
      <c r="D981">
        <v>574.05999999999995</v>
      </c>
      <c r="E981">
        <v>574.05999999999995</v>
      </c>
      <c r="I981">
        <v>574.05999999999995</v>
      </c>
    </row>
    <row r="982" spans="1:9">
      <c r="A982" s="828">
        <v>43533</v>
      </c>
      <c r="B982" t="s">
        <v>4566</v>
      </c>
      <c r="C982" s="767">
        <v>2014.23</v>
      </c>
      <c r="D982" s="767">
        <v>2014.23</v>
      </c>
      <c r="E982" s="767">
        <v>2588.29</v>
      </c>
      <c r="I982" s="767">
        <v>2014.23</v>
      </c>
    </row>
    <row r="983" spans="1:9">
      <c r="A983" s="828">
        <v>43534</v>
      </c>
      <c r="B983" t="s">
        <v>4567</v>
      </c>
      <c r="C983" s="767">
        <v>1906.38</v>
      </c>
      <c r="D983" s="767">
        <v>1906.38</v>
      </c>
      <c r="E983" s="767">
        <v>4494.67</v>
      </c>
      <c r="I983" s="767">
        <v>1906.38</v>
      </c>
    </row>
    <row r="984" spans="1:9">
      <c r="A984" s="828">
        <v>43477</v>
      </c>
      <c r="B984" t="s">
        <v>4568</v>
      </c>
      <c r="C984" s="767">
        <v>1510.95</v>
      </c>
      <c r="D984" s="767">
        <v>1510.95</v>
      </c>
      <c r="E984" s="767">
        <v>6005.62</v>
      </c>
      <c r="I984" s="767">
        <v>1510.95</v>
      </c>
    </row>
    <row r="985" spans="1:9">
      <c r="A985" s="828">
        <v>43870</v>
      </c>
      <c r="B985" t="s">
        <v>5400</v>
      </c>
      <c r="C985" s="767">
        <v>3435.99</v>
      </c>
      <c r="D985" s="767">
        <v>3435.99</v>
      </c>
      <c r="E985" s="767">
        <v>9441.61</v>
      </c>
      <c r="I985" s="767">
        <v>3435.99</v>
      </c>
    </row>
    <row r="986" spans="1:9">
      <c r="A986" s="828">
        <v>44230</v>
      </c>
      <c r="B986" t="s">
        <v>6580</v>
      </c>
      <c r="C986" s="767">
        <v>3324.99</v>
      </c>
      <c r="D986" s="767">
        <v>3324.99</v>
      </c>
      <c r="E986" s="767">
        <v>12766.6</v>
      </c>
      <c r="I986" s="767">
        <v>3324.99</v>
      </c>
    </row>
    <row r="988" spans="1:9">
      <c r="A988" t="s">
        <v>4216</v>
      </c>
      <c r="B988" s="767">
        <v>14314.61</v>
      </c>
      <c r="C988" s="767">
        <v>12766.6</v>
      </c>
      <c r="D988">
        <v>0</v>
      </c>
      <c r="E988">
        <v>0</v>
      </c>
      <c r="F988">
        <v>0</v>
      </c>
      <c r="G988" s="767">
        <v>12766.6</v>
      </c>
    </row>
    <row r="990" spans="1:9">
      <c r="A990">
        <v>11813</v>
      </c>
      <c r="B990" t="s">
        <v>3417</v>
      </c>
    </row>
    <row r="991" spans="1:9">
      <c r="A991" t="s">
        <v>7024</v>
      </c>
      <c r="B991" t="s">
        <v>7089</v>
      </c>
      <c r="C991" s="767">
        <v>10257.19</v>
      </c>
      <c r="D991" s="767">
        <v>10257.19</v>
      </c>
      <c r="E991" s="767">
        <v>10257.19</v>
      </c>
      <c r="G991" s="767">
        <v>10257.19</v>
      </c>
    </row>
    <row r="993" spans="1:9">
      <c r="A993" t="s">
        <v>4216</v>
      </c>
      <c r="B993" s="767">
        <v>10257.19</v>
      </c>
      <c r="C993" s="767">
        <v>10257.19</v>
      </c>
      <c r="D993">
        <v>0</v>
      </c>
      <c r="E993" s="767">
        <v>10257.19</v>
      </c>
      <c r="F993">
        <v>0</v>
      </c>
      <c r="G993">
        <v>0</v>
      </c>
    </row>
    <row r="995" spans="1:9">
      <c r="A995">
        <v>11814</v>
      </c>
      <c r="B995" t="s">
        <v>3418</v>
      </c>
    </row>
    <row r="996" spans="1:9">
      <c r="A996" s="828">
        <v>44230</v>
      </c>
      <c r="B996" t="s">
        <v>6581</v>
      </c>
      <c r="C996" s="767">
        <v>4830.62</v>
      </c>
      <c r="D996" s="767">
        <v>4830.62</v>
      </c>
      <c r="E996" s="767">
        <v>4830.62</v>
      </c>
      <c r="I996" s="767">
        <v>4830.62</v>
      </c>
    </row>
    <row r="997" spans="1:9">
      <c r="A997" s="828">
        <v>44200</v>
      </c>
      <c r="B997" t="s">
        <v>7090</v>
      </c>
      <c r="C997" s="767">
        <v>4650.26</v>
      </c>
      <c r="D997" s="767">
        <v>4650.26</v>
      </c>
      <c r="E997" s="767">
        <v>9480.8799999999992</v>
      </c>
      <c r="H997" s="767">
        <v>4650.26</v>
      </c>
    </row>
    <row r="999" spans="1:9">
      <c r="A999" t="s">
        <v>4216</v>
      </c>
      <c r="B999" s="767">
        <v>9480.8799999999992</v>
      </c>
      <c r="C999" s="767">
        <v>9480.8799999999992</v>
      </c>
      <c r="D999">
        <v>0</v>
      </c>
      <c r="E999">
        <v>0</v>
      </c>
      <c r="F999" s="767">
        <v>4650.26</v>
      </c>
      <c r="G999" s="767">
        <v>4830.62</v>
      </c>
    </row>
    <row r="1001" spans="1:9">
      <c r="A1001">
        <v>11816</v>
      </c>
      <c r="B1001" t="s">
        <v>6582</v>
      </c>
    </row>
    <row r="1002" spans="1:9">
      <c r="A1002" s="828">
        <v>44230</v>
      </c>
      <c r="B1002" t="s">
        <v>6583</v>
      </c>
      <c r="C1002">
        <v>399.56</v>
      </c>
      <c r="D1002">
        <v>399.56</v>
      </c>
      <c r="E1002">
        <v>399.56</v>
      </c>
      <c r="I1002">
        <v>399.56</v>
      </c>
    </row>
    <row r="1003" spans="1:9">
      <c r="A1003" s="828">
        <v>44230</v>
      </c>
      <c r="B1003" t="s">
        <v>6584</v>
      </c>
      <c r="C1003" s="767">
        <v>2183.23</v>
      </c>
      <c r="D1003" s="767">
        <v>2183.23</v>
      </c>
      <c r="E1003" s="767">
        <v>2582.79</v>
      </c>
      <c r="I1003" s="767">
        <v>2183.23</v>
      </c>
    </row>
    <row r="1004" spans="1:9">
      <c r="A1004" s="828">
        <v>44230</v>
      </c>
      <c r="B1004" t="s">
        <v>6585</v>
      </c>
      <c r="C1004">
        <v>241.01</v>
      </c>
      <c r="D1004">
        <v>241.01</v>
      </c>
      <c r="E1004" s="767">
        <v>2823.8</v>
      </c>
      <c r="I1004">
        <v>241.01</v>
      </c>
    </row>
    <row r="1005" spans="1:9">
      <c r="A1005" s="828">
        <v>44200</v>
      </c>
      <c r="B1005" t="s">
        <v>7091</v>
      </c>
      <c r="C1005">
        <v>558.11</v>
      </c>
      <c r="D1005">
        <v>558.11</v>
      </c>
      <c r="E1005" s="767">
        <v>3381.91</v>
      </c>
      <c r="H1005">
        <v>558.11</v>
      </c>
    </row>
    <row r="1006" spans="1:9">
      <c r="A1006" s="828">
        <v>44200</v>
      </c>
      <c r="B1006" t="s">
        <v>7092</v>
      </c>
      <c r="C1006">
        <v>359.92</v>
      </c>
      <c r="D1006">
        <v>359.92</v>
      </c>
      <c r="E1006" s="767">
        <v>3741.83</v>
      </c>
      <c r="H1006">
        <v>359.92</v>
      </c>
    </row>
    <row r="1007" spans="1:9">
      <c r="A1007" s="828">
        <v>44200</v>
      </c>
      <c r="B1007" t="s">
        <v>7093</v>
      </c>
      <c r="C1007">
        <v>439.19</v>
      </c>
      <c r="D1007">
        <v>439.19</v>
      </c>
      <c r="E1007" s="767">
        <v>4181.0200000000004</v>
      </c>
      <c r="H1007">
        <v>439.19</v>
      </c>
    </row>
    <row r="1009" spans="1:9">
      <c r="A1009" t="s">
        <v>4216</v>
      </c>
      <c r="B1009" s="767">
        <v>4181.0200000000004</v>
      </c>
      <c r="C1009" s="767">
        <v>4181.0200000000004</v>
      </c>
      <c r="D1009">
        <v>0</v>
      </c>
      <c r="E1009">
        <v>0</v>
      </c>
      <c r="F1009" s="767">
        <v>1357.22</v>
      </c>
      <c r="G1009" s="767">
        <v>2823.8</v>
      </c>
    </row>
    <row r="1011" spans="1:9">
      <c r="A1011">
        <v>11818</v>
      </c>
      <c r="B1011" t="s">
        <v>2094</v>
      </c>
    </row>
    <row r="1012" spans="1:9">
      <c r="A1012" s="828">
        <v>43353</v>
      </c>
      <c r="B1012" t="s">
        <v>4569</v>
      </c>
      <c r="C1012">
        <v>239.11</v>
      </c>
      <c r="D1012">
        <v>239.11</v>
      </c>
      <c r="E1012">
        <v>239.11</v>
      </c>
      <c r="I1012">
        <v>239.11</v>
      </c>
    </row>
    <row r="1013" spans="1:9">
      <c r="A1013" s="828">
        <v>43801</v>
      </c>
      <c r="B1013" t="s">
        <v>4570</v>
      </c>
      <c r="C1013">
        <v>333.23</v>
      </c>
      <c r="D1013">
        <v>333.23</v>
      </c>
      <c r="E1013">
        <v>572.34</v>
      </c>
      <c r="I1013">
        <v>333.23</v>
      </c>
    </row>
    <row r="1015" spans="1:9">
      <c r="A1015" t="s">
        <v>4216</v>
      </c>
      <c r="B1015">
        <v>572.34</v>
      </c>
      <c r="C1015">
        <v>572.34</v>
      </c>
      <c r="D1015">
        <v>0</v>
      </c>
      <c r="E1015">
        <v>0</v>
      </c>
      <c r="F1015">
        <v>0</v>
      </c>
      <c r="G1015">
        <v>572.34</v>
      </c>
    </row>
    <row r="1017" spans="1:9">
      <c r="A1017">
        <v>11821</v>
      </c>
      <c r="B1017" t="s">
        <v>4571</v>
      </c>
    </row>
    <row r="1018" spans="1:9">
      <c r="A1018" s="828">
        <v>43534</v>
      </c>
      <c r="B1018" t="s">
        <v>4572</v>
      </c>
      <c r="C1018">
        <v>822.54</v>
      </c>
      <c r="D1018">
        <v>822.54</v>
      </c>
      <c r="E1018">
        <v>822.54</v>
      </c>
      <c r="I1018">
        <v>822.54</v>
      </c>
    </row>
    <row r="1020" spans="1:9">
      <c r="A1020" t="s">
        <v>4216</v>
      </c>
      <c r="B1020">
        <v>822.54</v>
      </c>
      <c r="C1020">
        <v>822.54</v>
      </c>
      <c r="D1020">
        <v>0</v>
      </c>
      <c r="E1020">
        <v>0</v>
      </c>
      <c r="F1020">
        <v>0</v>
      </c>
      <c r="G1020">
        <v>822.54</v>
      </c>
    </row>
    <row r="1022" spans="1:9">
      <c r="A1022">
        <v>11822</v>
      </c>
      <c r="B1022" t="s">
        <v>3419</v>
      </c>
    </row>
    <row r="1023" spans="1:9">
      <c r="A1023" s="828">
        <v>43534</v>
      </c>
      <c r="B1023" t="s">
        <v>4573</v>
      </c>
      <c r="C1023">
        <v>355.21</v>
      </c>
      <c r="D1023">
        <v>355.21</v>
      </c>
      <c r="E1023">
        <v>355.21</v>
      </c>
      <c r="I1023">
        <v>355.21</v>
      </c>
    </row>
    <row r="1024" spans="1:9">
      <c r="A1024" t="s">
        <v>4574</v>
      </c>
      <c r="B1024" t="s">
        <v>4575</v>
      </c>
      <c r="C1024">
        <v>79.180000000000007</v>
      </c>
      <c r="D1024">
        <v>79.180000000000007</v>
      </c>
      <c r="E1024">
        <v>434.39</v>
      </c>
      <c r="I1024">
        <v>79.180000000000007</v>
      </c>
    </row>
    <row r="1025" spans="1:9">
      <c r="A1025" s="828">
        <v>43893</v>
      </c>
      <c r="B1025" t="s">
        <v>4576</v>
      </c>
      <c r="C1025">
        <v>154.66999999999999</v>
      </c>
      <c r="D1025">
        <v>154.66999999999999</v>
      </c>
      <c r="E1025">
        <v>589.05999999999995</v>
      </c>
      <c r="I1025">
        <v>154.66999999999999</v>
      </c>
    </row>
    <row r="1027" spans="1:9">
      <c r="A1027" t="s">
        <v>4216</v>
      </c>
      <c r="B1027">
        <v>589.05999999999995</v>
      </c>
      <c r="C1027">
        <v>589.05999999999995</v>
      </c>
      <c r="D1027">
        <v>0</v>
      </c>
      <c r="E1027">
        <v>0</v>
      </c>
      <c r="F1027">
        <v>0</v>
      </c>
      <c r="G1027">
        <v>589.05999999999995</v>
      </c>
    </row>
    <row r="1029" spans="1:9">
      <c r="A1029">
        <v>11823</v>
      </c>
      <c r="B1029" t="s">
        <v>2097</v>
      </c>
    </row>
    <row r="1030" spans="1:9">
      <c r="A1030" s="828">
        <v>43232</v>
      </c>
      <c r="B1030" t="s">
        <v>4577</v>
      </c>
      <c r="C1030" s="767">
        <v>2851.84</v>
      </c>
      <c r="D1030" s="767">
        <v>2851.84</v>
      </c>
      <c r="E1030" s="767">
        <v>2851.84</v>
      </c>
      <c r="I1030" s="767">
        <v>2851.84</v>
      </c>
    </row>
    <row r="1031" spans="1:9">
      <c r="A1031" s="828">
        <v>43232</v>
      </c>
      <c r="B1031" t="s">
        <v>4578</v>
      </c>
      <c r="C1031" s="767">
        <v>2693.03</v>
      </c>
      <c r="D1031" s="767">
        <v>2693.03</v>
      </c>
      <c r="E1031" s="767">
        <v>5544.87</v>
      </c>
      <c r="I1031" s="767">
        <v>2693.03</v>
      </c>
    </row>
    <row r="1033" spans="1:9">
      <c r="A1033" t="s">
        <v>4216</v>
      </c>
      <c r="B1033" s="767">
        <v>5544.87</v>
      </c>
      <c r="C1033" s="767">
        <v>5544.87</v>
      </c>
      <c r="D1033">
        <v>0</v>
      </c>
      <c r="E1033">
        <v>0</v>
      </c>
      <c r="F1033">
        <v>0</v>
      </c>
      <c r="G1033" s="767">
        <v>5544.87</v>
      </c>
    </row>
    <row r="1035" spans="1:9">
      <c r="A1035">
        <v>11830</v>
      </c>
      <c r="B1035" t="s">
        <v>5858</v>
      </c>
    </row>
    <row r="1036" spans="1:9">
      <c r="A1036" s="828">
        <v>43842</v>
      </c>
      <c r="B1036" t="s">
        <v>5859</v>
      </c>
      <c r="C1036">
        <v>169.05</v>
      </c>
      <c r="D1036">
        <v>169.05</v>
      </c>
      <c r="E1036">
        <v>169.05</v>
      </c>
      <c r="I1036">
        <v>169.05</v>
      </c>
    </row>
    <row r="1037" spans="1:9">
      <c r="A1037" s="828">
        <v>44317</v>
      </c>
      <c r="B1037" t="s">
        <v>6081</v>
      </c>
      <c r="C1037">
        <v>165.65</v>
      </c>
      <c r="D1037">
        <v>165.65</v>
      </c>
      <c r="E1037">
        <v>334.7</v>
      </c>
      <c r="I1037">
        <v>165.65</v>
      </c>
    </row>
    <row r="1038" spans="1:9">
      <c r="A1038" s="828">
        <v>44288</v>
      </c>
      <c r="B1038" t="s">
        <v>6359</v>
      </c>
      <c r="C1038">
        <v>190.13</v>
      </c>
      <c r="D1038">
        <v>190.13</v>
      </c>
      <c r="E1038">
        <v>524.83000000000004</v>
      </c>
      <c r="I1038">
        <v>190.13</v>
      </c>
    </row>
    <row r="1039" spans="1:9">
      <c r="A1039" s="828">
        <v>44230</v>
      </c>
      <c r="B1039" t="s">
        <v>6586</v>
      </c>
      <c r="C1039">
        <v>194.49</v>
      </c>
      <c r="D1039">
        <v>194.49</v>
      </c>
      <c r="E1039">
        <v>719.32</v>
      </c>
      <c r="I1039">
        <v>194.49</v>
      </c>
    </row>
    <row r="1040" spans="1:9">
      <c r="A1040" s="828">
        <v>44200</v>
      </c>
      <c r="B1040" t="s">
        <v>7094</v>
      </c>
      <c r="C1040">
        <v>156.04</v>
      </c>
      <c r="D1040">
        <v>156.04</v>
      </c>
      <c r="E1040">
        <v>875.36</v>
      </c>
      <c r="H1040">
        <v>156.04</v>
      </c>
    </row>
    <row r="1042" spans="1:9">
      <c r="A1042" t="s">
        <v>4216</v>
      </c>
      <c r="B1042">
        <v>875.36</v>
      </c>
      <c r="C1042">
        <v>875.36</v>
      </c>
      <c r="D1042">
        <v>0</v>
      </c>
      <c r="E1042">
        <v>0</v>
      </c>
      <c r="F1042">
        <v>156.04</v>
      </c>
      <c r="G1042">
        <v>719.32</v>
      </c>
    </row>
    <row r="1044" spans="1:9">
      <c r="A1044">
        <v>11834</v>
      </c>
      <c r="B1044" t="s">
        <v>6082</v>
      </c>
    </row>
    <row r="1045" spans="1:9">
      <c r="A1045" s="828">
        <v>44230</v>
      </c>
      <c r="B1045" t="s">
        <v>6587</v>
      </c>
      <c r="C1045" s="767">
        <v>1611.25</v>
      </c>
      <c r="D1045" s="767">
        <v>1611.25</v>
      </c>
      <c r="E1045" s="767">
        <v>1611.25</v>
      </c>
      <c r="I1045" s="767">
        <v>1611.25</v>
      </c>
    </row>
    <row r="1046" spans="1:9">
      <c r="A1046" s="828">
        <v>44230</v>
      </c>
      <c r="B1046" t="s">
        <v>6588</v>
      </c>
      <c r="C1046">
        <v>514.49</v>
      </c>
      <c r="D1046">
        <v>514.49</v>
      </c>
      <c r="E1046" s="767">
        <v>2125.7399999999998</v>
      </c>
      <c r="I1046">
        <v>514.49</v>
      </c>
    </row>
    <row r="1048" spans="1:9">
      <c r="A1048" t="s">
        <v>4216</v>
      </c>
      <c r="B1048" s="767">
        <v>2125.7399999999998</v>
      </c>
      <c r="C1048" s="767">
        <v>2125.7399999999998</v>
      </c>
      <c r="D1048">
        <v>0</v>
      </c>
      <c r="E1048">
        <v>0</v>
      </c>
      <c r="F1048">
        <v>0</v>
      </c>
      <c r="G1048" s="767">
        <v>2125.7399999999998</v>
      </c>
    </row>
    <row r="1050" spans="1:9">
      <c r="A1050">
        <v>11836</v>
      </c>
      <c r="B1050" t="s">
        <v>2883</v>
      </c>
    </row>
    <row r="1051" spans="1:9">
      <c r="A1051" s="828">
        <v>43383</v>
      </c>
      <c r="B1051" t="s">
        <v>4579</v>
      </c>
      <c r="C1051">
        <v>237.43</v>
      </c>
      <c r="D1051">
        <v>237.43</v>
      </c>
      <c r="E1051">
        <v>237.43</v>
      </c>
      <c r="I1051">
        <v>237.43</v>
      </c>
    </row>
    <row r="1052" spans="1:9">
      <c r="A1052" s="828">
        <v>43531</v>
      </c>
      <c r="B1052" t="s">
        <v>4580</v>
      </c>
      <c r="C1052">
        <v>503.28</v>
      </c>
      <c r="D1052">
        <v>503.28</v>
      </c>
      <c r="E1052">
        <v>740.71</v>
      </c>
      <c r="I1052">
        <v>503.28</v>
      </c>
    </row>
    <row r="1053" spans="1:9">
      <c r="A1053" s="828">
        <v>43836</v>
      </c>
      <c r="B1053" t="s">
        <v>4581</v>
      </c>
      <c r="C1053">
        <v>415.21</v>
      </c>
      <c r="D1053">
        <v>415.21</v>
      </c>
      <c r="E1053" s="767">
        <v>1155.92</v>
      </c>
      <c r="I1053">
        <v>415.21</v>
      </c>
    </row>
    <row r="1055" spans="1:9">
      <c r="A1055" t="s">
        <v>4216</v>
      </c>
      <c r="B1055" s="767">
        <v>1155.92</v>
      </c>
      <c r="C1055" s="767">
        <v>1155.92</v>
      </c>
      <c r="D1055">
        <v>0</v>
      </c>
      <c r="E1055">
        <v>0</v>
      </c>
      <c r="F1055">
        <v>0</v>
      </c>
      <c r="G1055" s="767">
        <v>1155.92</v>
      </c>
    </row>
    <row r="1057" spans="1:9">
      <c r="A1057">
        <v>11846</v>
      </c>
      <c r="B1057" t="s">
        <v>2105</v>
      </c>
    </row>
    <row r="1058" spans="1:9">
      <c r="A1058" s="828">
        <v>44200</v>
      </c>
      <c r="B1058" t="s">
        <v>7095</v>
      </c>
      <c r="C1058" s="767">
        <v>12710</v>
      </c>
      <c r="D1058" s="767">
        <v>12710</v>
      </c>
      <c r="E1058" s="767">
        <v>12710</v>
      </c>
      <c r="H1058" s="767">
        <v>12710</v>
      </c>
    </row>
    <row r="1060" spans="1:9">
      <c r="A1060" t="s">
        <v>4216</v>
      </c>
      <c r="B1060" s="767">
        <v>12710</v>
      </c>
      <c r="C1060" s="767">
        <v>12710</v>
      </c>
      <c r="D1060">
        <v>0</v>
      </c>
      <c r="E1060">
        <v>0</v>
      </c>
      <c r="F1060" s="767">
        <v>12710</v>
      </c>
      <c r="G1060">
        <v>0</v>
      </c>
    </row>
    <row r="1062" spans="1:9">
      <c r="A1062">
        <v>11847</v>
      </c>
      <c r="B1062" t="s">
        <v>3406</v>
      </c>
    </row>
    <row r="1063" spans="1:9">
      <c r="A1063" s="828">
        <v>44200</v>
      </c>
      <c r="B1063" t="s">
        <v>7096</v>
      </c>
      <c r="C1063" s="767">
        <v>12100.07</v>
      </c>
      <c r="D1063" s="767">
        <v>12100.07</v>
      </c>
      <c r="E1063" s="767">
        <v>12100.07</v>
      </c>
      <c r="H1063" s="767">
        <v>12100.07</v>
      </c>
    </row>
    <row r="1065" spans="1:9">
      <c r="A1065" t="s">
        <v>4216</v>
      </c>
      <c r="B1065" s="767">
        <v>12100.07</v>
      </c>
      <c r="C1065" s="767">
        <v>12100.07</v>
      </c>
      <c r="D1065">
        <v>0</v>
      </c>
      <c r="E1065">
        <v>0</v>
      </c>
      <c r="F1065" s="767">
        <v>12100.07</v>
      </c>
      <c r="G1065">
        <v>0</v>
      </c>
    </row>
    <row r="1067" spans="1:9">
      <c r="A1067">
        <v>11852</v>
      </c>
      <c r="B1067" t="s">
        <v>1195</v>
      </c>
    </row>
    <row r="1068" spans="1:9">
      <c r="A1068" t="s">
        <v>4417</v>
      </c>
      <c r="B1068" t="s">
        <v>4582</v>
      </c>
      <c r="C1068">
        <v>359.48</v>
      </c>
      <c r="D1068">
        <v>359.48</v>
      </c>
      <c r="E1068">
        <v>359.48</v>
      </c>
      <c r="I1068">
        <v>359.48</v>
      </c>
    </row>
    <row r="1069" spans="1:9">
      <c r="A1069" t="s">
        <v>4417</v>
      </c>
      <c r="B1069" t="s">
        <v>4583</v>
      </c>
      <c r="C1069">
        <v>287.58999999999997</v>
      </c>
      <c r="D1069">
        <v>287.58999999999997</v>
      </c>
      <c r="E1069">
        <v>647.07000000000005</v>
      </c>
      <c r="I1069">
        <v>287.58999999999997</v>
      </c>
    </row>
    <row r="1070" spans="1:9">
      <c r="A1070" s="828">
        <v>44200</v>
      </c>
      <c r="B1070" t="s">
        <v>7097</v>
      </c>
      <c r="C1070">
        <v>489.52</v>
      </c>
      <c r="D1070">
        <v>489.52</v>
      </c>
      <c r="E1070" s="767">
        <v>1136.5899999999999</v>
      </c>
      <c r="H1070">
        <v>489.52</v>
      </c>
    </row>
    <row r="1072" spans="1:9">
      <c r="A1072" t="s">
        <v>4216</v>
      </c>
      <c r="B1072" s="767">
        <v>1136.5899999999999</v>
      </c>
      <c r="C1072" s="767">
        <v>1136.5899999999999</v>
      </c>
      <c r="D1072">
        <v>0</v>
      </c>
      <c r="E1072">
        <v>0</v>
      </c>
      <c r="F1072">
        <v>489.52</v>
      </c>
      <c r="G1072">
        <v>647.07000000000005</v>
      </c>
    </row>
    <row r="1074" spans="1:9">
      <c r="A1074">
        <v>11855</v>
      </c>
      <c r="B1074" t="s">
        <v>4584</v>
      </c>
    </row>
    <row r="1075" spans="1:9">
      <c r="A1075" s="828">
        <v>43322</v>
      </c>
      <c r="B1075" t="s">
        <v>4585</v>
      </c>
      <c r="C1075">
        <v>681.72</v>
      </c>
      <c r="D1075">
        <v>681.72</v>
      </c>
      <c r="E1075">
        <v>681.72</v>
      </c>
      <c r="I1075">
        <v>681.72</v>
      </c>
    </row>
    <row r="1076" spans="1:9">
      <c r="A1076" s="828">
        <v>43836</v>
      </c>
      <c r="B1076" t="s">
        <v>4586</v>
      </c>
      <c r="C1076">
        <v>988.79</v>
      </c>
      <c r="D1076">
        <v>15.85</v>
      </c>
      <c r="E1076">
        <v>697.57</v>
      </c>
      <c r="I1076">
        <v>15.85</v>
      </c>
    </row>
    <row r="1078" spans="1:9">
      <c r="A1078" t="s">
        <v>4216</v>
      </c>
      <c r="B1078" s="767">
        <v>1670.51</v>
      </c>
      <c r="C1078">
        <v>697.57</v>
      </c>
      <c r="D1078">
        <v>0</v>
      </c>
      <c r="E1078">
        <v>0</v>
      </c>
      <c r="F1078">
        <v>0</v>
      </c>
      <c r="G1078">
        <v>697.57</v>
      </c>
    </row>
    <row r="1080" spans="1:9">
      <c r="A1080">
        <v>11864</v>
      </c>
      <c r="B1080" t="s">
        <v>5860</v>
      </c>
    </row>
    <row r="1081" spans="1:9">
      <c r="A1081" s="828">
        <v>44200</v>
      </c>
      <c r="B1081" t="s">
        <v>7098</v>
      </c>
      <c r="C1081" s="767">
        <v>7804.97</v>
      </c>
      <c r="D1081" s="767">
        <v>7804.97</v>
      </c>
      <c r="E1081" s="767">
        <v>7804.97</v>
      </c>
      <c r="H1081" s="767">
        <v>7804.97</v>
      </c>
    </row>
    <row r="1083" spans="1:9">
      <c r="A1083" t="s">
        <v>4216</v>
      </c>
      <c r="B1083" s="767">
        <v>7804.97</v>
      </c>
      <c r="C1083" s="767">
        <v>7804.97</v>
      </c>
      <c r="D1083">
        <v>0</v>
      </c>
      <c r="E1083">
        <v>0</v>
      </c>
      <c r="F1083" s="767">
        <v>7804.97</v>
      </c>
      <c r="G1083">
        <v>0</v>
      </c>
    </row>
    <row r="1085" spans="1:9">
      <c r="A1085">
        <v>11867</v>
      </c>
      <c r="B1085" t="s">
        <v>1202</v>
      </c>
    </row>
    <row r="1086" spans="1:9">
      <c r="A1086" s="828">
        <v>43232</v>
      </c>
      <c r="B1086" t="s">
        <v>4587</v>
      </c>
      <c r="C1086">
        <v>60.05</v>
      </c>
      <c r="D1086">
        <v>60.05</v>
      </c>
      <c r="E1086">
        <v>60.05</v>
      </c>
      <c r="I1086">
        <v>60.05</v>
      </c>
    </row>
    <row r="1087" spans="1:9">
      <c r="A1087" s="828">
        <v>43232</v>
      </c>
      <c r="B1087" t="s">
        <v>4588</v>
      </c>
      <c r="C1087" s="767">
        <v>1534.71</v>
      </c>
      <c r="D1087" s="767">
        <v>1534.71</v>
      </c>
      <c r="E1087" s="767">
        <v>1594.76</v>
      </c>
      <c r="I1087" s="767">
        <v>1534.71</v>
      </c>
    </row>
    <row r="1088" spans="1:9">
      <c r="A1088" s="828">
        <v>43232</v>
      </c>
      <c r="B1088" t="s">
        <v>4589</v>
      </c>
      <c r="C1088" s="767">
        <v>1999.86</v>
      </c>
      <c r="D1088" s="767">
        <v>1999.86</v>
      </c>
      <c r="E1088" s="767">
        <v>3594.62</v>
      </c>
      <c r="I1088" s="767">
        <v>1999.86</v>
      </c>
    </row>
    <row r="1089" spans="1:9">
      <c r="A1089" s="828">
        <v>43232</v>
      </c>
      <c r="B1089" t="s">
        <v>4590</v>
      </c>
      <c r="C1089" s="767">
        <v>2412.75</v>
      </c>
      <c r="D1089" s="767">
        <v>2412.75</v>
      </c>
      <c r="E1089" s="767">
        <v>6007.37</v>
      </c>
      <c r="I1089" s="767">
        <v>2412.75</v>
      </c>
    </row>
    <row r="1090" spans="1:9">
      <c r="A1090" s="828">
        <v>43232</v>
      </c>
      <c r="B1090" t="s">
        <v>4591</v>
      </c>
      <c r="C1090">
        <v>157.74</v>
      </c>
      <c r="D1090">
        <v>157.74</v>
      </c>
      <c r="E1090" s="767">
        <v>6165.11</v>
      </c>
      <c r="I1090">
        <v>157.74</v>
      </c>
    </row>
    <row r="1091" spans="1:9">
      <c r="A1091" s="828">
        <v>43232</v>
      </c>
      <c r="B1091" t="s">
        <v>4592</v>
      </c>
      <c r="C1091" s="767">
        <v>1659.61</v>
      </c>
      <c r="D1091" s="767">
        <v>1659.61</v>
      </c>
      <c r="E1091" s="767">
        <v>7824.72</v>
      </c>
      <c r="I1091" s="767">
        <v>1659.61</v>
      </c>
    </row>
    <row r="1092" spans="1:9">
      <c r="A1092" s="828">
        <v>43232</v>
      </c>
      <c r="B1092" t="s">
        <v>4593</v>
      </c>
      <c r="C1092">
        <v>62.45</v>
      </c>
      <c r="D1092">
        <v>62.45</v>
      </c>
      <c r="E1092" s="767">
        <v>7887.17</v>
      </c>
      <c r="I1092">
        <v>62.45</v>
      </c>
    </row>
    <row r="1093" spans="1:9">
      <c r="A1093" s="828">
        <v>43627</v>
      </c>
      <c r="B1093" t="s">
        <v>4594</v>
      </c>
      <c r="C1093" s="767">
        <v>2869.47</v>
      </c>
      <c r="D1093" s="767">
        <v>2869.47</v>
      </c>
      <c r="E1093" s="767">
        <v>10756.64</v>
      </c>
      <c r="I1093" s="767">
        <v>2869.47</v>
      </c>
    </row>
    <row r="1094" spans="1:9">
      <c r="A1094" s="828">
        <v>43477</v>
      </c>
      <c r="B1094" t="s">
        <v>4595</v>
      </c>
      <c r="C1094" s="767">
        <v>2909.02</v>
      </c>
      <c r="D1094" s="767">
        <v>2909.02</v>
      </c>
      <c r="E1094" s="767">
        <v>13665.66</v>
      </c>
      <c r="I1094" s="767">
        <v>2909.02</v>
      </c>
    </row>
    <row r="1095" spans="1:9">
      <c r="A1095" t="s">
        <v>4596</v>
      </c>
      <c r="B1095" t="s">
        <v>4597</v>
      </c>
      <c r="C1095" s="767">
        <v>3637.69</v>
      </c>
      <c r="D1095" s="767">
        <v>3637.69</v>
      </c>
      <c r="E1095" s="767">
        <v>17303.349999999999</v>
      </c>
      <c r="I1095" s="767">
        <v>3637.69</v>
      </c>
    </row>
    <row r="1096" spans="1:9">
      <c r="A1096" s="828">
        <v>43953</v>
      </c>
      <c r="B1096" t="s">
        <v>4598</v>
      </c>
      <c r="C1096" s="767">
        <v>4495.38</v>
      </c>
      <c r="D1096" s="767">
        <v>4495.38</v>
      </c>
      <c r="E1096" s="767">
        <v>21798.73</v>
      </c>
      <c r="I1096" s="767">
        <v>4495.38</v>
      </c>
    </row>
    <row r="1097" spans="1:9">
      <c r="A1097" t="s">
        <v>4241</v>
      </c>
      <c r="B1097" t="s">
        <v>4599</v>
      </c>
      <c r="C1097" s="767">
        <v>4298.34</v>
      </c>
      <c r="D1097" s="767">
        <v>4298.34</v>
      </c>
      <c r="E1097" s="767">
        <v>26097.07</v>
      </c>
      <c r="I1097" s="767">
        <v>4298.34</v>
      </c>
    </row>
    <row r="1098" spans="1:9">
      <c r="A1098" t="s">
        <v>4414</v>
      </c>
      <c r="B1098" t="s">
        <v>4600</v>
      </c>
      <c r="C1098" s="767">
        <v>2811.9</v>
      </c>
      <c r="D1098" s="767">
        <v>2811.9</v>
      </c>
      <c r="E1098" s="767">
        <v>28908.97</v>
      </c>
      <c r="I1098" s="767">
        <v>2811.9</v>
      </c>
    </row>
    <row r="1099" spans="1:9">
      <c r="A1099" t="s">
        <v>4414</v>
      </c>
      <c r="B1099" t="s">
        <v>4601</v>
      </c>
      <c r="C1099" s="767">
        <v>4220.96</v>
      </c>
      <c r="D1099" s="767">
        <v>4220.96</v>
      </c>
      <c r="E1099" s="767">
        <v>33129.93</v>
      </c>
      <c r="I1099" s="767">
        <v>4220.96</v>
      </c>
    </row>
    <row r="1100" spans="1:9">
      <c r="A1100" s="828">
        <v>43989</v>
      </c>
      <c r="B1100" t="s">
        <v>4602</v>
      </c>
      <c r="C1100" s="767">
        <v>2790.75</v>
      </c>
      <c r="D1100" s="767">
        <v>2790.75</v>
      </c>
      <c r="E1100" s="767">
        <v>35920.68</v>
      </c>
      <c r="I1100" s="767">
        <v>2790.75</v>
      </c>
    </row>
    <row r="1101" spans="1:9">
      <c r="A1101" s="828">
        <v>43930</v>
      </c>
      <c r="B1101" t="s">
        <v>5401</v>
      </c>
      <c r="C1101" s="767">
        <v>2782.83</v>
      </c>
      <c r="D1101" s="767">
        <v>2782.83</v>
      </c>
      <c r="E1101" s="767">
        <v>38703.51</v>
      </c>
      <c r="I1101" s="767">
        <v>2782.83</v>
      </c>
    </row>
    <row r="1103" spans="1:9">
      <c r="A1103" t="s">
        <v>4216</v>
      </c>
      <c r="B1103" s="767">
        <v>38703.51</v>
      </c>
      <c r="C1103" s="767">
        <v>38703.51</v>
      </c>
      <c r="D1103">
        <v>0</v>
      </c>
      <c r="E1103">
        <v>0</v>
      </c>
      <c r="F1103">
        <v>0</v>
      </c>
      <c r="G1103" s="767">
        <v>38703.51</v>
      </c>
    </row>
    <row r="1105" spans="1:9">
      <c r="A1105">
        <v>11870</v>
      </c>
      <c r="B1105" t="s">
        <v>4603</v>
      </c>
    </row>
    <row r="1106" spans="1:9">
      <c r="A1106" s="828">
        <v>43476</v>
      </c>
      <c r="B1106" t="s">
        <v>4604</v>
      </c>
      <c r="C1106" s="767">
        <v>7829.29</v>
      </c>
      <c r="D1106" s="767">
        <v>7829.29</v>
      </c>
      <c r="E1106" s="767">
        <v>7829.29</v>
      </c>
      <c r="I1106" s="767">
        <v>7829.29</v>
      </c>
    </row>
    <row r="1107" spans="1:9">
      <c r="A1107" s="828">
        <v>43477</v>
      </c>
      <c r="B1107" t="s">
        <v>4605</v>
      </c>
      <c r="C1107" s="767">
        <v>7577.65</v>
      </c>
      <c r="D1107" s="767">
        <v>7577.65</v>
      </c>
      <c r="E1107" s="767">
        <v>15406.94</v>
      </c>
      <c r="I1107" s="767">
        <v>7577.65</v>
      </c>
    </row>
    <row r="1108" spans="1:9">
      <c r="A1108" s="828">
        <v>44044</v>
      </c>
      <c r="B1108" t="s">
        <v>4606</v>
      </c>
      <c r="C1108" s="767">
        <v>9662.66</v>
      </c>
      <c r="D1108" s="767">
        <v>9662.66</v>
      </c>
      <c r="E1108" s="767">
        <v>25069.599999999999</v>
      </c>
      <c r="I1108" s="767">
        <v>9662.66</v>
      </c>
    </row>
    <row r="1110" spans="1:9">
      <c r="A1110" t="s">
        <v>4216</v>
      </c>
      <c r="B1110" s="767">
        <v>25069.599999999999</v>
      </c>
      <c r="C1110" s="767">
        <v>25069.599999999999</v>
      </c>
      <c r="D1110">
        <v>0</v>
      </c>
      <c r="E1110">
        <v>0</v>
      </c>
      <c r="F1110">
        <v>0</v>
      </c>
      <c r="G1110" s="767">
        <v>25069.599999999999</v>
      </c>
    </row>
    <row r="1112" spans="1:9">
      <c r="A1112">
        <v>11879</v>
      </c>
      <c r="B1112" t="s">
        <v>7099</v>
      </c>
    </row>
    <row r="1113" spans="1:9">
      <c r="A1113" s="828">
        <v>44200</v>
      </c>
      <c r="B1113" t="s">
        <v>7100</v>
      </c>
      <c r="C1113" s="767">
        <v>9342.6200000000008</v>
      </c>
      <c r="D1113" s="767">
        <v>9342.6200000000008</v>
      </c>
      <c r="E1113" s="767">
        <v>9342.6200000000008</v>
      </c>
      <c r="H1113" s="767">
        <v>9342.6200000000008</v>
      </c>
    </row>
    <row r="1115" spans="1:9">
      <c r="A1115" t="s">
        <v>4216</v>
      </c>
      <c r="B1115" s="767">
        <v>9342.6200000000008</v>
      </c>
      <c r="C1115" s="767">
        <v>9342.6200000000008</v>
      </c>
      <c r="D1115">
        <v>0</v>
      </c>
      <c r="E1115">
        <v>0</v>
      </c>
      <c r="F1115" s="767">
        <v>9342.6200000000008</v>
      </c>
      <c r="G1115">
        <v>0</v>
      </c>
    </row>
    <row r="1117" spans="1:9">
      <c r="A1117">
        <v>11881</v>
      </c>
      <c r="B1117" t="s">
        <v>7101</v>
      </c>
    </row>
    <row r="1118" spans="1:9">
      <c r="A1118" s="828">
        <v>44200</v>
      </c>
      <c r="B1118" t="s">
        <v>7102</v>
      </c>
      <c r="C1118" s="767">
        <v>1213.96</v>
      </c>
      <c r="D1118" s="767">
        <v>1213.96</v>
      </c>
      <c r="E1118" s="767">
        <v>1213.96</v>
      </c>
      <c r="H1118" s="767">
        <v>1213.96</v>
      </c>
    </row>
    <row r="1120" spans="1:9">
      <c r="A1120" t="s">
        <v>4216</v>
      </c>
      <c r="B1120" s="767">
        <v>1213.96</v>
      </c>
      <c r="C1120" s="767">
        <v>1213.96</v>
      </c>
      <c r="D1120">
        <v>0</v>
      </c>
      <c r="E1120">
        <v>0</v>
      </c>
      <c r="F1120" s="767">
        <v>1213.96</v>
      </c>
      <c r="G1120">
        <v>0</v>
      </c>
    </row>
    <row r="1122" spans="1:9">
      <c r="A1122">
        <v>11886</v>
      </c>
      <c r="B1122" t="s">
        <v>5861</v>
      </c>
    </row>
    <row r="1123" spans="1:9">
      <c r="A1123" s="828">
        <v>44200</v>
      </c>
      <c r="B1123" t="s">
        <v>7103</v>
      </c>
      <c r="C1123" s="767">
        <v>2614.42</v>
      </c>
      <c r="D1123" s="767">
        <v>2614.42</v>
      </c>
      <c r="E1123" s="767">
        <v>2614.42</v>
      </c>
      <c r="H1123" s="767">
        <v>2614.42</v>
      </c>
    </row>
    <row r="1125" spans="1:9">
      <c r="A1125" t="s">
        <v>4216</v>
      </c>
      <c r="B1125" s="767">
        <v>2614.42</v>
      </c>
      <c r="C1125" s="767">
        <v>2614.42</v>
      </c>
      <c r="D1125">
        <v>0</v>
      </c>
      <c r="E1125">
        <v>0</v>
      </c>
      <c r="F1125" s="767">
        <v>2614.42</v>
      </c>
      <c r="G1125">
        <v>0</v>
      </c>
    </row>
    <row r="1127" spans="1:9">
      <c r="A1127">
        <v>11888</v>
      </c>
      <c r="B1127" t="s">
        <v>1709</v>
      </c>
    </row>
    <row r="1128" spans="1:9">
      <c r="A1128" s="828">
        <v>44230</v>
      </c>
      <c r="B1128" t="s">
        <v>6589</v>
      </c>
      <c r="C1128" s="767">
        <v>2957.48</v>
      </c>
      <c r="D1128" s="767">
        <v>2957.48</v>
      </c>
      <c r="E1128" s="767">
        <v>2957.48</v>
      </c>
      <c r="I1128" s="767">
        <v>2957.48</v>
      </c>
    </row>
    <row r="1129" spans="1:9">
      <c r="A1129" s="828">
        <v>44200</v>
      </c>
      <c r="B1129" t="s">
        <v>7104</v>
      </c>
      <c r="C1129" s="767">
        <v>3104.53</v>
      </c>
      <c r="D1129" s="767">
        <v>3104.53</v>
      </c>
      <c r="E1129" s="767">
        <v>6062.01</v>
      </c>
      <c r="H1129" s="767">
        <v>3104.53</v>
      </c>
    </row>
    <row r="1131" spans="1:9">
      <c r="A1131" t="s">
        <v>4216</v>
      </c>
      <c r="B1131" s="767">
        <v>6062.01</v>
      </c>
      <c r="C1131" s="767">
        <v>6062.01</v>
      </c>
      <c r="D1131">
        <v>0</v>
      </c>
      <c r="E1131">
        <v>0</v>
      </c>
      <c r="F1131" s="767">
        <v>3104.53</v>
      </c>
      <c r="G1131" s="767">
        <v>2957.48</v>
      </c>
    </row>
    <row r="1133" spans="1:9">
      <c r="A1133">
        <v>11892</v>
      </c>
      <c r="B1133" t="s">
        <v>7105</v>
      </c>
    </row>
    <row r="1134" spans="1:9">
      <c r="A1134" s="828">
        <v>44200</v>
      </c>
      <c r="B1134" t="s">
        <v>7106</v>
      </c>
      <c r="C1134" s="767">
        <v>28827.26</v>
      </c>
      <c r="D1134" s="767">
        <v>28827.26</v>
      </c>
      <c r="E1134" s="767">
        <v>28827.26</v>
      </c>
      <c r="H1134" s="767">
        <v>28827.26</v>
      </c>
    </row>
    <row r="1135" spans="1:9">
      <c r="A1135" s="828">
        <v>44200</v>
      </c>
      <c r="B1135" t="s">
        <v>7107</v>
      </c>
      <c r="C1135" s="767">
        <v>60668.97</v>
      </c>
      <c r="D1135" s="767">
        <v>60668.97</v>
      </c>
      <c r="E1135" s="767">
        <v>89496.23</v>
      </c>
      <c r="H1135" s="767">
        <v>60668.97</v>
      </c>
    </row>
    <row r="1137" spans="1:9">
      <c r="A1137" t="s">
        <v>4216</v>
      </c>
      <c r="B1137" s="767">
        <v>89496.23</v>
      </c>
      <c r="C1137" s="767">
        <v>89496.23</v>
      </c>
      <c r="D1137">
        <v>0</v>
      </c>
      <c r="E1137">
        <v>0</v>
      </c>
      <c r="F1137" s="767">
        <v>89496.23</v>
      </c>
      <c r="G1137">
        <v>0</v>
      </c>
    </row>
    <row r="1139" spans="1:9">
      <c r="A1139">
        <v>11898</v>
      </c>
      <c r="B1139" t="s">
        <v>3420</v>
      </c>
    </row>
    <row r="1140" spans="1:9">
      <c r="A1140" s="828">
        <v>43840</v>
      </c>
      <c r="B1140" t="s">
        <v>5461</v>
      </c>
      <c r="C1140" s="767">
        <v>4437.51</v>
      </c>
      <c r="D1140" s="767">
        <v>4437.51</v>
      </c>
      <c r="E1140" s="767">
        <v>4437.51</v>
      </c>
      <c r="I1140" s="767">
        <v>4437.51</v>
      </c>
    </row>
    <row r="1142" spans="1:9">
      <c r="A1142" t="s">
        <v>4216</v>
      </c>
      <c r="B1142" s="767">
        <v>4437.51</v>
      </c>
      <c r="C1142" s="767">
        <v>4437.51</v>
      </c>
      <c r="D1142">
        <v>0</v>
      </c>
      <c r="E1142">
        <v>0</v>
      </c>
      <c r="F1142">
        <v>0</v>
      </c>
      <c r="G1142" s="767">
        <v>4437.51</v>
      </c>
    </row>
    <row r="1144" spans="1:9">
      <c r="A1144">
        <v>11905</v>
      </c>
      <c r="B1144" t="s">
        <v>3421</v>
      </c>
    </row>
    <row r="1145" spans="1:9">
      <c r="A1145" s="828">
        <v>43232</v>
      </c>
      <c r="B1145" t="s">
        <v>4607</v>
      </c>
      <c r="C1145" s="767">
        <v>1177.0999999999999</v>
      </c>
      <c r="D1145" s="767">
        <v>1177.0999999999999</v>
      </c>
      <c r="E1145" s="767">
        <v>1177.0999999999999</v>
      </c>
      <c r="I1145" s="767">
        <v>1177.0999999999999</v>
      </c>
    </row>
    <row r="1147" spans="1:9">
      <c r="A1147" t="s">
        <v>4216</v>
      </c>
      <c r="B1147" s="767">
        <v>1177.0999999999999</v>
      </c>
      <c r="C1147" s="767">
        <v>1177.0999999999999</v>
      </c>
      <c r="D1147">
        <v>0</v>
      </c>
      <c r="E1147">
        <v>0</v>
      </c>
      <c r="F1147">
        <v>0</v>
      </c>
      <c r="G1147" s="767">
        <v>1177.0999999999999</v>
      </c>
    </row>
    <row r="1149" spans="1:9">
      <c r="A1149">
        <v>11908</v>
      </c>
      <c r="B1149" t="s">
        <v>7108</v>
      </c>
    </row>
    <row r="1150" spans="1:9">
      <c r="A1150" s="828">
        <v>44200</v>
      </c>
      <c r="B1150" t="s">
        <v>7109</v>
      </c>
      <c r="C1150">
        <v>103.72</v>
      </c>
      <c r="D1150">
        <v>103.72</v>
      </c>
      <c r="E1150">
        <v>103.72</v>
      </c>
      <c r="H1150">
        <v>103.72</v>
      </c>
    </row>
    <row r="1152" spans="1:9">
      <c r="A1152" t="s">
        <v>4216</v>
      </c>
      <c r="B1152">
        <v>103.72</v>
      </c>
      <c r="C1152">
        <v>103.72</v>
      </c>
      <c r="D1152">
        <v>0</v>
      </c>
      <c r="E1152">
        <v>0</v>
      </c>
      <c r="F1152">
        <v>103.72</v>
      </c>
      <c r="G1152">
        <v>0</v>
      </c>
    </row>
    <row r="1154" spans="1:9">
      <c r="A1154">
        <v>11909</v>
      </c>
      <c r="B1154" t="s">
        <v>2130</v>
      </c>
    </row>
    <row r="1155" spans="1:9">
      <c r="A1155" s="828">
        <v>44230</v>
      </c>
      <c r="B1155" t="s">
        <v>6590</v>
      </c>
      <c r="C1155" s="767">
        <v>6930.97</v>
      </c>
      <c r="D1155" s="767">
        <v>6930.97</v>
      </c>
      <c r="E1155" s="767">
        <v>6930.97</v>
      </c>
      <c r="I1155" s="767">
        <v>6930.97</v>
      </c>
    </row>
    <row r="1156" spans="1:9">
      <c r="A1156" s="828">
        <v>44200</v>
      </c>
      <c r="B1156" t="s">
        <v>7110</v>
      </c>
      <c r="C1156" s="767">
        <v>7089.52</v>
      </c>
      <c r="D1156" s="767">
        <v>7089.52</v>
      </c>
      <c r="E1156" s="767">
        <v>14020.49</v>
      </c>
      <c r="H1156" s="767">
        <v>7089.52</v>
      </c>
    </row>
    <row r="1158" spans="1:9">
      <c r="A1158" t="s">
        <v>4216</v>
      </c>
      <c r="B1158" s="767">
        <v>14020.49</v>
      </c>
      <c r="C1158" s="767">
        <v>14020.49</v>
      </c>
      <c r="D1158">
        <v>0</v>
      </c>
      <c r="E1158">
        <v>0</v>
      </c>
      <c r="F1158" s="767">
        <v>7089.52</v>
      </c>
      <c r="G1158" s="767">
        <v>6930.97</v>
      </c>
    </row>
    <row r="1160" spans="1:9">
      <c r="A1160">
        <v>11916</v>
      </c>
      <c r="B1160" t="s">
        <v>5402</v>
      </c>
    </row>
    <row r="1161" spans="1:9">
      <c r="A1161" s="828">
        <v>43870</v>
      </c>
      <c r="B1161" t="s">
        <v>5403</v>
      </c>
      <c r="C1161" s="767">
        <v>2905.38</v>
      </c>
      <c r="D1161" s="767">
        <v>2905.38</v>
      </c>
      <c r="E1161" s="767">
        <v>2905.38</v>
      </c>
      <c r="I1161" s="767">
        <v>2905.38</v>
      </c>
    </row>
    <row r="1162" spans="1:9">
      <c r="A1162" s="828">
        <v>43871</v>
      </c>
      <c r="B1162" t="s">
        <v>5462</v>
      </c>
      <c r="C1162" s="767">
        <v>1999.46</v>
      </c>
      <c r="D1162" s="767">
        <v>1999.46</v>
      </c>
      <c r="E1162" s="767">
        <v>4904.84</v>
      </c>
      <c r="I1162" s="767">
        <v>1999.46</v>
      </c>
    </row>
    <row r="1163" spans="1:9">
      <c r="A1163" s="828">
        <v>43932</v>
      </c>
      <c r="B1163" t="s">
        <v>5534</v>
      </c>
      <c r="C1163" s="767">
        <v>1282.28</v>
      </c>
      <c r="D1163" s="767">
        <v>1282.28</v>
      </c>
      <c r="E1163" s="767">
        <v>6187.12</v>
      </c>
      <c r="I1163" s="767">
        <v>1282.28</v>
      </c>
    </row>
    <row r="1164" spans="1:9">
      <c r="A1164" s="828">
        <v>43842</v>
      </c>
      <c r="B1164" t="s">
        <v>5862</v>
      </c>
      <c r="C1164" s="767">
        <v>1320.03</v>
      </c>
      <c r="D1164" s="767">
        <v>1320.03</v>
      </c>
      <c r="E1164" s="767">
        <v>7507.15</v>
      </c>
      <c r="I1164" s="767">
        <v>1320.03</v>
      </c>
    </row>
    <row r="1165" spans="1:9">
      <c r="A1165" s="828">
        <v>44317</v>
      </c>
      <c r="B1165" t="s">
        <v>6083</v>
      </c>
      <c r="C1165" s="767">
        <v>1219.24</v>
      </c>
      <c r="D1165" s="767">
        <v>1219.24</v>
      </c>
      <c r="E1165" s="767">
        <v>8726.39</v>
      </c>
      <c r="I1165" s="767">
        <v>1219.24</v>
      </c>
    </row>
    <row r="1166" spans="1:9">
      <c r="A1166" s="828">
        <v>44318</v>
      </c>
      <c r="B1166" t="s">
        <v>6360</v>
      </c>
      <c r="C1166" s="767">
        <v>1264.79</v>
      </c>
      <c r="D1166" s="767">
        <v>1264.79</v>
      </c>
      <c r="E1166" s="767">
        <v>9991.18</v>
      </c>
      <c r="I1166" s="767">
        <v>1264.79</v>
      </c>
    </row>
    <row r="1167" spans="1:9">
      <c r="A1167" s="828">
        <v>44230</v>
      </c>
      <c r="B1167" t="s">
        <v>6591</v>
      </c>
      <c r="C1167" s="767">
        <v>1280.6500000000001</v>
      </c>
      <c r="D1167" s="767">
        <v>1280.6500000000001</v>
      </c>
      <c r="E1167" s="767">
        <v>11271.83</v>
      </c>
      <c r="I1167" s="767">
        <v>1280.6500000000001</v>
      </c>
    </row>
    <row r="1168" spans="1:9">
      <c r="A1168" s="828">
        <v>44200</v>
      </c>
      <c r="B1168" t="s">
        <v>7111</v>
      </c>
      <c r="C1168" s="767">
        <v>2086.0700000000002</v>
      </c>
      <c r="D1168" s="767">
        <v>2086.0700000000002</v>
      </c>
      <c r="E1168" s="767">
        <v>13357.9</v>
      </c>
      <c r="H1168" s="767">
        <v>2086.0700000000002</v>
      </c>
    </row>
    <row r="1170" spans="1:9">
      <c r="A1170" t="s">
        <v>4216</v>
      </c>
      <c r="B1170" s="767">
        <v>13357.9</v>
      </c>
      <c r="C1170" s="767">
        <v>13357.9</v>
      </c>
      <c r="D1170">
        <v>0</v>
      </c>
      <c r="E1170">
        <v>0</v>
      </c>
      <c r="F1170" s="767">
        <v>2086.0700000000002</v>
      </c>
      <c r="G1170" s="767">
        <v>11271.83</v>
      </c>
    </row>
    <row r="1172" spans="1:9">
      <c r="A1172">
        <v>11918</v>
      </c>
      <c r="B1172" t="s">
        <v>2134</v>
      </c>
    </row>
    <row r="1173" spans="1:9">
      <c r="A1173" s="828">
        <v>43962</v>
      </c>
      <c r="B1173" t="s">
        <v>5535</v>
      </c>
      <c r="C1173" s="767">
        <v>7944.99</v>
      </c>
      <c r="D1173" s="767">
        <v>7944.99</v>
      </c>
      <c r="E1173" s="767">
        <v>7944.99</v>
      </c>
      <c r="I1173" s="767">
        <v>7944.99</v>
      </c>
    </row>
    <row r="1174" spans="1:9">
      <c r="A1174" s="828">
        <v>44317</v>
      </c>
      <c r="B1174" t="s">
        <v>6084</v>
      </c>
      <c r="C1174" s="767">
        <v>8142.46</v>
      </c>
      <c r="D1174" s="767">
        <v>8142.46</v>
      </c>
      <c r="E1174" s="767">
        <v>16087.45</v>
      </c>
      <c r="I1174" s="767">
        <v>8142.46</v>
      </c>
    </row>
    <row r="1175" spans="1:9">
      <c r="A1175" s="828">
        <v>44317</v>
      </c>
      <c r="B1175" t="s">
        <v>6085</v>
      </c>
      <c r="C1175" s="767">
        <v>9107.9500000000007</v>
      </c>
      <c r="D1175" s="767">
        <v>9107.9500000000007</v>
      </c>
      <c r="E1175" s="767">
        <v>25195.4</v>
      </c>
      <c r="I1175" s="767">
        <v>9107.9500000000007</v>
      </c>
    </row>
    <row r="1176" spans="1:9">
      <c r="A1176" s="828">
        <v>44257</v>
      </c>
      <c r="B1176" t="s">
        <v>6361</v>
      </c>
      <c r="C1176" s="767">
        <v>8998.39</v>
      </c>
      <c r="D1176" s="767">
        <v>8998.39</v>
      </c>
      <c r="E1176" s="767">
        <v>34193.79</v>
      </c>
      <c r="I1176" s="767">
        <v>8998.39</v>
      </c>
    </row>
    <row r="1177" spans="1:9">
      <c r="A1177" s="828">
        <v>44257</v>
      </c>
      <c r="B1177" t="s">
        <v>6362</v>
      </c>
      <c r="C1177" s="767">
        <v>4835.95</v>
      </c>
      <c r="D1177" s="767">
        <v>4835.95</v>
      </c>
      <c r="E1177" s="767">
        <v>39029.74</v>
      </c>
      <c r="I1177" s="767">
        <v>4835.95</v>
      </c>
    </row>
    <row r="1178" spans="1:9">
      <c r="A1178" s="828">
        <v>44199</v>
      </c>
      <c r="B1178" t="s">
        <v>6592</v>
      </c>
      <c r="C1178" s="767">
        <v>8325.74</v>
      </c>
      <c r="D1178" s="767">
        <v>8325.74</v>
      </c>
      <c r="E1178" s="767">
        <v>47355.48</v>
      </c>
      <c r="I1178" s="767">
        <v>8325.74</v>
      </c>
    </row>
    <row r="1179" spans="1:9">
      <c r="A1179" s="828">
        <v>44199</v>
      </c>
      <c r="B1179" t="s">
        <v>6593</v>
      </c>
      <c r="C1179" s="767">
        <v>9731.89</v>
      </c>
      <c r="D1179" s="767">
        <v>9731.89</v>
      </c>
      <c r="E1179" s="767">
        <v>57087.37</v>
      </c>
      <c r="I1179" s="767">
        <v>9731.89</v>
      </c>
    </row>
    <row r="1180" spans="1:9">
      <c r="A1180" s="828">
        <v>44200</v>
      </c>
      <c r="B1180" t="s">
        <v>7112</v>
      </c>
      <c r="C1180" s="767">
        <v>7024.85</v>
      </c>
      <c r="D1180" s="767">
        <v>7024.85</v>
      </c>
      <c r="E1180" s="767">
        <v>64112.22</v>
      </c>
      <c r="H1180" s="767">
        <v>7024.85</v>
      </c>
    </row>
    <row r="1182" spans="1:9">
      <c r="A1182" t="s">
        <v>4216</v>
      </c>
      <c r="B1182" s="767">
        <v>64112.22</v>
      </c>
      <c r="C1182" s="767">
        <v>64112.22</v>
      </c>
      <c r="D1182">
        <v>0</v>
      </c>
      <c r="E1182">
        <v>0</v>
      </c>
      <c r="F1182" s="767">
        <v>7024.85</v>
      </c>
      <c r="G1182" s="767">
        <v>57087.37</v>
      </c>
    </row>
    <row r="1184" spans="1:9">
      <c r="A1184">
        <v>11921</v>
      </c>
      <c r="B1184" t="s">
        <v>3422</v>
      </c>
    </row>
    <row r="1185" spans="1:9">
      <c r="A1185" s="828">
        <v>43322</v>
      </c>
      <c r="B1185" t="s">
        <v>4608</v>
      </c>
      <c r="C1185" s="767">
        <v>2883.35</v>
      </c>
      <c r="D1185" s="767">
        <v>2883.35</v>
      </c>
      <c r="E1185" s="767">
        <v>2883.35</v>
      </c>
      <c r="I1185" s="767">
        <v>2883.35</v>
      </c>
    </row>
    <row r="1187" spans="1:9">
      <c r="A1187" t="s">
        <v>4216</v>
      </c>
      <c r="B1187" s="767">
        <v>2883.35</v>
      </c>
      <c r="C1187" s="767">
        <v>2883.35</v>
      </c>
      <c r="D1187">
        <v>0</v>
      </c>
      <c r="E1187">
        <v>0</v>
      </c>
      <c r="F1187">
        <v>0</v>
      </c>
      <c r="G1187" s="767">
        <v>2883.35</v>
      </c>
    </row>
    <row r="1189" spans="1:9">
      <c r="A1189">
        <v>11925</v>
      </c>
      <c r="B1189" t="s">
        <v>6086</v>
      </c>
    </row>
    <row r="1190" spans="1:9">
      <c r="A1190" s="828">
        <v>44288</v>
      </c>
      <c r="B1190" t="s">
        <v>6363</v>
      </c>
      <c r="C1190">
        <v>399.56</v>
      </c>
      <c r="D1190">
        <v>399.56</v>
      </c>
      <c r="E1190">
        <v>399.56</v>
      </c>
      <c r="I1190">
        <v>399.56</v>
      </c>
    </row>
    <row r="1191" spans="1:9">
      <c r="A1191" s="828">
        <v>44442</v>
      </c>
      <c r="B1191" t="s">
        <v>6594</v>
      </c>
      <c r="C1191">
        <v>122.1</v>
      </c>
      <c r="D1191">
        <v>122.1</v>
      </c>
      <c r="E1191">
        <v>521.66</v>
      </c>
      <c r="H1191">
        <v>122.1</v>
      </c>
    </row>
    <row r="1192" spans="1:9">
      <c r="A1192" s="828">
        <v>44200</v>
      </c>
      <c r="B1192" t="s">
        <v>7113</v>
      </c>
      <c r="C1192">
        <v>716.66</v>
      </c>
      <c r="D1192">
        <v>716.66</v>
      </c>
      <c r="E1192" s="767">
        <v>1238.32</v>
      </c>
      <c r="H1192">
        <v>716.66</v>
      </c>
    </row>
    <row r="1194" spans="1:9">
      <c r="A1194" t="s">
        <v>4216</v>
      </c>
      <c r="B1194" s="767">
        <v>1238.32</v>
      </c>
      <c r="C1194" s="767">
        <v>1238.32</v>
      </c>
      <c r="D1194">
        <v>0</v>
      </c>
      <c r="E1194">
        <v>0</v>
      </c>
      <c r="F1194">
        <v>838.76</v>
      </c>
      <c r="G1194">
        <v>399.56</v>
      </c>
    </row>
    <row r="1196" spans="1:9">
      <c r="A1196">
        <v>11928</v>
      </c>
      <c r="B1196" t="s">
        <v>1805</v>
      </c>
    </row>
    <row r="1197" spans="1:9">
      <c r="A1197" s="828">
        <v>43989</v>
      </c>
      <c r="B1197" t="s">
        <v>4609</v>
      </c>
      <c r="C1197">
        <v>649.9</v>
      </c>
      <c r="D1197">
        <v>649.9</v>
      </c>
      <c r="E1197">
        <v>649.9</v>
      </c>
      <c r="I1197">
        <v>649.9</v>
      </c>
    </row>
    <row r="1199" spans="1:9">
      <c r="A1199" t="s">
        <v>4216</v>
      </c>
      <c r="B1199">
        <v>649.9</v>
      </c>
      <c r="C1199">
        <v>649.9</v>
      </c>
      <c r="D1199">
        <v>0</v>
      </c>
      <c r="E1199">
        <v>0</v>
      </c>
      <c r="F1199">
        <v>0</v>
      </c>
      <c r="G1199">
        <v>649.9</v>
      </c>
    </row>
    <row r="1201" spans="1:9">
      <c r="A1201">
        <v>11937</v>
      </c>
      <c r="B1201" t="s">
        <v>3423</v>
      </c>
    </row>
    <row r="1202" spans="1:9">
      <c r="A1202" t="s">
        <v>6977</v>
      </c>
      <c r="B1202" t="s">
        <v>7114</v>
      </c>
      <c r="C1202" s="767">
        <v>168616.81</v>
      </c>
      <c r="D1202" s="767">
        <v>168616.81</v>
      </c>
      <c r="E1202" s="767">
        <v>168616.81</v>
      </c>
      <c r="G1202" s="767">
        <v>168616.81</v>
      </c>
    </row>
    <row r="1204" spans="1:9">
      <c r="A1204" t="s">
        <v>4216</v>
      </c>
      <c r="B1204" s="767">
        <v>168616.81</v>
      </c>
      <c r="C1204" s="767">
        <v>168616.81</v>
      </c>
      <c r="D1204">
        <v>0</v>
      </c>
      <c r="E1204" s="767">
        <v>168616.81</v>
      </c>
      <c r="F1204">
        <v>0</v>
      </c>
      <c r="G1204">
        <v>0</v>
      </c>
    </row>
    <row r="1206" spans="1:9">
      <c r="A1206">
        <v>11941</v>
      </c>
      <c r="B1206" t="s">
        <v>6364</v>
      </c>
    </row>
    <row r="1207" spans="1:9">
      <c r="A1207" s="828">
        <v>44230</v>
      </c>
      <c r="B1207" t="s">
        <v>6595</v>
      </c>
      <c r="C1207" s="767">
        <v>15029.11</v>
      </c>
      <c r="D1207" s="767">
        <v>15029.11</v>
      </c>
      <c r="E1207" s="767">
        <v>15029.11</v>
      </c>
      <c r="I1207" s="767">
        <v>15029.11</v>
      </c>
    </row>
    <row r="1209" spans="1:9">
      <c r="A1209" t="s">
        <v>4216</v>
      </c>
      <c r="B1209" s="767">
        <v>15029.11</v>
      </c>
      <c r="C1209" s="767">
        <v>15029.11</v>
      </c>
      <c r="D1209">
        <v>0</v>
      </c>
      <c r="E1209">
        <v>0</v>
      </c>
      <c r="F1209">
        <v>0</v>
      </c>
      <c r="G1209" s="767">
        <v>15029.11</v>
      </c>
    </row>
    <row r="1211" spans="1:9">
      <c r="A1211">
        <v>11943</v>
      </c>
      <c r="B1211" t="s">
        <v>6087</v>
      </c>
    </row>
    <row r="1212" spans="1:9">
      <c r="A1212" s="828">
        <v>44200</v>
      </c>
      <c r="B1212" t="s">
        <v>7115</v>
      </c>
      <c r="C1212" s="767">
        <v>2499.85</v>
      </c>
      <c r="D1212" s="767">
        <v>2499.85</v>
      </c>
      <c r="E1212" s="767">
        <v>2499.85</v>
      </c>
      <c r="H1212" s="767">
        <v>2499.85</v>
      </c>
    </row>
    <row r="1213" spans="1:9">
      <c r="A1213" s="828">
        <v>44200</v>
      </c>
      <c r="B1213" t="s">
        <v>7116</v>
      </c>
      <c r="C1213" s="767">
        <v>2418.89</v>
      </c>
      <c r="D1213" s="767">
        <v>2418.89</v>
      </c>
      <c r="E1213" s="767">
        <v>4918.74</v>
      </c>
      <c r="H1213" s="767">
        <v>2418.89</v>
      </c>
    </row>
    <row r="1215" spans="1:9">
      <c r="A1215" t="s">
        <v>4216</v>
      </c>
      <c r="B1215" s="767">
        <v>4918.74</v>
      </c>
      <c r="C1215" s="767">
        <v>4918.74</v>
      </c>
      <c r="D1215">
        <v>0</v>
      </c>
      <c r="E1215">
        <v>0</v>
      </c>
      <c r="F1215" s="767">
        <v>4918.74</v>
      </c>
      <c r="G1215">
        <v>0</v>
      </c>
    </row>
    <row r="1217" spans="1:9">
      <c r="A1217">
        <v>11944</v>
      </c>
      <c r="B1217" t="s">
        <v>3424</v>
      </c>
    </row>
    <row r="1218" spans="1:9">
      <c r="A1218" s="828">
        <v>43232</v>
      </c>
      <c r="B1218" t="s">
        <v>4610</v>
      </c>
      <c r="C1218" s="767">
        <v>2564.83</v>
      </c>
      <c r="D1218" s="767">
        <v>2564.83</v>
      </c>
      <c r="E1218" s="767">
        <v>2564.83</v>
      </c>
      <c r="I1218" s="767">
        <v>2564.83</v>
      </c>
    </row>
    <row r="1219" spans="1:9">
      <c r="A1219" s="828">
        <v>43232</v>
      </c>
      <c r="B1219" t="s">
        <v>4611</v>
      </c>
      <c r="C1219" s="767">
        <v>2564.83</v>
      </c>
      <c r="D1219" s="767">
        <v>2564.83</v>
      </c>
      <c r="E1219" s="767">
        <v>5129.66</v>
      </c>
      <c r="I1219" s="767">
        <v>2564.83</v>
      </c>
    </row>
    <row r="1220" spans="1:9">
      <c r="A1220" s="828">
        <v>43379</v>
      </c>
      <c r="B1220" t="s">
        <v>4612</v>
      </c>
      <c r="C1220" s="767">
        <v>2564.8200000000002</v>
      </c>
      <c r="D1220" s="767">
        <v>2564.8200000000002</v>
      </c>
      <c r="E1220" s="767">
        <v>7694.48</v>
      </c>
      <c r="I1220" s="767">
        <v>2564.8200000000002</v>
      </c>
    </row>
    <row r="1221" spans="1:9">
      <c r="A1221" s="828">
        <v>43411</v>
      </c>
      <c r="B1221" t="s">
        <v>4613</v>
      </c>
      <c r="C1221" s="767">
        <v>2564.8200000000002</v>
      </c>
      <c r="D1221" s="767">
        <v>2564.8200000000002</v>
      </c>
      <c r="E1221" s="767">
        <v>10259.299999999999</v>
      </c>
      <c r="I1221" s="767">
        <v>2564.8200000000002</v>
      </c>
    </row>
    <row r="1222" spans="1:9">
      <c r="A1222" s="828">
        <v>43259</v>
      </c>
      <c r="B1222" t="s">
        <v>4614</v>
      </c>
      <c r="C1222" s="767">
        <v>2564.83</v>
      </c>
      <c r="D1222" s="767">
        <v>2564.83</v>
      </c>
      <c r="E1222" s="767">
        <v>12824.13</v>
      </c>
      <c r="I1222" s="767">
        <v>2564.83</v>
      </c>
    </row>
    <row r="1223" spans="1:9">
      <c r="A1223" t="s">
        <v>4441</v>
      </c>
      <c r="B1223" t="s">
        <v>4615</v>
      </c>
      <c r="C1223" s="767">
        <v>2564.83</v>
      </c>
      <c r="D1223" s="767">
        <v>2564.83</v>
      </c>
      <c r="E1223" s="767">
        <v>15388.96</v>
      </c>
      <c r="I1223" s="767">
        <v>2564.83</v>
      </c>
    </row>
    <row r="1224" spans="1:9">
      <c r="A1224" s="828">
        <v>43323</v>
      </c>
      <c r="B1224" t="s">
        <v>4616</v>
      </c>
      <c r="C1224" s="767">
        <v>1846.66</v>
      </c>
      <c r="D1224" s="767">
        <v>1846.66</v>
      </c>
      <c r="E1224" s="767">
        <v>17235.62</v>
      </c>
      <c r="I1224" s="767">
        <v>1846.66</v>
      </c>
    </row>
    <row r="1225" spans="1:9">
      <c r="A1225" s="828">
        <v>43232</v>
      </c>
      <c r="B1225" t="s">
        <v>4617</v>
      </c>
      <c r="C1225" s="767">
        <v>1846.66</v>
      </c>
      <c r="D1225" s="767">
        <v>1846.66</v>
      </c>
      <c r="E1225" s="767">
        <v>19082.28</v>
      </c>
      <c r="I1225" s="767">
        <v>1846.66</v>
      </c>
    </row>
    <row r="1226" spans="1:9">
      <c r="A1226" s="828">
        <v>43770</v>
      </c>
      <c r="B1226" t="s">
        <v>4618</v>
      </c>
      <c r="C1226" s="767">
        <v>1846.66</v>
      </c>
      <c r="D1226" s="767">
        <v>1846.66</v>
      </c>
      <c r="E1226" s="767">
        <v>20928.939999999999</v>
      </c>
      <c r="I1226" s="767">
        <v>1846.66</v>
      </c>
    </row>
    <row r="1227" spans="1:9">
      <c r="A1227" s="828">
        <v>43648</v>
      </c>
      <c r="B1227" t="s">
        <v>4619</v>
      </c>
      <c r="C1227" s="767">
        <v>2028.38</v>
      </c>
      <c r="D1227" s="767">
        <v>2028.38</v>
      </c>
      <c r="E1227" s="767">
        <v>22957.32</v>
      </c>
      <c r="I1227" s="767">
        <v>2028.38</v>
      </c>
    </row>
    <row r="1228" spans="1:9">
      <c r="A1228" s="828">
        <v>43588</v>
      </c>
      <c r="B1228" t="s">
        <v>4620</v>
      </c>
      <c r="C1228" s="767">
        <v>2028.38</v>
      </c>
      <c r="D1228" s="767">
        <v>2028.38</v>
      </c>
      <c r="E1228" s="767">
        <v>24985.7</v>
      </c>
      <c r="I1228" s="767">
        <v>2028.38</v>
      </c>
    </row>
    <row r="1229" spans="1:9">
      <c r="A1229" s="828">
        <v>43559</v>
      </c>
      <c r="B1229" t="s">
        <v>4621</v>
      </c>
      <c r="C1229" s="767">
        <v>2028.38</v>
      </c>
      <c r="D1229" s="767">
        <v>2028.38</v>
      </c>
      <c r="E1229" s="767">
        <v>27014.080000000002</v>
      </c>
      <c r="I1229" s="767">
        <v>2028.38</v>
      </c>
    </row>
    <row r="1230" spans="1:9">
      <c r="A1230" s="828">
        <v>43651</v>
      </c>
      <c r="B1230" t="s">
        <v>4622</v>
      </c>
      <c r="C1230" s="767">
        <v>2028.38</v>
      </c>
      <c r="D1230" s="767">
        <v>2028.38</v>
      </c>
      <c r="E1230" s="767">
        <v>29042.46</v>
      </c>
      <c r="I1230" s="767">
        <v>2028.38</v>
      </c>
    </row>
    <row r="1231" spans="1:9">
      <c r="A1231" s="828">
        <v>43561</v>
      </c>
      <c r="B1231" t="s">
        <v>4623</v>
      </c>
      <c r="C1231" s="767">
        <v>2028.38</v>
      </c>
      <c r="D1231" s="767">
        <v>2028.38</v>
      </c>
      <c r="E1231" s="767">
        <v>31070.84</v>
      </c>
      <c r="I1231" s="767">
        <v>2028.38</v>
      </c>
    </row>
    <row r="1232" spans="1:9">
      <c r="A1232" s="828">
        <v>43531</v>
      </c>
      <c r="B1232" t="s">
        <v>4624</v>
      </c>
      <c r="C1232" s="767">
        <v>2028.38</v>
      </c>
      <c r="D1232" s="767">
        <v>2028.38</v>
      </c>
      <c r="E1232" s="767">
        <v>33099.22</v>
      </c>
      <c r="I1232" s="767">
        <v>2028.38</v>
      </c>
    </row>
    <row r="1233" spans="1:9">
      <c r="A1233" s="828">
        <v>43473</v>
      </c>
      <c r="B1233" t="s">
        <v>4625</v>
      </c>
      <c r="C1233" s="767">
        <v>2028.38</v>
      </c>
      <c r="D1233" s="767">
        <v>2028.38</v>
      </c>
      <c r="E1233" s="767">
        <v>35127.599999999999</v>
      </c>
      <c r="I1233" s="767">
        <v>2028.38</v>
      </c>
    </row>
    <row r="1234" spans="1:9">
      <c r="A1234" s="828">
        <v>43533</v>
      </c>
      <c r="B1234" t="s">
        <v>4626</v>
      </c>
      <c r="C1234" s="767">
        <v>2028.38</v>
      </c>
      <c r="D1234" s="767">
        <v>2028.38</v>
      </c>
      <c r="E1234" s="767">
        <v>37155.980000000003</v>
      </c>
      <c r="I1234" s="767">
        <v>2028.38</v>
      </c>
    </row>
    <row r="1235" spans="1:9">
      <c r="A1235" s="828">
        <v>43565</v>
      </c>
      <c r="B1235" t="s">
        <v>4627</v>
      </c>
      <c r="C1235" s="767">
        <v>2028.38</v>
      </c>
      <c r="D1235" s="767">
        <v>2028.38</v>
      </c>
      <c r="E1235" s="767">
        <v>39184.36</v>
      </c>
      <c r="I1235" s="767">
        <v>2028.38</v>
      </c>
    </row>
    <row r="1236" spans="1:9">
      <c r="A1236" s="828">
        <v>43596</v>
      </c>
      <c r="B1236" t="s">
        <v>4628</v>
      </c>
      <c r="C1236" s="767">
        <v>2028.38</v>
      </c>
      <c r="D1236" s="767">
        <v>2028.38</v>
      </c>
      <c r="E1236" s="767">
        <v>41212.74</v>
      </c>
      <c r="I1236" s="767">
        <v>2028.38</v>
      </c>
    </row>
    <row r="1237" spans="1:9">
      <c r="A1237" s="828">
        <v>43477</v>
      </c>
      <c r="B1237" t="s">
        <v>4629</v>
      </c>
      <c r="C1237" s="767">
        <v>2028.38</v>
      </c>
      <c r="D1237" s="767">
        <v>2028.38</v>
      </c>
      <c r="E1237" s="767">
        <v>43241.120000000003</v>
      </c>
      <c r="I1237" s="767">
        <v>2028.38</v>
      </c>
    </row>
    <row r="1238" spans="1:9">
      <c r="A1238" s="828">
        <v>44075</v>
      </c>
      <c r="B1238" t="s">
        <v>4630</v>
      </c>
      <c r="C1238" s="767">
        <v>2028.38</v>
      </c>
      <c r="D1238" s="767">
        <v>2028.38</v>
      </c>
      <c r="E1238" s="767">
        <v>45269.5</v>
      </c>
      <c r="I1238" s="767">
        <v>2028.38</v>
      </c>
    </row>
    <row r="1239" spans="1:9">
      <c r="A1239" s="828">
        <v>44168</v>
      </c>
      <c r="B1239" t="s">
        <v>4631</v>
      </c>
      <c r="C1239" s="767">
        <v>2375.5500000000002</v>
      </c>
      <c r="D1239" s="767">
        <v>2375.5500000000002</v>
      </c>
      <c r="E1239" s="767">
        <v>47645.05</v>
      </c>
      <c r="I1239" s="767">
        <v>2375.5500000000002</v>
      </c>
    </row>
    <row r="1240" spans="1:9">
      <c r="A1240" s="828">
        <v>44168</v>
      </c>
      <c r="B1240" t="s">
        <v>4632</v>
      </c>
      <c r="C1240" s="767">
        <v>2375.5500000000002</v>
      </c>
      <c r="D1240" s="767">
        <v>2375.5500000000002</v>
      </c>
      <c r="E1240" s="767">
        <v>50020.6</v>
      </c>
      <c r="I1240" s="767">
        <v>2375.5500000000002</v>
      </c>
    </row>
    <row r="1241" spans="1:9">
      <c r="A1241" t="s">
        <v>4633</v>
      </c>
      <c r="B1241" t="s">
        <v>4634</v>
      </c>
      <c r="C1241">
        <v>433.94</v>
      </c>
      <c r="D1241">
        <v>433.94</v>
      </c>
      <c r="E1241" s="767">
        <v>50454.54</v>
      </c>
      <c r="I1241">
        <v>433.94</v>
      </c>
    </row>
    <row r="1243" spans="1:9">
      <c r="A1243" t="s">
        <v>4216</v>
      </c>
      <c r="B1243" s="767">
        <v>50454.54</v>
      </c>
      <c r="C1243" s="767">
        <v>50454.54</v>
      </c>
      <c r="D1243">
        <v>0</v>
      </c>
      <c r="E1243">
        <v>0</v>
      </c>
      <c r="F1243">
        <v>0</v>
      </c>
      <c r="G1243" s="767">
        <v>50454.54</v>
      </c>
    </row>
    <row r="1245" spans="1:9">
      <c r="A1245">
        <v>11945</v>
      </c>
      <c r="B1245" t="s">
        <v>2878</v>
      </c>
    </row>
    <row r="1246" spans="1:9">
      <c r="A1246" s="828">
        <v>43232</v>
      </c>
      <c r="B1246" t="s">
        <v>4635</v>
      </c>
      <c r="C1246" s="767">
        <v>5854.1</v>
      </c>
      <c r="D1246" s="767">
        <v>5854.1</v>
      </c>
      <c r="E1246" s="767">
        <v>5854.1</v>
      </c>
      <c r="I1246" s="767">
        <v>5854.1</v>
      </c>
    </row>
    <row r="1247" spans="1:9">
      <c r="A1247" s="828">
        <v>43232</v>
      </c>
      <c r="B1247" t="s">
        <v>4636</v>
      </c>
      <c r="C1247" s="767">
        <v>4914.57</v>
      </c>
      <c r="D1247" s="767">
        <v>4914.57</v>
      </c>
      <c r="E1247" s="767">
        <v>10768.67</v>
      </c>
      <c r="I1247" s="767">
        <v>4914.57</v>
      </c>
    </row>
    <row r="1249" spans="1:9">
      <c r="A1249" t="s">
        <v>4216</v>
      </c>
      <c r="B1249" s="767">
        <v>10768.67</v>
      </c>
      <c r="C1249" s="767">
        <v>10768.67</v>
      </c>
      <c r="D1249">
        <v>0</v>
      </c>
      <c r="E1249">
        <v>0</v>
      </c>
      <c r="F1249">
        <v>0</v>
      </c>
      <c r="G1249" s="767">
        <v>10768.67</v>
      </c>
    </row>
    <row r="1251" spans="1:9">
      <c r="A1251">
        <v>11946</v>
      </c>
      <c r="B1251" t="s">
        <v>3425</v>
      </c>
    </row>
    <row r="1252" spans="1:9">
      <c r="A1252" t="s">
        <v>4480</v>
      </c>
      <c r="B1252" t="s">
        <v>4637</v>
      </c>
      <c r="C1252" s="767">
        <v>12277.58</v>
      </c>
      <c r="D1252" s="767">
        <v>12277.58</v>
      </c>
      <c r="E1252" s="767">
        <v>12277.58</v>
      </c>
      <c r="I1252" s="767">
        <v>12277.58</v>
      </c>
    </row>
    <row r="1253" spans="1:9">
      <c r="A1253" t="s">
        <v>4638</v>
      </c>
      <c r="B1253" t="s">
        <v>4639</v>
      </c>
      <c r="C1253" s="767">
        <v>12097.84</v>
      </c>
      <c r="D1253" s="767">
        <v>12097.84</v>
      </c>
      <c r="E1253" s="767">
        <v>24375.42</v>
      </c>
      <c r="I1253" s="767">
        <v>12097.84</v>
      </c>
    </row>
    <row r="1254" spans="1:9">
      <c r="A1254" t="s">
        <v>4385</v>
      </c>
      <c r="B1254" t="s">
        <v>4640</v>
      </c>
      <c r="C1254" s="767">
        <v>9559.5499999999993</v>
      </c>
      <c r="D1254" s="767">
        <v>9559.5499999999993</v>
      </c>
      <c r="E1254" s="767">
        <v>33934.97</v>
      </c>
      <c r="I1254" s="767">
        <v>9559.5499999999993</v>
      </c>
    </row>
    <row r="1255" spans="1:9">
      <c r="A1255" s="828">
        <v>43899</v>
      </c>
      <c r="B1255" t="s">
        <v>5404</v>
      </c>
      <c r="C1255" s="767">
        <v>7260.04</v>
      </c>
      <c r="D1255" s="767">
        <v>7260.04</v>
      </c>
      <c r="E1255" s="767">
        <v>41195.01</v>
      </c>
      <c r="I1255" s="767">
        <v>7260.04</v>
      </c>
    </row>
    <row r="1256" spans="1:9">
      <c r="A1256" s="828">
        <v>44022</v>
      </c>
      <c r="B1256" t="s">
        <v>5463</v>
      </c>
      <c r="C1256" s="767">
        <v>5892.11</v>
      </c>
      <c r="D1256" s="767">
        <v>5892.11</v>
      </c>
      <c r="E1256" s="767">
        <v>47087.12</v>
      </c>
      <c r="I1256" s="767">
        <v>5892.11</v>
      </c>
    </row>
    <row r="1257" spans="1:9">
      <c r="A1257" s="828">
        <v>43932</v>
      </c>
      <c r="B1257" t="s">
        <v>5536</v>
      </c>
      <c r="C1257" s="767">
        <v>8339.59</v>
      </c>
      <c r="D1257" s="767">
        <v>8339.59</v>
      </c>
      <c r="E1257" s="767">
        <v>55426.71</v>
      </c>
      <c r="I1257" s="767">
        <v>8339.59</v>
      </c>
    </row>
    <row r="1258" spans="1:9">
      <c r="A1258" s="828">
        <v>44289</v>
      </c>
      <c r="B1258" t="s">
        <v>6596</v>
      </c>
      <c r="C1258">
        <v>756.29</v>
      </c>
      <c r="D1258">
        <v>756.29</v>
      </c>
      <c r="E1258" s="767">
        <v>56183</v>
      </c>
      <c r="I1258">
        <v>756.29</v>
      </c>
    </row>
    <row r="1259" spans="1:9">
      <c r="A1259" s="828">
        <v>44351</v>
      </c>
      <c r="B1259" t="s">
        <v>7117</v>
      </c>
      <c r="C1259">
        <v>716.66</v>
      </c>
      <c r="D1259">
        <v>716.66</v>
      </c>
      <c r="E1259" s="767">
        <v>56899.66</v>
      </c>
      <c r="G1259">
        <v>716.66</v>
      </c>
    </row>
    <row r="1261" spans="1:9">
      <c r="A1261" t="s">
        <v>4216</v>
      </c>
      <c r="B1261" s="767">
        <v>56899.66</v>
      </c>
      <c r="C1261" s="767">
        <v>56899.66</v>
      </c>
      <c r="D1261">
        <v>0</v>
      </c>
      <c r="E1261">
        <v>716.66</v>
      </c>
      <c r="F1261">
        <v>0</v>
      </c>
      <c r="G1261" s="767">
        <v>56183</v>
      </c>
    </row>
    <row r="1263" spans="1:9">
      <c r="A1263">
        <v>11949</v>
      </c>
      <c r="B1263" t="s">
        <v>6597</v>
      </c>
    </row>
    <row r="1264" spans="1:9">
      <c r="A1264" s="828">
        <v>44230</v>
      </c>
      <c r="B1264" t="s">
        <v>6598</v>
      </c>
      <c r="C1264" s="767">
        <v>1405.2</v>
      </c>
      <c r="D1264" s="767">
        <v>1405.2</v>
      </c>
      <c r="E1264" s="767">
        <v>1405.2</v>
      </c>
      <c r="I1264" s="767">
        <v>1405.2</v>
      </c>
    </row>
    <row r="1265" spans="1:9">
      <c r="A1265" s="828">
        <v>44200</v>
      </c>
      <c r="B1265" t="s">
        <v>7118</v>
      </c>
      <c r="C1265" s="767">
        <v>1101.57</v>
      </c>
      <c r="D1265" s="767">
        <v>1101.57</v>
      </c>
      <c r="E1265" s="767">
        <v>2506.77</v>
      </c>
      <c r="H1265" s="767">
        <v>1101.57</v>
      </c>
    </row>
    <row r="1267" spans="1:9">
      <c r="A1267" t="s">
        <v>4216</v>
      </c>
      <c r="B1267" s="767">
        <v>2506.77</v>
      </c>
      <c r="C1267" s="767">
        <v>2506.77</v>
      </c>
      <c r="D1267">
        <v>0</v>
      </c>
      <c r="E1267">
        <v>0</v>
      </c>
      <c r="F1267" s="767">
        <v>1101.57</v>
      </c>
      <c r="G1267" s="767">
        <v>1405.2</v>
      </c>
    </row>
    <row r="1269" spans="1:9">
      <c r="A1269">
        <v>11952</v>
      </c>
      <c r="B1269" t="s">
        <v>3426</v>
      </c>
    </row>
    <row r="1270" spans="1:9">
      <c r="A1270" t="s">
        <v>6088</v>
      </c>
      <c r="B1270" t="s">
        <v>6089</v>
      </c>
      <c r="C1270" s="767">
        <v>3132.34</v>
      </c>
      <c r="D1270" s="767">
        <v>3132.34</v>
      </c>
      <c r="E1270" s="767">
        <v>3132.34</v>
      </c>
      <c r="I1270" s="767">
        <v>3132.34</v>
      </c>
    </row>
    <row r="1271" spans="1:9">
      <c r="A1271" t="s">
        <v>6365</v>
      </c>
      <c r="B1271" t="s">
        <v>6366</v>
      </c>
      <c r="C1271" s="767">
        <v>2693.89</v>
      </c>
      <c r="D1271" s="767">
        <v>2693.89</v>
      </c>
      <c r="E1271" s="767">
        <v>5826.23</v>
      </c>
      <c r="I1271" s="767">
        <v>2693.89</v>
      </c>
    </row>
    <row r="1272" spans="1:9">
      <c r="A1272" s="828">
        <v>44534</v>
      </c>
      <c r="B1272" t="s">
        <v>7119</v>
      </c>
      <c r="C1272" s="767">
        <v>3352.26</v>
      </c>
      <c r="D1272" s="767">
        <v>3352.26</v>
      </c>
      <c r="E1272" s="767">
        <v>9178.49</v>
      </c>
      <c r="G1272" s="767">
        <v>3352.26</v>
      </c>
    </row>
    <row r="1274" spans="1:9">
      <c r="A1274" t="s">
        <v>4216</v>
      </c>
      <c r="B1274" s="767">
        <v>9178.49</v>
      </c>
      <c r="C1274" s="767">
        <v>9178.49</v>
      </c>
      <c r="D1274">
        <v>0</v>
      </c>
      <c r="E1274" s="767">
        <v>3352.26</v>
      </c>
      <c r="F1274">
        <v>0</v>
      </c>
      <c r="G1274" s="767">
        <v>5826.23</v>
      </c>
    </row>
    <row r="1276" spans="1:9">
      <c r="A1276">
        <v>11953</v>
      </c>
      <c r="B1276" t="s">
        <v>4641</v>
      </c>
    </row>
    <row r="1277" spans="1:9">
      <c r="A1277" s="828">
        <v>43167</v>
      </c>
      <c r="B1277" t="s">
        <v>4642</v>
      </c>
      <c r="C1277" s="767">
        <v>1025.93</v>
      </c>
      <c r="D1277" s="767">
        <v>1025.93</v>
      </c>
      <c r="E1277" s="767">
        <v>1025.93</v>
      </c>
      <c r="I1277" s="767">
        <v>1025.93</v>
      </c>
    </row>
    <row r="1278" spans="1:9">
      <c r="A1278" s="828">
        <v>43167</v>
      </c>
      <c r="B1278" t="s">
        <v>4643</v>
      </c>
      <c r="C1278">
        <v>502.12</v>
      </c>
      <c r="D1278">
        <v>502.12</v>
      </c>
      <c r="E1278" s="767">
        <v>1528.05</v>
      </c>
      <c r="I1278">
        <v>502.12</v>
      </c>
    </row>
    <row r="1279" spans="1:9">
      <c r="A1279" s="828">
        <v>43678</v>
      </c>
      <c r="B1279" t="s">
        <v>4644</v>
      </c>
      <c r="C1279" s="767">
        <v>1025.93</v>
      </c>
      <c r="D1279" s="767">
        <v>1025.93</v>
      </c>
      <c r="E1279" s="767">
        <v>2553.98</v>
      </c>
      <c r="I1279" s="767">
        <v>1025.93</v>
      </c>
    </row>
    <row r="1280" spans="1:9">
      <c r="A1280" s="828">
        <v>43678</v>
      </c>
      <c r="B1280" t="s">
        <v>4645</v>
      </c>
      <c r="C1280">
        <v>491.94</v>
      </c>
      <c r="D1280">
        <v>491.94</v>
      </c>
      <c r="E1280" s="767">
        <v>3045.92</v>
      </c>
      <c r="I1280">
        <v>491.94</v>
      </c>
    </row>
    <row r="1281" spans="1:9">
      <c r="A1281" s="828">
        <v>43565</v>
      </c>
      <c r="B1281" t="s">
        <v>4646</v>
      </c>
      <c r="C1281">
        <v>270.44</v>
      </c>
      <c r="D1281">
        <v>270.44</v>
      </c>
      <c r="E1281" s="767">
        <v>3316.36</v>
      </c>
      <c r="I1281">
        <v>270.44</v>
      </c>
    </row>
    <row r="1282" spans="1:9">
      <c r="A1282" s="828">
        <v>43687</v>
      </c>
      <c r="B1282" t="s">
        <v>4647</v>
      </c>
      <c r="C1282" s="767">
        <v>8618.7999999999993</v>
      </c>
      <c r="D1282" s="767">
        <v>8618.7999999999993</v>
      </c>
      <c r="E1282" s="767">
        <v>11935.16</v>
      </c>
      <c r="I1282" s="767">
        <v>8618.7999999999993</v>
      </c>
    </row>
    <row r="1283" spans="1:9">
      <c r="A1283" s="828">
        <v>43932</v>
      </c>
      <c r="B1283" t="s">
        <v>5537</v>
      </c>
      <c r="C1283">
        <v>150.99</v>
      </c>
      <c r="D1283">
        <v>150.99</v>
      </c>
      <c r="E1283" s="767">
        <v>12086.15</v>
      </c>
      <c r="I1283">
        <v>150.99</v>
      </c>
    </row>
    <row r="1284" spans="1:9">
      <c r="A1284" s="828">
        <v>44257</v>
      </c>
      <c r="B1284" t="s">
        <v>6367</v>
      </c>
      <c r="C1284" s="767">
        <v>1374.37</v>
      </c>
      <c r="D1284" s="767">
        <v>1374.37</v>
      </c>
      <c r="E1284" s="767">
        <v>13460.52</v>
      </c>
      <c r="I1284" s="767">
        <v>1374.37</v>
      </c>
    </row>
    <row r="1285" spans="1:9">
      <c r="A1285" s="828">
        <v>44410</v>
      </c>
      <c r="B1285" t="s">
        <v>6368</v>
      </c>
      <c r="C1285">
        <v>329.84</v>
      </c>
      <c r="D1285">
        <v>329.84</v>
      </c>
      <c r="E1285" s="767">
        <v>13790.36</v>
      </c>
      <c r="I1285">
        <v>329.84</v>
      </c>
    </row>
    <row r="1286" spans="1:9">
      <c r="A1286" s="828">
        <v>44410</v>
      </c>
      <c r="B1286" t="s">
        <v>6369</v>
      </c>
      <c r="C1286">
        <v>664.44</v>
      </c>
      <c r="D1286">
        <v>664.44</v>
      </c>
      <c r="E1286" s="767">
        <v>14454.8</v>
      </c>
      <c r="I1286">
        <v>664.44</v>
      </c>
    </row>
    <row r="1288" spans="1:9">
      <c r="A1288" t="s">
        <v>4216</v>
      </c>
      <c r="B1288" s="767">
        <v>14454.8</v>
      </c>
      <c r="C1288" s="767">
        <v>14454.8</v>
      </c>
      <c r="D1288">
        <v>0</v>
      </c>
      <c r="E1288">
        <v>0</v>
      </c>
      <c r="F1288">
        <v>0</v>
      </c>
      <c r="G1288" s="767">
        <v>14454.8</v>
      </c>
    </row>
    <row r="1290" spans="1:9">
      <c r="A1290">
        <v>11957</v>
      </c>
      <c r="B1290" t="s">
        <v>3129</v>
      </c>
    </row>
    <row r="1291" spans="1:9">
      <c r="A1291" t="s">
        <v>4596</v>
      </c>
      <c r="B1291" t="s">
        <v>4648</v>
      </c>
      <c r="C1291">
        <v>894.43</v>
      </c>
      <c r="D1291">
        <v>894.43</v>
      </c>
      <c r="E1291">
        <v>894.43</v>
      </c>
      <c r="I1291">
        <v>894.43</v>
      </c>
    </row>
    <row r="1293" spans="1:9">
      <c r="A1293" t="s">
        <v>4216</v>
      </c>
      <c r="B1293">
        <v>894.43</v>
      </c>
      <c r="C1293">
        <v>894.43</v>
      </c>
      <c r="D1293">
        <v>0</v>
      </c>
      <c r="E1293">
        <v>0</v>
      </c>
      <c r="F1293">
        <v>0</v>
      </c>
      <c r="G1293">
        <v>894.43</v>
      </c>
    </row>
    <row r="1295" spans="1:9">
      <c r="A1295">
        <v>11958</v>
      </c>
      <c r="B1295" t="s">
        <v>7120</v>
      </c>
    </row>
    <row r="1296" spans="1:9">
      <c r="A1296" s="828">
        <v>44200</v>
      </c>
      <c r="B1296" t="s">
        <v>7121</v>
      </c>
      <c r="C1296" s="767">
        <v>3745.68</v>
      </c>
      <c r="D1296" s="767">
        <v>3745.68</v>
      </c>
      <c r="E1296" s="767">
        <v>3745.68</v>
      </c>
      <c r="H1296" s="767">
        <v>3745.68</v>
      </c>
    </row>
    <row r="1298" spans="1:9">
      <c r="A1298" t="s">
        <v>4216</v>
      </c>
      <c r="B1298" s="767">
        <v>3745.68</v>
      </c>
      <c r="C1298" s="767">
        <v>3745.68</v>
      </c>
      <c r="D1298">
        <v>0</v>
      </c>
      <c r="E1298">
        <v>0</v>
      </c>
      <c r="F1298" s="767">
        <v>3745.68</v>
      </c>
      <c r="G1298">
        <v>0</v>
      </c>
    </row>
    <row r="1300" spans="1:9">
      <c r="A1300">
        <v>11959</v>
      </c>
      <c r="B1300" t="s">
        <v>6090</v>
      </c>
    </row>
    <row r="1301" spans="1:9">
      <c r="A1301" s="828">
        <v>44378</v>
      </c>
      <c r="B1301" t="s">
        <v>6091</v>
      </c>
      <c r="C1301" s="767">
        <v>6416.89</v>
      </c>
      <c r="D1301" s="767">
        <v>6416.89</v>
      </c>
      <c r="E1301" s="767">
        <v>6416.89</v>
      </c>
      <c r="I1301" s="767">
        <v>6416.89</v>
      </c>
    </row>
    <row r="1302" spans="1:9">
      <c r="A1302" s="828">
        <v>44230</v>
      </c>
      <c r="B1302" t="s">
        <v>6599</v>
      </c>
      <c r="C1302" s="767">
        <v>3646.63</v>
      </c>
      <c r="D1302" s="767">
        <v>3646.63</v>
      </c>
      <c r="E1302" s="767">
        <v>10063.52</v>
      </c>
      <c r="I1302" s="767">
        <v>3646.63</v>
      </c>
    </row>
    <row r="1303" spans="1:9">
      <c r="A1303" s="828">
        <v>44200</v>
      </c>
      <c r="B1303" t="s">
        <v>7122</v>
      </c>
      <c r="C1303" s="767">
        <v>2536.7800000000002</v>
      </c>
      <c r="D1303" s="767">
        <v>2536.7800000000002</v>
      </c>
      <c r="E1303" s="767">
        <v>12600.3</v>
      </c>
      <c r="H1303" s="767">
        <v>2536.7800000000002</v>
      </c>
    </row>
    <row r="1305" spans="1:9">
      <c r="A1305" t="s">
        <v>4216</v>
      </c>
      <c r="B1305" s="767">
        <v>12600.3</v>
      </c>
      <c r="C1305" s="767">
        <v>12600.3</v>
      </c>
      <c r="D1305">
        <v>0</v>
      </c>
      <c r="E1305">
        <v>0</v>
      </c>
      <c r="F1305" s="767">
        <v>2536.7800000000002</v>
      </c>
      <c r="G1305" s="767">
        <v>10063.52</v>
      </c>
    </row>
    <row r="1307" spans="1:9">
      <c r="A1307">
        <v>11962</v>
      </c>
      <c r="B1307" t="s">
        <v>4649</v>
      </c>
    </row>
    <row r="1308" spans="1:9">
      <c r="A1308" s="828">
        <v>44230</v>
      </c>
      <c r="B1308" t="s">
        <v>6600</v>
      </c>
      <c r="C1308" s="767">
        <v>1862.43</v>
      </c>
      <c r="D1308" s="767">
        <v>1862.43</v>
      </c>
      <c r="E1308" s="767">
        <v>1862.43</v>
      </c>
      <c r="I1308" s="767">
        <v>1862.43</v>
      </c>
    </row>
    <row r="1309" spans="1:9">
      <c r="A1309" s="828">
        <v>44230</v>
      </c>
      <c r="B1309" t="s">
        <v>6601</v>
      </c>
      <c r="C1309">
        <v>517.95000000000005</v>
      </c>
      <c r="D1309">
        <v>517.95000000000005</v>
      </c>
      <c r="E1309" s="767">
        <v>2380.38</v>
      </c>
      <c r="I1309">
        <v>517.95000000000005</v>
      </c>
    </row>
    <row r="1310" spans="1:9">
      <c r="A1310" s="828">
        <v>44200</v>
      </c>
      <c r="B1310" t="s">
        <v>7123</v>
      </c>
      <c r="C1310" s="767">
        <v>2153.37</v>
      </c>
      <c r="D1310" s="767">
        <v>2153.37</v>
      </c>
      <c r="E1310" s="767">
        <v>4533.75</v>
      </c>
      <c r="H1310" s="767">
        <v>2153.37</v>
      </c>
    </row>
    <row r="1311" spans="1:9">
      <c r="A1311" s="828">
        <v>44200</v>
      </c>
      <c r="B1311" t="s">
        <v>7124</v>
      </c>
      <c r="C1311">
        <v>167.16</v>
      </c>
      <c r="D1311">
        <v>167.16</v>
      </c>
      <c r="E1311" s="767">
        <v>4700.91</v>
      </c>
      <c r="H1311">
        <v>167.16</v>
      </c>
    </row>
    <row r="1313" spans="1:9">
      <c r="A1313" t="s">
        <v>4216</v>
      </c>
      <c r="B1313" s="767">
        <v>4700.91</v>
      </c>
      <c r="C1313" s="767">
        <v>4700.91</v>
      </c>
      <c r="D1313">
        <v>0</v>
      </c>
      <c r="E1313">
        <v>0</v>
      </c>
      <c r="F1313" s="767">
        <v>2320.5300000000002</v>
      </c>
      <c r="G1313" s="767">
        <v>2380.38</v>
      </c>
    </row>
    <row r="1315" spans="1:9">
      <c r="A1315">
        <v>11963</v>
      </c>
      <c r="B1315" t="s">
        <v>3427</v>
      </c>
    </row>
    <row r="1316" spans="1:9">
      <c r="A1316" s="828">
        <v>43504</v>
      </c>
      <c r="B1316" t="s">
        <v>4650</v>
      </c>
      <c r="C1316" s="767">
        <v>1311.72</v>
      </c>
      <c r="D1316" s="767">
        <v>1311.72</v>
      </c>
      <c r="E1316" s="767">
        <v>1311.72</v>
      </c>
      <c r="I1316" s="767">
        <v>1311.72</v>
      </c>
    </row>
    <row r="1318" spans="1:9">
      <c r="A1318" t="s">
        <v>4216</v>
      </c>
      <c r="B1318" s="767">
        <v>1311.72</v>
      </c>
      <c r="C1318" s="767">
        <v>1311.72</v>
      </c>
      <c r="D1318">
        <v>0</v>
      </c>
      <c r="E1318">
        <v>0</v>
      </c>
      <c r="F1318">
        <v>0</v>
      </c>
      <c r="G1318" s="767">
        <v>1311.72</v>
      </c>
    </row>
    <row r="1320" spans="1:9">
      <c r="A1320">
        <v>11968</v>
      </c>
      <c r="B1320" t="s">
        <v>2988</v>
      </c>
    </row>
    <row r="1321" spans="1:9">
      <c r="A1321" s="828">
        <v>43565</v>
      </c>
      <c r="B1321" t="s">
        <v>4651</v>
      </c>
      <c r="C1321" s="767">
        <v>5333.44</v>
      </c>
      <c r="D1321" s="767">
        <v>5333.44</v>
      </c>
      <c r="E1321" s="767">
        <v>5333.44</v>
      </c>
      <c r="I1321" s="767">
        <v>5333.44</v>
      </c>
    </row>
    <row r="1322" spans="1:9">
      <c r="A1322" s="828">
        <v>43477</v>
      </c>
      <c r="B1322" t="s">
        <v>4652</v>
      </c>
      <c r="C1322" s="767">
        <v>2103.48</v>
      </c>
      <c r="D1322" s="767">
        <v>2103.48</v>
      </c>
      <c r="E1322" s="767">
        <v>7436.92</v>
      </c>
      <c r="I1322" s="767">
        <v>2103.48</v>
      </c>
    </row>
    <row r="1324" spans="1:9">
      <c r="A1324" t="s">
        <v>4216</v>
      </c>
      <c r="B1324" s="767">
        <v>7436.92</v>
      </c>
      <c r="C1324" s="767">
        <v>7436.92</v>
      </c>
      <c r="D1324">
        <v>0</v>
      </c>
      <c r="E1324">
        <v>0</v>
      </c>
      <c r="F1324">
        <v>0</v>
      </c>
      <c r="G1324" s="767">
        <v>7436.92</v>
      </c>
    </row>
    <row r="1326" spans="1:9">
      <c r="A1326">
        <v>11971</v>
      </c>
      <c r="B1326" t="s">
        <v>4087</v>
      </c>
    </row>
    <row r="1327" spans="1:9">
      <c r="A1327" t="s">
        <v>4241</v>
      </c>
      <c r="B1327" t="s">
        <v>4653</v>
      </c>
      <c r="C1327">
        <v>79.180000000000007</v>
      </c>
      <c r="D1327">
        <v>79.180000000000007</v>
      </c>
      <c r="E1327">
        <v>79.180000000000007</v>
      </c>
      <c r="I1327">
        <v>79.180000000000007</v>
      </c>
    </row>
    <row r="1328" spans="1:9">
      <c r="A1328" t="s">
        <v>4352</v>
      </c>
      <c r="B1328" t="s">
        <v>4654</v>
      </c>
      <c r="C1328">
        <v>79.180000000000007</v>
      </c>
      <c r="D1328">
        <v>79.180000000000007</v>
      </c>
      <c r="E1328">
        <v>158.36000000000001</v>
      </c>
      <c r="I1328">
        <v>79.180000000000007</v>
      </c>
    </row>
    <row r="1329" spans="1:9">
      <c r="A1329" s="828">
        <v>43927</v>
      </c>
      <c r="B1329" t="s">
        <v>4655</v>
      </c>
      <c r="C1329">
        <v>79.180000000000007</v>
      </c>
      <c r="D1329">
        <v>79.180000000000007</v>
      </c>
      <c r="E1329">
        <v>237.54</v>
      </c>
      <c r="I1329">
        <v>79.180000000000007</v>
      </c>
    </row>
    <row r="1330" spans="1:9">
      <c r="A1330" t="s">
        <v>4490</v>
      </c>
      <c r="B1330" t="s">
        <v>4656</v>
      </c>
      <c r="C1330">
        <v>79.180000000000007</v>
      </c>
      <c r="D1330">
        <v>79.180000000000007</v>
      </c>
      <c r="E1330">
        <v>316.72000000000003</v>
      </c>
      <c r="I1330">
        <v>79.180000000000007</v>
      </c>
    </row>
    <row r="1331" spans="1:9">
      <c r="A1331" s="828">
        <v>43959</v>
      </c>
      <c r="B1331" t="s">
        <v>4657</v>
      </c>
      <c r="C1331">
        <v>79.180000000000007</v>
      </c>
      <c r="D1331">
        <v>79.180000000000007</v>
      </c>
      <c r="E1331">
        <v>395.9</v>
      </c>
      <c r="I1331">
        <v>79.180000000000007</v>
      </c>
    </row>
    <row r="1332" spans="1:9">
      <c r="A1332" s="828">
        <v>43961</v>
      </c>
      <c r="B1332" t="s">
        <v>5464</v>
      </c>
      <c r="C1332">
        <v>79.180000000000007</v>
      </c>
      <c r="D1332">
        <v>79.180000000000007</v>
      </c>
      <c r="E1332">
        <v>475.08</v>
      </c>
      <c r="I1332">
        <v>79.180000000000007</v>
      </c>
    </row>
    <row r="1334" spans="1:9">
      <c r="A1334" t="s">
        <v>4216</v>
      </c>
      <c r="B1334">
        <v>475.08</v>
      </c>
      <c r="C1334">
        <v>475.08</v>
      </c>
      <c r="D1334">
        <v>0</v>
      </c>
      <c r="E1334">
        <v>0</v>
      </c>
      <c r="F1334">
        <v>0</v>
      </c>
      <c r="G1334">
        <v>475.08</v>
      </c>
    </row>
    <row r="1336" spans="1:9">
      <c r="A1336">
        <v>11972</v>
      </c>
      <c r="B1336" t="s">
        <v>7125</v>
      </c>
    </row>
    <row r="1337" spans="1:9">
      <c r="A1337" s="828">
        <v>44200</v>
      </c>
      <c r="B1337" t="s">
        <v>7126</v>
      </c>
      <c r="C1337">
        <v>917.48</v>
      </c>
      <c r="D1337">
        <v>917.48</v>
      </c>
      <c r="E1337">
        <v>917.48</v>
      </c>
      <c r="H1337">
        <v>917.48</v>
      </c>
    </row>
    <row r="1339" spans="1:9">
      <c r="A1339" t="s">
        <v>4216</v>
      </c>
      <c r="B1339">
        <v>917.48</v>
      </c>
      <c r="C1339">
        <v>917.48</v>
      </c>
      <c r="D1339">
        <v>0</v>
      </c>
      <c r="E1339">
        <v>0</v>
      </c>
      <c r="F1339">
        <v>917.48</v>
      </c>
      <c r="G1339">
        <v>0</v>
      </c>
    </row>
    <row r="1341" spans="1:9">
      <c r="A1341">
        <v>11974</v>
      </c>
      <c r="B1341" t="s">
        <v>3108</v>
      </c>
    </row>
    <row r="1342" spans="1:9">
      <c r="A1342" s="828">
        <v>44230</v>
      </c>
      <c r="B1342" t="s">
        <v>6602</v>
      </c>
      <c r="C1342" s="767">
        <v>1670.69</v>
      </c>
      <c r="D1342" s="767">
        <v>1670.69</v>
      </c>
      <c r="E1342" s="767">
        <v>1670.69</v>
      </c>
      <c r="I1342" s="767">
        <v>1670.69</v>
      </c>
    </row>
    <row r="1343" spans="1:9">
      <c r="A1343" s="828">
        <v>44200</v>
      </c>
      <c r="B1343" t="s">
        <v>7127</v>
      </c>
      <c r="C1343" s="767">
        <v>1670.69</v>
      </c>
      <c r="D1343" s="767">
        <v>1670.69</v>
      </c>
      <c r="E1343" s="767">
        <v>3341.38</v>
      </c>
      <c r="H1343" s="767">
        <v>1670.69</v>
      </c>
    </row>
    <row r="1345" spans="1:9">
      <c r="A1345" t="s">
        <v>4216</v>
      </c>
      <c r="B1345" s="767">
        <v>3341.38</v>
      </c>
      <c r="C1345" s="767">
        <v>3341.38</v>
      </c>
      <c r="D1345">
        <v>0</v>
      </c>
      <c r="E1345">
        <v>0</v>
      </c>
      <c r="F1345" s="767">
        <v>1670.69</v>
      </c>
      <c r="G1345" s="767">
        <v>1670.69</v>
      </c>
    </row>
    <row r="1347" spans="1:9">
      <c r="A1347">
        <v>11975</v>
      </c>
      <c r="B1347" t="s">
        <v>3139</v>
      </c>
    </row>
    <row r="1348" spans="1:9">
      <c r="A1348" s="828">
        <v>43836</v>
      </c>
      <c r="B1348" t="s">
        <v>4658</v>
      </c>
      <c r="C1348">
        <v>79.180000000000007</v>
      </c>
      <c r="D1348">
        <v>79.180000000000007</v>
      </c>
      <c r="E1348">
        <v>79.180000000000007</v>
      </c>
      <c r="I1348">
        <v>79.180000000000007</v>
      </c>
    </row>
    <row r="1349" spans="1:9">
      <c r="A1349" s="828">
        <v>43868</v>
      </c>
      <c r="B1349" t="s">
        <v>4659</v>
      </c>
      <c r="C1349">
        <v>79.180000000000007</v>
      </c>
      <c r="D1349">
        <v>79.180000000000007</v>
      </c>
      <c r="E1349">
        <v>158.36000000000001</v>
      </c>
      <c r="I1349">
        <v>79.180000000000007</v>
      </c>
    </row>
    <row r="1350" spans="1:9">
      <c r="A1350" s="828">
        <v>43898</v>
      </c>
      <c r="B1350" t="s">
        <v>4660</v>
      </c>
      <c r="C1350">
        <v>79.180000000000007</v>
      </c>
      <c r="D1350">
        <v>79.180000000000007</v>
      </c>
      <c r="E1350">
        <v>237.54</v>
      </c>
      <c r="I1350">
        <v>79.180000000000007</v>
      </c>
    </row>
    <row r="1352" spans="1:9">
      <c r="A1352" t="s">
        <v>4216</v>
      </c>
      <c r="B1352">
        <v>237.54</v>
      </c>
      <c r="C1352">
        <v>237.54</v>
      </c>
      <c r="D1352">
        <v>0</v>
      </c>
      <c r="E1352">
        <v>0</v>
      </c>
      <c r="F1352">
        <v>0</v>
      </c>
      <c r="G1352">
        <v>237.54</v>
      </c>
    </row>
    <row r="1354" spans="1:9">
      <c r="A1354">
        <v>11976</v>
      </c>
      <c r="B1354" t="s">
        <v>4661</v>
      </c>
    </row>
    <row r="1355" spans="1:9">
      <c r="A1355" s="828">
        <v>43596</v>
      </c>
      <c r="B1355" t="s">
        <v>4662</v>
      </c>
      <c r="C1355">
        <v>221.44</v>
      </c>
      <c r="D1355">
        <v>221.44</v>
      </c>
      <c r="E1355">
        <v>221.44</v>
      </c>
      <c r="I1355">
        <v>221.44</v>
      </c>
    </row>
    <row r="1357" spans="1:9">
      <c r="A1357" t="s">
        <v>4216</v>
      </c>
      <c r="B1357">
        <v>221.44</v>
      </c>
      <c r="C1357">
        <v>221.44</v>
      </c>
      <c r="D1357">
        <v>0</v>
      </c>
      <c r="E1357">
        <v>0</v>
      </c>
      <c r="F1357">
        <v>0</v>
      </c>
      <c r="G1357">
        <v>221.44</v>
      </c>
    </row>
    <row r="1359" spans="1:9">
      <c r="A1359">
        <v>11977</v>
      </c>
      <c r="B1359" t="s">
        <v>3145</v>
      </c>
    </row>
    <row r="1360" spans="1:9">
      <c r="A1360" s="828">
        <v>43961</v>
      </c>
      <c r="B1360" t="s">
        <v>5465</v>
      </c>
      <c r="C1360">
        <v>422.35</v>
      </c>
      <c r="D1360">
        <v>422.35</v>
      </c>
      <c r="E1360">
        <v>422.35</v>
      </c>
      <c r="I1360">
        <v>422.35</v>
      </c>
    </row>
    <row r="1361" spans="1:9">
      <c r="A1361" s="828">
        <v>44348</v>
      </c>
      <c r="B1361" t="s">
        <v>6092</v>
      </c>
      <c r="C1361">
        <v>100.37</v>
      </c>
      <c r="D1361">
        <v>100.37</v>
      </c>
      <c r="E1361">
        <v>522.72</v>
      </c>
      <c r="I1361">
        <v>100.37</v>
      </c>
    </row>
    <row r="1363" spans="1:9">
      <c r="A1363" t="s">
        <v>4216</v>
      </c>
      <c r="B1363">
        <v>522.72</v>
      </c>
      <c r="C1363">
        <v>522.72</v>
      </c>
      <c r="D1363">
        <v>0</v>
      </c>
      <c r="E1363">
        <v>0</v>
      </c>
      <c r="F1363">
        <v>0</v>
      </c>
      <c r="G1363">
        <v>522.72</v>
      </c>
    </row>
    <row r="1365" spans="1:9">
      <c r="A1365">
        <v>11981</v>
      </c>
      <c r="B1365" t="s">
        <v>5466</v>
      </c>
    </row>
    <row r="1366" spans="1:9">
      <c r="A1366" s="828">
        <v>44230</v>
      </c>
      <c r="B1366" t="s">
        <v>6603</v>
      </c>
      <c r="C1366" s="767">
        <v>1510.6</v>
      </c>
      <c r="D1366" s="767">
        <v>1510.6</v>
      </c>
      <c r="E1366" s="767">
        <v>1510.6</v>
      </c>
      <c r="I1366" s="767">
        <v>1510.6</v>
      </c>
    </row>
    <row r="1367" spans="1:9">
      <c r="A1367" s="828">
        <v>44351</v>
      </c>
      <c r="B1367" t="s">
        <v>7128</v>
      </c>
      <c r="C1367" s="767">
        <v>1153.8599999999999</v>
      </c>
      <c r="D1367" s="767">
        <v>1153.8599999999999</v>
      </c>
      <c r="E1367" s="767">
        <v>2664.46</v>
      </c>
      <c r="G1367" s="767">
        <v>1153.8599999999999</v>
      </c>
    </row>
    <row r="1369" spans="1:9">
      <c r="A1369" t="s">
        <v>4216</v>
      </c>
      <c r="B1369" s="767">
        <v>2664.46</v>
      </c>
      <c r="C1369" s="767">
        <v>2664.46</v>
      </c>
      <c r="D1369">
        <v>0</v>
      </c>
      <c r="E1369" s="767">
        <v>1153.8599999999999</v>
      </c>
      <c r="F1369">
        <v>0</v>
      </c>
      <c r="G1369" s="767">
        <v>1510.6</v>
      </c>
    </row>
    <row r="1371" spans="1:9">
      <c r="A1371">
        <v>11984</v>
      </c>
      <c r="B1371" t="s">
        <v>3276</v>
      </c>
    </row>
    <row r="1372" spans="1:9">
      <c r="A1372" t="s">
        <v>4596</v>
      </c>
      <c r="B1372" t="s">
        <v>4663</v>
      </c>
      <c r="C1372">
        <v>270.44</v>
      </c>
      <c r="D1372">
        <v>270.44</v>
      </c>
      <c r="E1372">
        <v>270.44</v>
      </c>
      <c r="I1372">
        <v>270.44</v>
      </c>
    </row>
    <row r="1373" spans="1:9">
      <c r="A1373" t="s">
        <v>4664</v>
      </c>
      <c r="B1373" t="s">
        <v>4665</v>
      </c>
      <c r="C1373">
        <v>316.74</v>
      </c>
      <c r="D1373">
        <v>316.74</v>
      </c>
      <c r="E1373">
        <v>587.17999999999995</v>
      </c>
      <c r="I1373">
        <v>316.74</v>
      </c>
    </row>
    <row r="1374" spans="1:9">
      <c r="A1374" t="s">
        <v>4241</v>
      </c>
      <c r="B1374" t="s">
        <v>4666</v>
      </c>
      <c r="C1374">
        <v>316.74</v>
      </c>
      <c r="D1374">
        <v>316.74</v>
      </c>
      <c r="E1374">
        <v>903.92</v>
      </c>
      <c r="I1374">
        <v>316.74</v>
      </c>
    </row>
    <row r="1375" spans="1:9">
      <c r="A1375" t="s">
        <v>4241</v>
      </c>
      <c r="B1375" t="s">
        <v>4667</v>
      </c>
      <c r="C1375">
        <v>316.74</v>
      </c>
      <c r="D1375">
        <v>316.74</v>
      </c>
      <c r="E1375" s="767">
        <v>1220.6600000000001</v>
      </c>
      <c r="I1375">
        <v>316.74</v>
      </c>
    </row>
    <row r="1376" spans="1:9">
      <c r="A1376" t="s">
        <v>4352</v>
      </c>
      <c r="B1376" t="s">
        <v>4668</v>
      </c>
      <c r="C1376">
        <v>316.74</v>
      </c>
      <c r="D1376">
        <v>316.74</v>
      </c>
      <c r="E1376" s="767">
        <v>1537.4</v>
      </c>
      <c r="I1376">
        <v>316.74</v>
      </c>
    </row>
    <row r="1377" spans="1:9">
      <c r="A1377" s="828">
        <v>43927</v>
      </c>
      <c r="B1377" t="s">
        <v>4669</v>
      </c>
      <c r="C1377">
        <v>316.74</v>
      </c>
      <c r="D1377">
        <v>316.74</v>
      </c>
      <c r="E1377" s="767">
        <v>1854.14</v>
      </c>
      <c r="I1377">
        <v>316.74</v>
      </c>
    </row>
    <row r="1378" spans="1:9">
      <c r="A1378" s="828">
        <v>43989</v>
      </c>
      <c r="B1378" t="s">
        <v>4670</v>
      </c>
      <c r="C1378">
        <v>316.74</v>
      </c>
      <c r="D1378">
        <v>316.74</v>
      </c>
      <c r="E1378" s="767">
        <v>2170.88</v>
      </c>
      <c r="I1378">
        <v>316.74</v>
      </c>
    </row>
    <row r="1379" spans="1:9">
      <c r="A1379" s="828">
        <v>43959</v>
      </c>
      <c r="B1379" t="s">
        <v>4671</v>
      </c>
      <c r="C1379">
        <v>316.74</v>
      </c>
      <c r="D1379">
        <v>316.74</v>
      </c>
      <c r="E1379" s="767">
        <v>2487.62</v>
      </c>
      <c r="I1379">
        <v>316.74</v>
      </c>
    </row>
    <row r="1381" spans="1:9">
      <c r="A1381" t="s">
        <v>4216</v>
      </c>
      <c r="B1381" s="767">
        <v>2487.62</v>
      </c>
      <c r="C1381" s="767">
        <v>2487.62</v>
      </c>
      <c r="D1381">
        <v>0</v>
      </c>
      <c r="E1381">
        <v>0</v>
      </c>
      <c r="F1381">
        <v>0</v>
      </c>
      <c r="G1381" s="767">
        <v>2487.62</v>
      </c>
    </row>
    <row r="1383" spans="1:9">
      <c r="A1383">
        <v>11987</v>
      </c>
      <c r="B1383" t="s">
        <v>3428</v>
      </c>
    </row>
    <row r="1384" spans="1:9">
      <c r="A1384" t="s">
        <v>4672</v>
      </c>
      <c r="B1384" t="s">
        <v>4673</v>
      </c>
      <c r="C1384" s="767">
        <v>19268.34</v>
      </c>
      <c r="D1384" s="767">
        <v>19268.34</v>
      </c>
      <c r="E1384" s="767">
        <v>19268.34</v>
      </c>
      <c r="I1384" s="767">
        <v>19268.34</v>
      </c>
    </row>
    <row r="1385" spans="1:9">
      <c r="A1385" s="828">
        <v>43715</v>
      </c>
      <c r="B1385" t="s">
        <v>4674</v>
      </c>
      <c r="C1385" s="767">
        <v>19268.34</v>
      </c>
      <c r="D1385" s="767">
        <v>19268.34</v>
      </c>
      <c r="E1385" s="767">
        <v>38536.68</v>
      </c>
      <c r="I1385" s="767">
        <v>19268.34</v>
      </c>
    </row>
    <row r="1386" spans="1:9">
      <c r="A1386" s="828">
        <v>43716</v>
      </c>
      <c r="B1386" t="s">
        <v>4675</v>
      </c>
      <c r="C1386" s="767">
        <v>19268.34</v>
      </c>
      <c r="D1386" s="767">
        <v>19268.34</v>
      </c>
      <c r="E1386" s="767">
        <v>57805.02</v>
      </c>
      <c r="I1386" s="767">
        <v>19268.34</v>
      </c>
    </row>
    <row r="1388" spans="1:9">
      <c r="A1388" t="s">
        <v>4216</v>
      </c>
      <c r="B1388" s="767">
        <v>57805.02</v>
      </c>
      <c r="C1388" s="767">
        <v>57805.02</v>
      </c>
      <c r="D1388">
        <v>0</v>
      </c>
      <c r="E1388">
        <v>0</v>
      </c>
      <c r="F1388">
        <v>0</v>
      </c>
      <c r="G1388" s="767">
        <v>57805.02</v>
      </c>
    </row>
    <row r="1390" spans="1:9">
      <c r="A1390">
        <v>11988</v>
      </c>
      <c r="B1390" t="s">
        <v>3149</v>
      </c>
    </row>
    <row r="1391" spans="1:9">
      <c r="A1391" s="828">
        <v>43715</v>
      </c>
      <c r="B1391" t="s">
        <v>4676</v>
      </c>
      <c r="C1391">
        <v>247.92</v>
      </c>
      <c r="D1391">
        <v>247.92</v>
      </c>
      <c r="E1391">
        <v>247.92</v>
      </c>
      <c r="I1391">
        <v>247.92</v>
      </c>
    </row>
    <row r="1392" spans="1:9">
      <c r="A1392" s="828">
        <v>43717</v>
      </c>
      <c r="B1392" t="s">
        <v>4677</v>
      </c>
      <c r="C1392" s="767">
        <v>1290.42</v>
      </c>
      <c r="D1392" s="767">
        <v>1290.42</v>
      </c>
      <c r="E1392" s="767">
        <v>1538.34</v>
      </c>
      <c r="I1392" s="767">
        <v>1290.42</v>
      </c>
    </row>
    <row r="1393" spans="1:9">
      <c r="A1393" s="828">
        <v>43565</v>
      </c>
      <c r="B1393" t="s">
        <v>4678</v>
      </c>
      <c r="C1393">
        <v>643.35</v>
      </c>
      <c r="D1393">
        <v>643.35</v>
      </c>
      <c r="E1393" s="767">
        <v>2181.69</v>
      </c>
      <c r="I1393">
        <v>643.35</v>
      </c>
    </row>
    <row r="1394" spans="1:9">
      <c r="A1394" s="828">
        <v>43596</v>
      </c>
      <c r="B1394" t="s">
        <v>4679</v>
      </c>
      <c r="C1394">
        <v>427.66</v>
      </c>
      <c r="D1394">
        <v>427.66</v>
      </c>
      <c r="E1394" s="767">
        <v>2609.35</v>
      </c>
      <c r="I1394">
        <v>427.66</v>
      </c>
    </row>
    <row r="1395" spans="1:9">
      <c r="A1395" s="828">
        <v>43477</v>
      </c>
      <c r="B1395" t="s">
        <v>4680</v>
      </c>
      <c r="C1395">
        <v>499.56</v>
      </c>
      <c r="D1395">
        <v>499.56</v>
      </c>
      <c r="E1395" s="767">
        <v>3108.91</v>
      </c>
      <c r="I1395">
        <v>499.56</v>
      </c>
    </row>
    <row r="1396" spans="1:9">
      <c r="A1396" t="s">
        <v>4596</v>
      </c>
      <c r="B1396" t="s">
        <v>4681</v>
      </c>
      <c r="C1396">
        <v>463.61</v>
      </c>
      <c r="D1396">
        <v>463.61</v>
      </c>
      <c r="E1396" s="767">
        <v>3572.52</v>
      </c>
      <c r="I1396">
        <v>463.61</v>
      </c>
    </row>
    <row r="1397" spans="1:9">
      <c r="A1397" s="828">
        <v>43953</v>
      </c>
      <c r="B1397" t="s">
        <v>4682</v>
      </c>
      <c r="C1397" s="767">
        <v>1233.99</v>
      </c>
      <c r="D1397" s="767">
        <v>1233.99</v>
      </c>
      <c r="E1397" s="767">
        <v>4806.51</v>
      </c>
      <c r="I1397" s="767">
        <v>1233.99</v>
      </c>
    </row>
    <row r="1398" spans="1:9">
      <c r="A1398" t="s">
        <v>4360</v>
      </c>
      <c r="B1398" t="s">
        <v>4683</v>
      </c>
      <c r="C1398">
        <v>743.29</v>
      </c>
      <c r="D1398">
        <v>743.29</v>
      </c>
      <c r="E1398" s="767">
        <v>5549.8</v>
      </c>
      <c r="I1398">
        <v>743.29</v>
      </c>
    </row>
    <row r="1399" spans="1:9">
      <c r="A1399" s="828">
        <v>44140</v>
      </c>
      <c r="B1399" t="s">
        <v>4684</v>
      </c>
      <c r="C1399">
        <v>592.29999999999995</v>
      </c>
      <c r="D1399">
        <v>592.29999999999995</v>
      </c>
      <c r="E1399" s="767">
        <v>6142.1</v>
      </c>
      <c r="I1399">
        <v>592.29999999999995</v>
      </c>
    </row>
    <row r="1400" spans="1:9">
      <c r="A1400" s="828">
        <v>43989</v>
      </c>
      <c r="B1400" t="s">
        <v>4685</v>
      </c>
      <c r="C1400" s="767">
        <v>2668.35</v>
      </c>
      <c r="D1400" s="767">
        <v>2668.35</v>
      </c>
      <c r="E1400" s="767">
        <v>8810.4500000000007</v>
      </c>
      <c r="I1400" s="767">
        <v>2668.35</v>
      </c>
    </row>
    <row r="1401" spans="1:9">
      <c r="A1401" t="s">
        <v>4490</v>
      </c>
      <c r="B1401" t="s">
        <v>4686</v>
      </c>
      <c r="C1401">
        <v>479.06</v>
      </c>
      <c r="D1401">
        <v>479.06</v>
      </c>
      <c r="E1401" s="767">
        <v>9289.51</v>
      </c>
      <c r="I1401">
        <v>479.06</v>
      </c>
    </row>
    <row r="1402" spans="1:9">
      <c r="A1402" s="828">
        <v>43959</v>
      </c>
      <c r="B1402" t="s">
        <v>4687</v>
      </c>
      <c r="C1402" s="767">
        <v>1686.95</v>
      </c>
      <c r="D1402" s="767">
        <v>1686.95</v>
      </c>
      <c r="E1402" s="767">
        <v>10976.46</v>
      </c>
      <c r="I1402" s="767">
        <v>1686.95</v>
      </c>
    </row>
    <row r="1404" spans="1:9">
      <c r="A1404" t="s">
        <v>4216</v>
      </c>
      <c r="B1404" s="767">
        <v>10976.46</v>
      </c>
      <c r="C1404" s="767">
        <v>10976.46</v>
      </c>
      <c r="D1404">
        <v>0</v>
      </c>
      <c r="E1404">
        <v>0</v>
      </c>
      <c r="F1404">
        <v>0</v>
      </c>
      <c r="G1404" s="767">
        <v>10976.46</v>
      </c>
    </row>
    <row r="1406" spans="1:9">
      <c r="A1406">
        <v>11989</v>
      </c>
      <c r="B1406" t="s">
        <v>4688</v>
      </c>
    </row>
    <row r="1407" spans="1:9">
      <c r="A1407" s="828">
        <v>44348</v>
      </c>
      <c r="B1407" t="s">
        <v>6093</v>
      </c>
      <c r="C1407" s="767">
        <v>1162.6600000000001</v>
      </c>
      <c r="D1407" s="767">
        <v>1162.6600000000001</v>
      </c>
      <c r="E1407" s="767">
        <v>1162.6600000000001</v>
      </c>
      <c r="I1407" s="767">
        <v>1162.6600000000001</v>
      </c>
    </row>
    <row r="1408" spans="1:9">
      <c r="A1408" s="828">
        <v>44348</v>
      </c>
      <c r="B1408" t="s">
        <v>6094</v>
      </c>
      <c r="C1408" s="767">
        <v>6260.62</v>
      </c>
      <c r="D1408" s="767">
        <v>6260.62</v>
      </c>
      <c r="E1408" s="767">
        <v>7423.28</v>
      </c>
      <c r="I1408" s="767">
        <v>6260.62</v>
      </c>
    </row>
    <row r="1409" spans="1:9">
      <c r="A1409" s="828">
        <v>44288</v>
      </c>
      <c r="B1409" t="s">
        <v>6370</v>
      </c>
      <c r="C1409" s="767">
        <v>1110.52</v>
      </c>
      <c r="D1409" s="767">
        <v>1110.52</v>
      </c>
      <c r="E1409" s="767">
        <v>8533.7999999999993</v>
      </c>
      <c r="I1409" s="767">
        <v>1110.52</v>
      </c>
    </row>
    <row r="1410" spans="1:9">
      <c r="A1410" s="828">
        <v>44288</v>
      </c>
      <c r="B1410" t="s">
        <v>6371</v>
      </c>
      <c r="C1410" s="767">
        <v>3296.67</v>
      </c>
      <c r="D1410" s="767">
        <v>3296.67</v>
      </c>
      <c r="E1410" s="767">
        <v>11830.47</v>
      </c>
      <c r="I1410" s="767">
        <v>3296.67</v>
      </c>
    </row>
    <row r="1411" spans="1:9">
      <c r="A1411" s="828">
        <v>44230</v>
      </c>
      <c r="B1411" t="s">
        <v>6604</v>
      </c>
      <c r="C1411" s="767">
        <v>1250.44</v>
      </c>
      <c r="D1411" s="767">
        <v>1250.44</v>
      </c>
      <c r="E1411" s="767">
        <v>13080.91</v>
      </c>
      <c r="I1411" s="767">
        <v>1250.44</v>
      </c>
    </row>
    <row r="1412" spans="1:9">
      <c r="A1412" s="828">
        <v>44230</v>
      </c>
      <c r="B1412" t="s">
        <v>6605</v>
      </c>
      <c r="C1412" s="767">
        <v>4557.5200000000004</v>
      </c>
      <c r="D1412" s="767">
        <v>4557.5200000000004</v>
      </c>
      <c r="E1412" s="767">
        <v>17638.43</v>
      </c>
      <c r="I1412" s="767">
        <v>4557.5200000000004</v>
      </c>
    </row>
    <row r="1413" spans="1:9">
      <c r="A1413" s="828">
        <v>44200</v>
      </c>
      <c r="B1413" t="s">
        <v>7129</v>
      </c>
      <c r="C1413" s="767">
        <v>1110.1199999999999</v>
      </c>
      <c r="D1413" s="767">
        <v>1110.1199999999999</v>
      </c>
      <c r="E1413" s="767">
        <v>18748.55</v>
      </c>
      <c r="H1413" s="767">
        <v>1110.1199999999999</v>
      </c>
    </row>
    <row r="1414" spans="1:9">
      <c r="A1414" s="828">
        <v>44200</v>
      </c>
      <c r="B1414" t="s">
        <v>7130</v>
      </c>
      <c r="C1414" s="767">
        <v>3864.66</v>
      </c>
      <c r="D1414" s="767">
        <v>3864.66</v>
      </c>
      <c r="E1414" s="767">
        <v>22613.21</v>
      </c>
      <c r="H1414" s="767">
        <v>3864.66</v>
      </c>
    </row>
    <row r="1416" spans="1:9">
      <c r="A1416" t="s">
        <v>4216</v>
      </c>
      <c r="B1416" s="767">
        <v>22613.21</v>
      </c>
      <c r="C1416" s="767">
        <v>22613.21</v>
      </c>
      <c r="D1416">
        <v>0</v>
      </c>
      <c r="E1416">
        <v>0</v>
      </c>
      <c r="F1416" s="767">
        <v>4974.78</v>
      </c>
      <c r="G1416" s="767">
        <v>17638.43</v>
      </c>
    </row>
    <row r="1418" spans="1:9">
      <c r="A1418">
        <v>11991</v>
      </c>
      <c r="B1418" t="s">
        <v>3429</v>
      </c>
    </row>
    <row r="1419" spans="1:9">
      <c r="A1419" t="s">
        <v>4689</v>
      </c>
      <c r="B1419" t="s">
        <v>4690</v>
      </c>
      <c r="C1419" s="767">
        <v>25337.87</v>
      </c>
      <c r="D1419" s="767">
        <v>25337.87</v>
      </c>
      <c r="E1419" s="767">
        <v>25337.87</v>
      </c>
      <c r="I1419" s="767">
        <v>25337.87</v>
      </c>
    </row>
    <row r="1420" spans="1:9">
      <c r="A1420" t="s">
        <v>5386</v>
      </c>
      <c r="B1420" t="s">
        <v>5405</v>
      </c>
      <c r="C1420" s="767">
        <v>3499.85</v>
      </c>
      <c r="D1420" s="767">
        <v>1756.5</v>
      </c>
      <c r="E1420" s="767">
        <v>27094.37</v>
      </c>
      <c r="I1420" s="767">
        <v>1756.5</v>
      </c>
    </row>
    <row r="1421" spans="1:9">
      <c r="A1421" t="s">
        <v>5453</v>
      </c>
      <c r="B1421" t="s">
        <v>5467</v>
      </c>
      <c r="C1421" s="767">
        <v>6641.86</v>
      </c>
      <c r="D1421" s="767">
        <v>6641.86</v>
      </c>
      <c r="E1421" s="767">
        <v>33736.230000000003</v>
      </c>
      <c r="I1421" s="767">
        <v>6641.86</v>
      </c>
    </row>
    <row r="1422" spans="1:9">
      <c r="A1422" t="s">
        <v>5453</v>
      </c>
      <c r="B1422" t="s">
        <v>5468</v>
      </c>
      <c r="C1422" s="767">
        <v>11791.98</v>
      </c>
      <c r="D1422" s="767">
        <v>11791.98</v>
      </c>
      <c r="E1422" s="767">
        <v>45528.21</v>
      </c>
      <c r="I1422" s="767">
        <v>11791.98</v>
      </c>
    </row>
    <row r="1423" spans="1:9">
      <c r="A1423" s="828">
        <v>44115</v>
      </c>
      <c r="B1423" t="s">
        <v>5538</v>
      </c>
      <c r="C1423" s="767">
        <v>5369.8</v>
      </c>
      <c r="D1423" s="767">
        <v>5369.8</v>
      </c>
      <c r="E1423" s="767">
        <v>50898.01</v>
      </c>
      <c r="I1423" s="767">
        <v>5369.8</v>
      </c>
    </row>
    <row r="1424" spans="1:9">
      <c r="A1424" s="828">
        <v>44115</v>
      </c>
      <c r="B1424" t="s">
        <v>5539</v>
      </c>
      <c r="C1424" s="767">
        <v>8312.51</v>
      </c>
      <c r="D1424" s="767">
        <v>8312.51</v>
      </c>
      <c r="E1424" s="767">
        <v>59210.52</v>
      </c>
      <c r="I1424" s="767">
        <v>8312.51</v>
      </c>
    </row>
    <row r="1425" spans="1:9">
      <c r="A1425" s="828">
        <v>44115</v>
      </c>
      <c r="B1425" t="s">
        <v>5540</v>
      </c>
      <c r="C1425" s="767">
        <v>6794.35</v>
      </c>
      <c r="D1425" s="767">
        <v>6794.35</v>
      </c>
      <c r="E1425" s="767">
        <v>66004.87</v>
      </c>
      <c r="I1425" s="767">
        <v>6794.35</v>
      </c>
    </row>
    <row r="1426" spans="1:9">
      <c r="A1426" s="828">
        <v>44115</v>
      </c>
      <c r="B1426" t="s">
        <v>5541</v>
      </c>
      <c r="C1426" s="767">
        <v>6616.19</v>
      </c>
      <c r="D1426" s="767">
        <v>6616.19</v>
      </c>
      <c r="E1426" s="767">
        <v>72621.06</v>
      </c>
      <c r="I1426" s="767">
        <v>6616.19</v>
      </c>
    </row>
    <row r="1427" spans="1:9">
      <c r="A1427" s="828">
        <v>43873</v>
      </c>
      <c r="B1427" t="s">
        <v>5864</v>
      </c>
      <c r="C1427" s="767">
        <v>2677.73</v>
      </c>
      <c r="D1427" s="767">
        <v>2677.73</v>
      </c>
      <c r="E1427" s="767">
        <v>75298.789999999994</v>
      </c>
      <c r="I1427" s="767">
        <v>2677.73</v>
      </c>
    </row>
    <row r="1428" spans="1:9">
      <c r="A1428" s="828">
        <v>44348</v>
      </c>
      <c r="B1428" t="s">
        <v>6095</v>
      </c>
      <c r="C1428" s="767">
        <v>1051.6199999999999</v>
      </c>
      <c r="D1428" s="767">
        <v>1051.6199999999999</v>
      </c>
      <c r="E1428" s="767">
        <v>76350.41</v>
      </c>
      <c r="I1428" s="767">
        <v>1051.6199999999999</v>
      </c>
    </row>
    <row r="1430" spans="1:9">
      <c r="A1430" t="s">
        <v>4216</v>
      </c>
      <c r="B1430" s="767">
        <v>78093.759999999995</v>
      </c>
      <c r="C1430" s="767">
        <v>76350.41</v>
      </c>
      <c r="D1430">
        <v>0</v>
      </c>
      <c r="E1430">
        <v>0</v>
      </c>
      <c r="F1430">
        <v>0</v>
      </c>
      <c r="G1430" s="767">
        <v>76350.41</v>
      </c>
    </row>
    <row r="1432" spans="1:9">
      <c r="A1432">
        <v>11992</v>
      </c>
      <c r="B1432" t="s">
        <v>3161</v>
      </c>
    </row>
    <row r="1433" spans="1:9">
      <c r="A1433" s="828">
        <v>44200</v>
      </c>
      <c r="B1433" t="s">
        <v>7131</v>
      </c>
      <c r="C1433" s="767">
        <v>9333.8799999999992</v>
      </c>
      <c r="D1433" s="767">
        <v>9333.8799999999992</v>
      </c>
      <c r="E1433" s="767">
        <v>9333.8799999999992</v>
      </c>
      <c r="H1433" s="767">
        <v>9333.8799999999992</v>
      </c>
    </row>
    <row r="1434" spans="1:9">
      <c r="A1434" s="828">
        <v>44351</v>
      </c>
      <c r="B1434" t="s">
        <v>7132</v>
      </c>
      <c r="C1434" s="767">
        <v>5910.07</v>
      </c>
      <c r="D1434" s="767">
        <v>5910.07</v>
      </c>
      <c r="E1434" s="767">
        <v>15243.95</v>
      </c>
      <c r="G1434" s="767">
        <v>5910.07</v>
      </c>
    </row>
    <row r="1435" spans="1:9">
      <c r="A1435" t="s">
        <v>7082</v>
      </c>
      <c r="B1435" t="s">
        <v>7133</v>
      </c>
      <c r="C1435" s="767">
        <v>2609.6</v>
      </c>
      <c r="D1435" s="767">
        <v>2609.6</v>
      </c>
      <c r="E1435" s="767">
        <v>17853.55</v>
      </c>
      <c r="G1435" s="767">
        <v>2609.6</v>
      </c>
    </row>
    <row r="1437" spans="1:9">
      <c r="A1437" t="s">
        <v>4216</v>
      </c>
      <c r="B1437" s="767">
        <v>17853.55</v>
      </c>
      <c r="C1437" s="767">
        <v>17853.55</v>
      </c>
      <c r="D1437">
        <v>0</v>
      </c>
      <c r="E1437" s="767">
        <v>8519.67</v>
      </c>
      <c r="F1437" s="767">
        <v>9333.8799999999992</v>
      </c>
      <c r="G1437">
        <v>0</v>
      </c>
    </row>
    <row r="1439" spans="1:9">
      <c r="A1439">
        <v>11993</v>
      </c>
      <c r="B1439" t="s">
        <v>3163</v>
      </c>
    </row>
    <row r="1440" spans="1:9">
      <c r="A1440" t="s">
        <v>4596</v>
      </c>
      <c r="B1440" t="s">
        <v>4691</v>
      </c>
      <c r="C1440">
        <v>45.07</v>
      </c>
      <c r="D1440">
        <v>45.07</v>
      </c>
      <c r="E1440">
        <v>45.07</v>
      </c>
      <c r="I1440">
        <v>45.07</v>
      </c>
    </row>
    <row r="1441" spans="1:9">
      <c r="A1441" t="s">
        <v>4664</v>
      </c>
      <c r="B1441" t="s">
        <v>4692</v>
      </c>
      <c r="C1441" s="767">
        <v>3147.99</v>
      </c>
      <c r="D1441" s="767">
        <v>3147.99</v>
      </c>
      <c r="E1441" s="767">
        <v>3193.06</v>
      </c>
      <c r="I1441" s="767">
        <v>3147.99</v>
      </c>
    </row>
    <row r="1442" spans="1:9">
      <c r="A1442" s="828">
        <v>44107</v>
      </c>
      <c r="B1442" t="s">
        <v>4693</v>
      </c>
      <c r="C1442" s="767">
        <v>3185.74</v>
      </c>
      <c r="D1442" s="767">
        <v>3185.74</v>
      </c>
      <c r="E1442" s="767">
        <v>6378.8</v>
      </c>
      <c r="I1442" s="767">
        <v>3185.74</v>
      </c>
    </row>
    <row r="1443" spans="1:9">
      <c r="A1443" t="s">
        <v>4241</v>
      </c>
      <c r="B1443" t="s">
        <v>4694</v>
      </c>
      <c r="C1443" s="767">
        <v>3223.49</v>
      </c>
      <c r="D1443" s="767">
        <v>3223.49</v>
      </c>
      <c r="E1443" s="767">
        <v>9602.2900000000009</v>
      </c>
      <c r="I1443" s="767">
        <v>3223.49</v>
      </c>
    </row>
    <row r="1444" spans="1:9">
      <c r="A1444" s="828">
        <v>44140</v>
      </c>
      <c r="B1444" t="s">
        <v>4695</v>
      </c>
      <c r="C1444">
        <v>90.54</v>
      </c>
      <c r="D1444">
        <v>90.54</v>
      </c>
      <c r="E1444" s="767">
        <v>9692.83</v>
      </c>
      <c r="I1444">
        <v>90.54</v>
      </c>
    </row>
    <row r="1445" spans="1:9">
      <c r="A1445" t="s">
        <v>4490</v>
      </c>
      <c r="B1445" t="s">
        <v>4696</v>
      </c>
      <c r="C1445">
        <v>52.79</v>
      </c>
      <c r="D1445">
        <v>52.79</v>
      </c>
      <c r="E1445" s="767">
        <v>9745.6200000000008</v>
      </c>
      <c r="I1445">
        <v>52.79</v>
      </c>
    </row>
    <row r="1446" spans="1:9">
      <c r="A1446" t="s">
        <v>4490</v>
      </c>
      <c r="B1446" t="s">
        <v>4697</v>
      </c>
      <c r="C1446">
        <v>52.79</v>
      </c>
      <c r="D1446">
        <v>52.79</v>
      </c>
      <c r="E1446" s="767">
        <v>9798.41</v>
      </c>
      <c r="I1446">
        <v>52.79</v>
      </c>
    </row>
    <row r="1447" spans="1:9">
      <c r="A1447" s="828">
        <v>43959</v>
      </c>
      <c r="B1447" t="s">
        <v>4698</v>
      </c>
      <c r="C1447">
        <v>52.79</v>
      </c>
      <c r="D1447">
        <v>52.79</v>
      </c>
      <c r="E1447" s="767">
        <v>9851.2000000000007</v>
      </c>
      <c r="I1447">
        <v>52.79</v>
      </c>
    </row>
    <row r="1449" spans="1:9">
      <c r="A1449" t="s">
        <v>4216</v>
      </c>
      <c r="B1449" s="767">
        <v>9851.2000000000007</v>
      </c>
      <c r="C1449" s="767">
        <v>9851.2000000000007</v>
      </c>
      <c r="D1449">
        <v>0</v>
      </c>
      <c r="E1449">
        <v>0</v>
      </c>
      <c r="F1449">
        <v>0</v>
      </c>
      <c r="G1449" s="767">
        <v>9851.2000000000007</v>
      </c>
    </row>
    <row r="1451" spans="1:9">
      <c r="A1451">
        <v>11998</v>
      </c>
      <c r="B1451" t="s">
        <v>3360</v>
      </c>
    </row>
    <row r="1452" spans="1:9">
      <c r="A1452" s="828">
        <v>44200</v>
      </c>
      <c r="B1452" t="s">
        <v>7134</v>
      </c>
      <c r="C1452" s="767">
        <v>1222.73</v>
      </c>
      <c r="D1452" s="767">
        <v>1222.73</v>
      </c>
      <c r="E1452" s="767">
        <v>1222.73</v>
      </c>
      <c r="H1452" s="767">
        <v>1222.73</v>
      </c>
    </row>
    <row r="1454" spans="1:9">
      <c r="A1454" t="s">
        <v>4216</v>
      </c>
      <c r="B1454" s="767">
        <v>1222.73</v>
      </c>
      <c r="C1454" s="767">
        <v>1222.73</v>
      </c>
      <c r="D1454">
        <v>0</v>
      </c>
      <c r="E1454">
        <v>0</v>
      </c>
      <c r="F1454" s="767">
        <v>1222.73</v>
      </c>
      <c r="G1454">
        <v>0</v>
      </c>
    </row>
    <row r="1456" spans="1:9">
      <c r="A1456">
        <v>12000</v>
      </c>
      <c r="B1456" t="s">
        <v>5865</v>
      </c>
    </row>
    <row r="1457" spans="1:9">
      <c r="A1457" s="828">
        <v>43873</v>
      </c>
      <c r="B1457" t="s">
        <v>5866</v>
      </c>
      <c r="C1457" s="767">
        <v>1504.51</v>
      </c>
      <c r="D1457" s="767">
        <v>1504.51</v>
      </c>
      <c r="E1457" s="767">
        <v>1504.51</v>
      </c>
      <c r="I1457" s="767">
        <v>1504.51</v>
      </c>
    </row>
    <row r="1458" spans="1:9">
      <c r="A1458" s="828">
        <v>44348</v>
      </c>
      <c r="B1458" t="s">
        <v>6096</v>
      </c>
      <c r="C1458" s="767">
        <v>1504.51</v>
      </c>
      <c r="D1458" s="767">
        <v>1504.51</v>
      </c>
      <c r="E1458" s="767">
        <v>3009.02</v>
      </c>
      <c r="I1458" s="767">
        <v>1504.51</v>
      </c>
    </row>
    <row r="1459" spans="1:9">
      <c r="A1459" s="828">
        <v>44288</v>
      </c>
      <c r="B1459" t="s">
        <v>6372</v>
      </c>
      <c r="C1459" s="767">
        <v>1566.78</v>
      </c>
      <c r="D1459" s="767">
        <v>1566.78</v>
      </c>
      <c r="E1459" s="767">
        <v>4575.8</v>
      </c>
      <c r="I1459" s="767">
        <v>1566.78</v>
      </c>
    </row>
    <row r="1461" spans="1:9">
      <c r="A1461" t="s">
        <v>4216</v>
      </c>
      <c r="B1461" s="767">
        <v>4575.8</v>
      </c>
      <c r="C1461" s="767">
        <v>4575.8</v>
      </c>
      <c r="D1461">
        <v>0</v>
      </c>
      <c r="E1461">
        <v>0</v>
      </c>
      <c r="F1461">
        <v>0</v>
      </c>
      <c r="G1461" s="767">
        <v>4575.8</v>
      </c>
    </row>
    <row r="1463" spans="1:9">
      <c r="A1463">
        <v>12008</v>
      </c>
      <c r="B1463" t="s">
        <v>3430</v>
      </c>
    </row>
    <row r="1464" spans="1:9">
      <c r="A1464" s="828">
        <v>43477</v>
      </c>
      <c r="B1464" t="s">
        <v>4699</v>
      </c>
      <c r="C1464" s="767">
        <v>3622.78</v>
      </c>
      <c r="D1464" s="767">
        <v>3622.78</v>
      </c>
      <c r="E1464" s="767">
        <v>3622.78</v>
      </c>
      <c r="I1464" s="767">
        <v>3622.78</v>
      </c>
    </row>
    <row r="1465" spans="1:9">
      <c r="A1465" s="828">
        <v>43953</v>
      </c>
      <c r="B1465" t="s">
        <v>4700</v>
      </c>
      <c r="C1465">
        <v>369.52</v>
      </c>
      <c r="D1465">
        <v>369.52</v>
      </c>
      <c r="E1465" s="767">
        <v>3992.3</v>
      </c>
      <c r="I1465">
        <v>369.52</v>
      </c>
    </row>
    <row r="1467" spans="1:9">
      <c r="A1467" t="s">
        <v>4216</v>
      </c>
      <c r="B1467" s="767">
        <v>3992.3</v>
      </c>
      <c r="C1467" s="767">
        <v>3992.3</v>
      </c>
      <c r="D1467">
        <v>0</v>
      </c>
      <c r="E1467">
        <v>0</v>
      </c>
      <c r="F1467">
        <v>0</v>
      </c>
      <c r="G1467" s="767">
        <v>3992.3</v>
      </c>
    </row>
    <row r="1469" spans="1:9">
      <c r="A1469">
        <v>12009</v>
      </c>
      <c r="B1469" t="s">
        <v>4701</v>
      </c>
    </row>
    <row r="1470" spans="1:9">
      <c r="A1470" s="828">
        <v>43893</v>
      </c>
      <c r="B1470" t="s">
        <v>4702</v>
      </c>
      <c r="C1470">
        <v>528.17999999999995</v>
      </c>
      <c r="D1470">
        <v>528.17999999999995</v>
      </c>
      <c r="E1470">
        <v>528.17999999999995</v>
      </c>
      <c r="I1470">
        <v>528.17999999999995</v>
      </c>
    </row>
    <row r="1472" spans="1:9">
      <c r="A1472" t="s">
        <v>4216</v>
      </c>
      <c r="B1472">
        <v>528.17999999999995</v>
      </c>
      <c r="C1472">
        <v>528.17999999999995</v>
      </c>
      <c r="D1472">
        <v>0</v>
      </c>
      <c r="E1472">
        <v>0</v>
      </c>
      <c r="F1472">
        <v>0</v>
      </c>
      <c r="G1472">
        <v>528.17999999999995</v>
      </c>
    </row>
    <row r="1474" spans="1:9">
      <c r="A1474">
        <v>12010</v>
      </c>
      <c r="B1474" t="s">
        <v>3231</v>
      </c>
    </row>
    <row r="1475" spans="1:9">
      <c r="A1475" t="s">
        <v>5406</v>
      </c>
      <c r="B1475" t="s">
        <v>5407</v>
      </c>
      <c r="C1475" s="767">
        <v>20138.88</v>
      </c>
      <c r="D1475" s="767">
        <v>20138.88</v>
      </c>
      <c r="E1475" s="767">
        <v>20138.88</v>
      </c>
      <c r="I1475" s="767">
        <v>20138.88</v>
      </c>
    </row>
    <row r="1476" spans="1:9">
      <c r="A1476" s="828">
        <v>44022</v>
      </c>
      <c r="B1476" t="s">
        <v>5469</v>
      </c>
      <c r="C1476" s="767">
        <v>6649.06</v>
      </c>
      <c r="D1476" s="767">
        <v>6649.06</v>
      </c>
      <c r="E1476" s="767">
        <v>26787.94</v>
      </c>
      <c r="I1476" s="767">
        <v>6649.06</v>
      </c>
    </row>
    <row r="1478" spans="1:9">
      <c r="A1478" t="s">
        <v>4216</v>
      </c>
      <c r="B1478" s="767">
        <v>26787.94</v>
      </c>
      <c r="C1478" s="767">
        <v>26787.94</v>
      </c>
      <c r="D1478">
        <v>0</v>
      </c>
      <c r="E1478">
        <v>0</v>
      </c>
      <c r="F1478">
        <v>0</v>
      </c>
      <c r="G1478" s="767">
        <v>26787.94</v>
      </c>
    </row>
    <row r="1480" spans="1:9">
      <c r="A1480">
        <v>12011</v>
      </c>
      <c r="B1480" t="s">
        <v>3301</v>
      </c>
    </row>
    <row r="1481" spans="1:9">
      <c r="A1481" s="828">
        <v>43873</v>
      </c>
      <c r="B1481" t="s">
        <v>5867</v>
      </c>
      <c r="C1481">
        <v>509.43</v>
      </c>
      <c r="D1481">
        <v>509.43</v>
      </c>
      <c r="E1481">
        <v>509.43</v>
      </c>
      <c r="I1481">
        <v>509.43</v>
      </c>
    </row>
    <row r="1482" spans="1:9">
      <c r="A1482" s="828">
        <v>44348</v>
      </c>
      <c r="B1482" t="s">
        <v>6097</v>
      </c>
      <c r="C1482">
        <v>509.43</v>
      </c>
      <c r="D1482">
        <v>509.43</v>
      </c>
      <c r="E1482" s="767">
        <v>1018.86</v>
      </c>
      <c r="I1482">
        <v>509.43</v>
      </c>
    </row>
    <row r="1483" spans="1:9">
      <c r="A1483" s="828">
        <v>44318</v>
      </c>
      <c r="B1483" t="s">
        <v>6373</v>
      </c>
      <c r="C1483">
        <v>533.79999999999995</v>
      </c>
      <c r="D1483">
        <v>533.79999999999995</v>
      </c>
      <c r="E1483" s="767">
        <v>1552.66</v>
      </c>
      <c r="I1483">
        <v>533.79999999999995</v>
      </c>
    </row>
    <row r="1484" spans="1:9">
      <c r="A1484" s="828">
        <v>44258</v>
      </c>
      <c r="B1484" t="s">
        <v>6606</v>
      </c>
      <c r="C1484">
        <v>137.43</v>
      </c>
      <c r="D1484">
        <v>137.43</v>
      </c>
      <c r="E1484" s="767">
        <v>1690.09</v>
      </c>
      <c r="I1484">
        <v>137.43</v>
      </c>
    </row>
    <row r="1485" spans="1:9">
      <c r="A1485" s="828">
        <v>44200</v>
      </c>
      <c r="B1485" t="s">
        <v>7135</v>
      </c>
      <c r="C1485">
        <v>533.79999999999995</v>
      </c>
      <c r="D1485">
        <v>533.79999999999995</v>
      </c>
      <c r="E1485" s="767">
        <v>2223.89</v>
      </c>
      <c r="H1485">
        <v>533.79999999999995</v>
      </c>
    </row>
    <row r="1487" spans="1:9">
      <c r="A1487" t="s">
        <v>4216</v>
      </c>
      <c r="B1487" s="767">
        <v>2223.89</v>
      </c>
      <c r="C1487" s="767">
        <v>2223.89</v>
      </c>
      <c r="D1487">
        <v>0</v>
      </c>
      <c r="E1487">
        <v>0</v>
      </c>
      <c r="F1487">
        <v>533.79999999999995</v>
      </c>
      <c r="G1487" s="767">
        <v>1690.09</v>
      </c>
    </row>
    <row r="1489" spans="1:9">
      <c r="A1489">
        <v>12013</v>
      </c>
      <c r="B1489" t="s">
        <v>3252</v>
      </c>
    </row>
    <row r="1490" spans="1:9">
      <c r="A1490" s="828">
        <v>43873</v>
      </c>
      <c r="B1490" t="s">
        <v>5868</v>
      </c>
      <c r="C1490">
        <v>131.97</v>
      </c>
      <c r="D1490">
        <v>131.97</v>
      </c>
      <c r="E1490">
        <v>131.97</v>
      </c>
      <c r="I1490">
        <v>131.97</v>
      </c>
    </row>
    <row r="1491" spans="1:9">
      <c r="A1491" s="828">
        <v>44348</v>
      </c>
      <c r="B1491" t="s">
        <v>6098</v>
      </c>
      <c r="C1491">
        <v>131.97</v>
      </c>
      <c r="D1491">
        <v>131.97</v>
      </c>
      <c r="E1491">
        <v>263.94</v>
      </c>
      <c r="I1491">
        <v>131.97</v>
      </c>
    </row>
    <row r="1492" spans="1:9">
      <c r="A1492" t="s">
        <v>6314</v>
      </c>
      <c r="B1492" t="s">
        <v>6374</v>
      </c>
      <c r="C1492">
        <v>137.43</v>
      </c>
      <c r="D1492">
        <v>137.43</v>
      </c>
      <c r="E1492">
        <v>401.37</v>
      </c>
      <c r="I1492">
        <v>137.43</v>
      </c>
    </row>
    <row r="1493" spans="1:9">
      <c r="A1493" s="828">
        <v>44258</v>
      </c>
      <c r="B1493" t="s">
        <v>6607</v>
      </c>
      <c r="C1493">
        <v>137.43</v>
      </c>
      <c r="D1493">
        <v>137.43</v>
      </c>
      <c r="E1493">
        <v>538.79999999999995</v>
      </c>
      <c r="I1493">
        <v>137.43</v>
      </c>
    </row>
    <row r="1494" spans="1:9">
      <c r="A1494" s="828">
        <v>44351</v>
      </c>
      <c r="B1494" t="s">
        <v>7136</v>
      </c>
      <c r="C1494">
        <v>137.43</v>
      </c>
      <c r="D1494">
        <v>137.43</v>
      </c>
      <c r="E1494">
        <v>676.23</v>
      </c>
      <c r="G1494">
        <v>137.43</v>
      </c>
    </row>
    <row r="1496" spans="1:9">
      <c r="A1496" t="s">
        <v>4216</v>
      </c>
      <c r="B1496">
        <v>676.23</v>
      </c>
      <c r="C1496">
        <v>676.23</v>
      </c>
      <c r="D1496">
        <v>0</v>
      </c>
      <c r="E1496">
        <v>137.43</v>
      </c>
      <c r="F1496">
        <v>0</v>
      </c>
      <c r="G1496">
        <v>538.79999999999995</v>
      </c>
    </row>
    <row r="1498" spans="1:9">
      <c r="A1498">
        <v>12014</v>
      </c>
      <c r="B1498" t="s">
        <v>3242</v>
      </c>
    </row>
    <row r="1499" spans="1:9">
      <c r="A1499" t="s">
        <v>6322</v>
      </c>
      <c r="B1499" t="s">
        <v>6375</v>
      </c>
      <c r="C1499" s="767">
        <v>2556.33</v>
      </c>
      <c r="D1499" s="767">
        <v>2556.33</v>
      </c>
      <c r="E1499" s="767">
        <v>2556.33</v>
      </c>
      <c r="I1499" s="767">
        <v>2556.33</v>
      </c>
    </row>
    <row r="1500" spans="1:9">
      <c r="A1500" t="s">
        <v>6977</v>
      </c>
      <c r="B1500" t="s">
        <v>7137</v>
      </c>
      <c r="C1500" s="767">
        <v>20536.96</v>
      </c>
      <c r="D1500" s="767">
        <v>20536.96</v>
      </c>
      <c r="E1500" s="767">
        <v>23093.29</v>
      </c>
      <c r="G1500" s="767">
        <v>20536.96</v>
      </c>
    </row>
    <row r="1502" spans="1:9">
      <c r="A1502" t="s">
        <v>4216</v>
      </c>
      <c r="B1502" s="767">
        <v>23093.29</v>
      </c>
      <c r="C1502" s="767">
        <v>23093.29</v>
      </c>
      <c r="D1502">
        <v>0</v>
      </c>
      <c r="E1502" s="767">
        <v>20536.96</v>
      </c>
      <c r="F1502">
        <v>0</v>
      </c>
      <c r="G1502" s="767">
        <v>2556.33</v>
      </c>
    </row>
    <row r="1504" spans="1:9">
      <c r="A1504">
        <v>12019</v>
      </c>
      <c r="B1504" t="s">
        <v>7138</v>
      </c>
    </row>
    <row r="1505" spans="1:9">
      <c r="A1505" s="828">
        <v>44200</v>
      </c>
      <c r="B1505" t="s">
        <v>7139</v>
      </c>
      <c r="C1505">
        <v>98.57</v>
      </c>
      <c r="D1505">
        <v>98.57</v>
      </c>
      <c r="E1505">
        <v>98.57</v>
      </c>
      <c r="H1505">
        <v>98.57</v>
      </c>
    </row>
    <row r="1507" spans="1:9">
      <c r="A1507" t="s">
        <v>4216</v>
      </c>
      <c r="B1507">
        <v>98.57</v>
      </c>
      <c r="C1507">
        <v>98.57</v>
      </c>
      <c r="D1507">
        <v>0</v>
      </c>
      <c r="E1507">
        <v>0</v>
      </c>
      <c r="F1507">
        <v>98.57</v>
      </c>
      <c r="G1507">
        <v>0</v>
      </c>
    </row>
    <row r="1509" spans="1:9">
      <c r="A1509">
        <v>12020</v>
      </c>
      <c r="B1509" t="s">
        <v>7140</v>
      </c>
    </row>
    <row r="1510" spans="1:9">
      <c r="A1510" s="828">
        <v>44200</v>
      </c>
      <c r="B1510" t="s">
        <v>7141</v>
      </c>
      <c r="C1510">
        <v>118.91</v>
      </c>
      <c r="D1510">
        <v>118.91</v>
      </c>
      <c r="E1510">
        <v>118.91</v>
      </c>
      <c r="H1510">
        <v>118.91</v>
      </c>
    </row>
    <row r="1512" spans="1:9">
      <c r="A1512" t="s">
        <v>4216</v>
      </c>
      <c r="B1512">
        <v>118.91</v>
      </c>
      <c r="C1512">
        <v>118.91</v>
      </c>
      <c r="D1512">
        <v>0</v>
      </c>
      <c r="E1512">
        <v>0</v>
      </c>
      <c r="F1512">
        <v>118.91</v>
      </c>
      <c r="G1512">
        <v>0</v>
      </c>
    </row>
    <row r="1514" spans="1:9">
      <c r="A1514">
        <v>12023</v>
      </c>
      <c r="B1514" t="s">
        <v>7142</v>
      </c>
    </row>
    <row r="1515" spans="1:9">
      <c r="A1515" s="828">
        <v>44200</v>
      </c>
      <c r="B1515" t="s">
        <v>7143</v>
      </c>
      <c r="C1515">
        <v>397.96</v>
      </c>
      <c r="D1515">
        <v>397.96</v>
      </c>
      <c r="E1515">
        <v>397.96</v>
      </c>
      <c r="H1515">
        <v>397.96</v>
      </c>
    </row>
    <row r="1517" spans="1:9">
      <c r="A1517" t="s">
        <v>4216</v>
      </c>
      <c r="B1517">
        <v>397.96</v>
      </c>
      <c r="C1517">
        <v>397.96</v>
      </c>
      <c r="D1517">
        <v>0</v>
      </c>
      <c r="E1517">
        <v>0</v>
      </c>
      <c r="F1517">
        <v>397.96</v>
      </c>
      <c r="G1517">
        <v>0</v>
      </c>
    </row>
    <row r="1519" spans="1:9">
      <c r="A1519">
        <v>12025</v>
      </c>
      <c r="B1519" t="s">
        <v>3368</v>
      </c>
    </row>
    <row r="1520" spans="1:9">
      <c r="A1520" s="828">
        <v>44318</v>
      </c>
      <c r="B1520" t="s">
        <v>6376</v>
      </c>
      <c r="C1520" s="767">
        <v>4618.93</v>
      </c>
      <c r="D1520" s="767">
        <v>4618.93</v>
      </c>
      <c r="E1520" s="767">
        <v>4618.93</v>
      </c>
      <c r="I1520" s="767">
        <v>4618.93</v>
      </c>
    </row>
    <row r="1521" spans="1:9">
      <c r="A1521" s="828">
        <v>44230</v>
      </c>
      <c r="B1521" t="s">
        <v>6608</v>
      </c>
      <c r="C1521" s="767">
        <v>1128.08</v>
      </c>
      <c r="D1521" s="767">
        <v>1128.08</v>
      </c>
      <c r="E1521" s="767">
        <v>5747.01</v>
      </c>
      <c r="I1521" s="767">
        <v>1128.08</v>
      </c>
    </row>
    <row r="1522" spans="1:9">
      <c r="A1522" s="828">
        <v>44200</v>
      </c>
      <c r="B1522" t="s">
        <v>7144</v>
      </c>
      <c r="C1522">
        <v>839.12</v>
      </c>
      <c r="D1522">
        <v>839.12</v>
      </c>
      <c r="E1522" s="767">
        <v>6586.13</v>
      </c>
      <c r="H1522">
        <v>839.12</v>
      </c>
    </row>
    <row r="1524" spans="1:9">
      <c r="A1524" t="s">
        <v>4216</v>
      </c>
      <c r="B1524" s="767">
        <v>6586.13</v>
      </c>
      <c r="C1524" s="767">
        <v>6586.13</v>
      </c>
      <c r="D1524">
        <v>0</v>
      </c>
      <c r="E1524">
        <v>0</v>
      </c>
      <c r="F1524">
        <v>839.12</v>
      </c>
      <c r="G1524" s="767">
        <v>5747.01</v>
      </c>
    </row>
    <row r="1526" spans="1:9">
      <c r="A1526">
        <v>12026</v>
      </c>
      <c r="B1526" t="s">
        <v>4088</v>
      </c>
    </row>
    <row r="1527" spans="1:9">
      <c r="A1527" t="s">
        <v>4385</v>
      </c>
      <c r="B1527" t="s">
        <v>4703</v>
      </c>
      <c r="C1527">
        <v>211.16</v>
      </c>
      <c r="D1527">
        <v>211.16</v>
      </c>
      <c r="E1527">
        <v>211.16</v>
      </c>
      <c r="I1527">
        <v>211.16</v>
      </c>
    </row>
    <row r="1528" spans="1:9">
      <c r="A1528" s="828">
        <v>43868</v>
      </c>
      <c r="B1528" t="s">
        <v>4704</v>
      </c>
      <c r="C1528">
        <v>525.21</v>
      </c>
      <c r="D1528">
        <v>525.21</v>
      </c>
      <c r="E1528">
        <v>736.37</v>
      </c>
      <c r="I1528">
        <v>525.21</v>
      </c>
    </row>
    <row r="1529" spans="1:9">
      <c r="A1529" s="828">
        <v>43873</v>
      </c>
      <c r="B1529" t="s">
        <v>5869</v>
      </c>
      <c r="C1529">
        <v>498.03</v>
      </c>
      <c r="D1529">
        <v>498.03</v>
      </c>
      <c r="E1529" s="767">
        <v>1234.4000000000001</v>
      </c>
      <c r="I1529">
        <v>498.03</v>
      </c>
    </row>
    <row r="1530" spans="1:9">
      <c r="A1530" s="828">
        <v>44288</v>
      </c>
      <c r="B1530" t="s">
        <v>6377</v>
      </c>
      <c r="C1530">
        <v>397.88</v>
      </c>
      <c r="D1530">
        <v>397.88</v>
      </c>
      <c r="E1530" s="767">
        <v>1632.28</v>
      </c>
      <c r="I1530">
        <v>397.88</v>
      </c>
    </row>
    <row r="1531" spans="1:9">
      <c r="A1531" s="828">
        <v>44289</v>
      </c>
      <c r="B1531" t="s">
        <v>6609</v>
      </c>
      <c r="C1531">
        <v>422.46</v>
      </c>
      <c r="D1531">
        <v>422.46</v>
      </c>
      <c r="E1531" s="767">
        <v>2054.7399999999998</v>
      </c>
      <c r="I1531">
        <v>422.46</v>
      </c>
    </row>
    <row r="1532" spans="1:9">
      <c r="A1532" s="828">
        <v>44200</v>
      </c>
      <c r="B1532" t="s">
        <v>7145</v>
      </c>
      <c r="C1532">
        <v>524.33000000000004</v>
      </c>
      <c r="D1532">
        <v>524.33000000000004</v>
      </c>
      <c r="E1532" s="767">
        <v>2579.0700000000002</v>
      </c>
      <c r="H1532">
        <v>524.33000000000004</v>
      </c>
    </row>
    <row r="1534" spans="1:9">
      <c r="A1534" t="s">
        <v>4216</v>
      </c>
      <c r="B1534" s="767">
        <v>2579.0700000000002</v>
      </c>
      <c r="C1534" s="767">
        <v>2579.0700000000002</v>
      </c>
      <c r="D1534">
        <v>0</v>
      </c>
      <c r="E1534">
        <v>0</v>
      </c>
      <c r="F1534">
        <v>524.33000000000004</v>
      </c>
      <c r="G1534" s="767">
        <v>2054.7399999999998</v>
      </c>
    </row>
    <row r="1536" spans="1:9">
      <c r="A1536">
        <v>12027</v>
      </c>
      <c r="B1536" t="s">
        <v>3370</v>
      </c>
    </row>
    <row r="1537" spans="1:9">
      <c r="A1537" s="828">
        <v>44200</v>
      </c>
      <c r="B1537" t="s">
        <v>7146</v>
      </c>
      <c r="C1537" s="767">
        <v>1386.9</v>
      </c>
      <c r="D1537" s="767">
        <v>1386.9</v>
      </c>
      <c r="E1537" s="767">
        <v>1386.9</v>
      </c>
      <c r="H1537" s="767">
        <v>1386.9</v>
      </c>
    </row>
    <row r="1539" spans="1:9">
      <c r="A1539" t="s">
        <v>4216</v>
      </c>
      <c r="B1539" s="767">
        <v>1386.9</v>
      </c>
      <c r="C1539" s="767">
        <v>1386.9</v>
      </c>
      <c r="D1539">
        <v>0</v>
      </c>
      <c r="E1539">
        <v>0</v>
      </c>
      <c r="F1539" s="767">
        <v>1386.9</v>
      </c>
      <c r="G1539">
        <v>0</v>
      </c>
    </row>
    <row r="1541" spans="1:9">
      <c r="A1541">
        <v>12029</v>
      </c>
      <c r="B1541" t="s">
        <v>4114</v>
      </c>
    </row>
    <row r="1542" spans="1:9">
      <c r="A1542" s="828">
        <v>44348</v>
      </c>
      <c r="B1542" t="s">
        <v>6099</v>
      </c>
      <c r="C1542" s="767">
        <v>1019.2</v>
      </c>
      <c r="D1542" s="767">
        <v>1019.2</v>
      </c>
      <c r="E1542" s="767">
        <v>1019.2</v>
      </c>
      <c r="I1542" s="767">
        <v>1019.2</v>
      </c>
    </row>
    <row r="1543" spans="1:9">
      <c r="A1543" s="828">
        <v>44442</v>
      </c>
      <c r="B1543" t="s">
        <v>6610</v>
      </c>
      <c r="C1543">
        <v>329.84</v>
      </c>
      <c r="D1543">
        <v>329.84</v>
      </c>
      <c r="E1543" s="767">
        <v>1349.04</v>
      </c>
      <c r="H1543">
        <v>329.84</v>
      </c>
    </row>
    <row r="1544" spans="1:9">
      <c r="A1544" s="828">
        <v>44442</v>
      </c>
      <c r="B1544" t="s">
        <v>6611</v>
      </c>
      <c r="C1544">
        <v>329.84</v>
      </c>
      <c r="D1544">
        <v>329.84</v>
      </c>
      <c r="E1544" s="767">
        <v>1678.88</v>
      </c>
      <c r="H1544">
        <v>329.84</v>
      </c>
    </row>
    <row r="1546" spans="1:9">
      <c r="A1546" t="s">
        <v>4216</v>
      </c>
      <c r="B1546" s="767">
        <v>1678.88</v>
      </c>
      <c r="C1546" s="767">
        <v>1678.88</v>
      </c>
      <c r="D1546">
        <v>0</v>
      </c>
      <c r="E1546">
        <v>0</v>
      </c>
      <c r="F1546">
        <v>659.68</v>
      </c>
      <c r="G1546" s="767">
        <v>1019.2</v>
      </c>
    </row>
    <row r="1548" spans="1:9">
      <c r="A1548">
        <v>12032</v>
      </c>
      <c r="B1548" t="s">
        <v>4077</v>
      </c>
    </row>
    <row r="1549" spans="1:9">
      <c r="A1549" s="828">
        <v>44200</v>
      </c>
      <c r="B1549" t="s">
        <v>7147</v>
      </c>
      <c r="C1549" s="767">
        <v>9095.59</v>
      </c>
      <c r="D1549" s="767">
        <v>9095.59</v>
      </c>
      <c r="E1549" s="767">
        <v>9095.59</v>
      </c>
      <c r="H1549" s="767">
        <v>9095.59</v>
      </c>
    </row>
    <row r="1551" spans="1:9">
      <c r="A1551" t="s">
        <v>4216</v>
      </c>
      <c r="B1551" s="767">
        <v>9095.59</v>
      </c>
      <c r="C1551" s="767">
        <v>9095.59</v>
      </c>
      <c r="D1551">
        <v>0</v>
      </c>
      <c r="E1551">
        <v>0</v>
      </c>
      <c r="F1551" s="767">
        <v>9095.59</v>
      </c>
      <c r="G1551">
        <v>0</v>
      </c>
    </row>
    <row r="1553" spans="1:9">
      <c r="A1553">
        <v>12035</v>
      </c>
      <c r="B1553" t="s">
        <v>4079</v>
      </c>
    </row>
    <row r="1554" spans="1:9">
      <c r="A1554" s="828">
        <v>43932</v>
      </c>
      <c r="B1554" t="s">
        <v>5542</v>
      </c>
      <c r="C1554">
        <v>304.77</v>
      </c>
      <c r="D1554">
        <v>304.77</v>
      </c>
      <c r="E1554">
        <v>304.77</v>
      </c>
      <c r="I1554">
        <v>304.77</v>
      </c>
    </row>
    <row r="1556" spans="1:9">
      <c r="A1556" t="s">
        <v>4216</v>
      </c>
      <c r="B1556">
        <v>304.77</v>
      </c>
      <c r="C1556">
        <v>304.77</v>
      </c>
      <c r="D1556">
        <v>0</v>
      </c>
      <c r="E1556">
        <v>0</v>
      </c>
      <c r="F1556">
        <v>0</v>
      </c>
      <c r="G1556">
        <v>304.77</v>
      </c>
    </row>
    <row r="1558" spans="1:9">
      <c r="A1558">
        <v>12036</v>
      </c>
      <c r="B1558" t="s">
        <v>2113</v>
      </c>
    </row>
    <row r="1559" spans="1:9">
      <c r="A1559" s="828">
        <v>44086</v>
      </c>
      <c r="B1559" t="s">
        <v>5870</v>
      </c>
      <c r="C1559" s="767">
        <v>11109.42</v>
      </c>
      <c r="D1559" s="767">
        <v>11109.42</v>
      </c>
      <c r="E1559" s="767">
        <v>11109.42</v>
      </c>
      <c r="I1559" s="767">
        <v>11109.42</v>
      </c>
    </row>
    <row r="1560" spans="1:9">
      <c r="A1560" s="828">
        <v>44288</v>
      </c>
      <c r="B1560" t="s">
        <v>6378</v>
      </c>
      <c r="C1560" s="767">
        <v>13772.45</v>
      </c>
      <c r="D1560" s="767">
        <v>13772.45</v>
      </c>
      <c r="E1560" s="767">
        <v>24881.87</v>
      </c>
      <c r="I1560" s="767">
        <v>13772.45</v>
      </c>
    </row>
    <row r="1561" spans="1:9">
      <c r="A1561" s="828">
        <v>44472</v>
      </c>
      <c r="B1561" t="s">
        <v>6612</v>
      </c>
      <c r="C1561" s="767">
        <v>21316.99</v>
      </c>
      <c r="D1561" s="767">
        <v>21316.99</v>
      </c>
      <c r="E1561" s="767">
        <v>46198.86</v>
      </c>
      <c r="H1561" s="767">
        <v>21316.99</v>
      </c>
    </row>
    <row r="1562" spans="1:9">
      <c r="A1562" s="828">
        <v>44351</v>
      </c>
      <c r="B1562" t="s">
        <v>7148</v>
      </c>
      <c r="C1562" s="767">
        <v>21741.91</v>
      </c>
      <c r="D1562" s="767">
        <v>21741.91</v>
      </c>
      <c r="E1562" s="767">
        <v>67940.77</v>
      </c>
      <c r="G1562" s="767">
        <v>21741.91</v>
      </c>
    </row>
    <row r="1564" spans="1:9">
      <c r="A1564" t="s">
        <v>4216</v>
      </c>
      <c r="B1564" s="767">
        <v>67940.77</v>
      </c>
      <c r="C1564" s="767">
        <v>67940.77</v>
      </c>
      <c r="D1564">
        <v>0</v>
      </c>
      <c r="E1564" s="767">
        <v>21741.91</v>
      </c>
      <c r="F1564" s="767">
        <v>21316.99</v>
      </c>
      <c r="G1564" s="767">
        <v>24881.87</v>
      </c>
    </row>
    <row r="1566" spans="1:9">
      <c r="A1566">
        <v>12040</v>
      </c>
      <c r="B1566" t="s">
        <v>5470</v>
      </c>
    </row>
    <row r="1567" spans="1:9">
      <c r="A1567" s="828">
        <v>43961</v>
      </c>
      <c r="B1567" t="s">
        <v>5471</v>
      </c>
      <c r="C1567" s="767">
        <v>1197.32</v>
      </c>
      <c r="D1567" s="767">
        <v>1197.32</v>
      </c>
      <c r="E1567" s="767">
        <v>1197.32</v>
      </c>
      <c r="I1567" s="767">
        <v>1197.32</v>
      </c>
    </row>
    <row r="1569" spans="1:9">
      <c r="A1569" t="s">
        <v>4216</v>
      </c>
      <c r="B1569" s="767">
        <v>1197.32</v>
      </c>
      <c r="C1569" s="767">
        <v>1197.32</v>
      </c>
      <c r="D1569">
        <v>0</v>
      </c>
      <c r="E1569">
        <v>0</v>
      </c>
      <c r="F1569">
        <v>0</v>
      </c>
      <c r="G1569" s="767">
        <v>1197.32</v>
      </c>
    </row>
    <row r="1571" spans="1:9">
      <c r="A1571">
        <v>12041</v>
      </c>
      <c r="B1571" t="s">
        <v>6100</v>
      </c>
    </row>
    <row r="1572" spans="1:9">
      <c r="A1572" s="828">
        <v>44409</v>
      </c>
      <c r="B1572" t="s">
        <v>6101</v>
      </c>
      <c r="C1572">
        <v>375.58</v>
      </c>
      <c r="D1572">
        <v>375.58</v>
      </c>
      <c r="E1572">
        <v>375.58</v>
      </c>
      <c r="I1572">
        <v>375.58</v>
      </c>
    </row>
    <row r="1573" spans="1:9">
      <c r="A1573" s="828">
        <v>44351</v>
      </c>
      <c r="B1573" t="s">
        <v>7149</v>
      </c>
      <c r="C1573">
        <v>734.08</v>
      </c>
      <c r="D1573">
        <v>734.08</v>
      </c>
      <c r="E1573" s="767">
        <v>1109.6600000000001</v>
      </c>
      <c r="G1573">
        <v>734.08</v>
      </c>
    </row>
    <row r="1575" spans="1:9">
      <c r="A1575" t="s">
        <v>4216</v>
      </c>
      <c r="B1575" s="767">
        <v>1109.6600000000001</v>
      </c>
      <c r="C1575" s="767">
        <v>1109.6600000000001</v>
      </c>
      <c r="D1575">
        <v>0</v>
      </c>
      <c r="E1575">
        <v>734.08</v>
      </c>
      <c r="F1575">
        <v>0</v>
      </c>
      <c r="G1575">
        <v>375.58</v>
      </c>
    </row>
    <row r="1577" spans="1:9">
      <c r="A1577">
        <v>12044</v>
      </c>
      <c r="B1577" t="s">
        <v>5408</v>
      </c>
    </row>
    <row r="1578" spans="1:9">
      <c r="A1578" t="s">
        <v>5386</v>
      </c>
      <c r="B1578" t="s">
        <v>5409</v>
      </c>
      <c r="C1578" s="767">
        <v>3892.17</v>
      </c>
      <c r="D1578" s="767">
        <v>3892.17</v>
      </c>
      <c r="E1578" s="767">
        <v>3892.17</v>
      </c>
      <c r="I1578" s="767">
        <v>3892.17</v>
      </c>
    </row>
    <row r="1580" spans="1:9">
      <c r="A1580" t="s">
        <v>4216</v>
      </c>
      <c r="B1580" s="767">
        <v>3892.17</v>
      </c>
      <c r="C1580" s="767">
        <v>3892.17</v>
      </c>
      <c r="D1580">
        <v>0</v>
      </c>
      <c r="E1580">
        <v>0</v>
      </c>
      <c r="F1580">
        <v>0</v>
      </c>
      <c r="G1580" s="767">
        <v>3892.17</v>
      </c>
    </row>
    <row r="1582" spans="1:9">
      <c r="A1582">
        <v>12046</v>
      </c>
      <c r="B1582" t="s">
        <v>5444</v>
      </c>
    </row>
    <row r="1583" spans="1:9">
      <c r="A1583" s="828">
        <v>43932</v>
      </c>
      <c r="B1583" t="s">
        <v>5543</v>
      </c>
      <c r="C1583">
        <v>620.54999999999995</v>
      </c>
      <c r="D1583">
        <v>620.54999999999995</v>
      </c>
      <c r="E1583">
        <v>620.54999999999995</v>
      </c>
      <c r="I1583">
        <v>620.54999999999995</v>
      </c>
    </row>
    <row r="1584" spans="1:9">
      <c r="A1584" s="828">
        <v>43873</v>
      </c>
      <c r="B1584" t="s">
        <v>5871</v>
      </c>
      <c r="C1584">
        <v>698.69</v>
      </c>
      <c r="D1584">
        <v>698.69</v>
      </c>
      <c r="E1584" s="767">
        <v>1319.24</v>
      </c>
      <c r="I1584">
        <v>698.69</v>
      </c>
    </row>
    <row r="1585" spans="1:9">
      <c r="A1585" s="828">
        <v>44288</v>
      </c>
      <c r="B1585" t="s">
        <v>6379</v>
      </c>
      <c r="C1585">
        <v>780.46</v>
      </c>
      <c r="D1585">
        <v>780.46</v>
      </c>
      <c r="E1585" s="767">
        <v>2099.6999999999998</v>
      </c>
      <c r="I1585">
        <v>780.46</v>
      </c>
    </row>
    <row r="1586" spans="1:9">
      <c r="A1586" s="828">
        <v>44351</v>
      </c>
      <c r="B1586" t="s">
        <v>7150</v>
      </c>
      <c r="C1586">
        <v>699.6</v>
      </c>
      <c r="D1586">
        <v>699.6</v>
      </c>
      <c r="E1586" s="767">
        <v>2799.3</v>
      </c>
      <c r="G1586">
        <v>699.6</v>
      </c>
    </row>
    <row r="1588" spans="1:9">
      <c r="A1588" t="s">
        <v>4216</v>
      </c>
      <c r="B1588" s="767">
        <v>2799.3</v>
      </c>
      <c r="C1588" s="767">
        <v>2799.3</v>
      </c>
      <c r="D1588">
        <v>0</v>
      </c>
      <c r="E1588">
        <v>699.6</v>
      </c>
      <c r="F1588">
        <v>0</v>
      </c>
      <c r="G1588" s="767">
        <v>2099.6999999999998</v>
      </c>
    </row>
    <row r="1590" spans="1:9">
      <c r="A1590">
        <v>12047</v>
      </c>
      <c r="B1590" t="s">
        <v>6613</v>
      </c>
    </row>
    <row r="1591" spans="1:9">
      <c r="A1591" s="828">
        <v>44200</v>
      </c>
      <c r="B1591" t="s">
        <v>7151</v>
      </c>
      <c r="C1591" s="767">
        <v>3989.41</v>
      </c>
      <c r="D1591" s="767">
        <v>3989.41</v>
      </c>
      <c r="E1591" s="767">
        <v>3989.41</v>
      </c>
      <c r="H1591" s="767">
        <v>3989.41</v>
      </c>
    </row>
    <row r="1593" spans="1:9">
      <c r="A1593" t="s">
        <v>4216</v>
      </c>
      <c r="B1593" s="767">
        <v>3989.41</v>
      </c>
      <c r="C1593" s="767">
        <v>3989.41</v>
      </c>
      <c r="D1593">
        <v>0</v>
      </c>
      <c r="E1593">
        <v>0</v>
      </c>
      <c r="F1593" s="767">
        <v>3989.41</v>
      </c>
      <c r="G1593">
        <v>0</v>
      </c>
    </row>
    <row r="1595" spans="1:9">
      <c r="A1595">
        <v>12048</v>
      </c>
      <c r="B1595" t="s">
        <v>5446</v>
      </c>
    </row>
    <row r="1596" spans="1:9">
      <c r="A1596" s="828">
        <v>44351</v>
      </c>
      <c r="B1596" t="s">
        <v>7152</v>
      </c>
      <c r="C1596" s="767">
        <v>1309.58</v>
      </c>
      <c r="D1596" s="767">
        <v>1309.58</v>
      </c>
      <c r="E1596" s="767">
        <v>1309.58</v>
      </c>
      <c r="G1596" s="767">
        <v>1309.58</v>
      </c>
    </row>
    <row r="1598" spans="1:9">
      <c r="A1598" t="s">
        <v>4216</v>
      </c>
      <c r="B1598" s="767">
        <v>1309.58</v>
      </c>
      <c r="C1598" s="767">
        <v>1309.58</v>
      </c>
      <c r="D1598">
        <v>0</v>
      </c>
      <c r="E1598" s="767">
        <v>1309.58</v>
      </c>
      <c r="F1598">
        <v>0</v>
      </c>
      <c r="G1598">
        <v>0</v>
      </c>
    </row>
    <row r="1600" spans="1:9">
      <c r="A1600">
        <v>12050</v>
      </c>
      <c r="B1600" t="s">
        <v>5448</v>
      </c>
    </row>
    <row r="1601" spans="1:9">
      <c r="A1601" s="828">
        <v>43932</v>
      </c>
      <c r="B1601" t="s">
        <v>5544</v>
      </c>
      <c r="C1601">
        <v>709.27</v>
      </c>
      <c r="D1601">
        <v>709.27</v>
      </c>
      <c r="E1601">
        <v>709.27</v>
      </c>
      <c r="I1601">
        <v>709.27</v>
      </c>
    </row>
    <row r="1602" spans="1:9">
      <c r="A1602" s="828">
        <v>43873</v>
      </c>
      <c r="B1602" t="s">
        <v>5872</v>
      </c>
      <c r="C1602">
        <v>411.83</v>
      </c>
      <c r="D1602">
        <v>411.83</v>
      </c>
      <c r="E1602" s="767">
        <v>1121.0999999999999</v>
      </c>
      <c r="I1602">
        <v>411.83</v>
      </c>
    </row>
    <row r="1603" spans="1:9">
      <c r="A1603" s="828">
        <v>44348</v>
      </c>
      <c r="B1603" t="s">
        <v>6102</v>
      </c>
      <c r="C1603">
        <v>437.11</v>
      </c>
      <c r="D1603">
        <v>437.11</v>
      </c>
      <c r="E1603" s="767">
        <v>1558.21</v>
      </c>
      <c r="I1603">
        <v>437.11</v>
      </c>
    </row>
    <row r="1605" spans="1:9">
      <c r="A1605" t="s">
        <v>4216</v>
      </c>
      <c r="B1605" s="767">
        <v>1558.21</v>
      </c>
      <c r="C1605" s="767">
        <v>1558.21</v>
      </c>
      <c r="D1605">
        <v>0</v>
      </c>
      <c r="E1605">
        <v>0</v>
      </c>
      <c r="F1605">
        <v>0</v>
      </c>
      <c r="G1605" s="767">
        <v>1558.21</v>
      </c>
    </row>
    <row r="1607" spans="1:9">
      <c r="A1607">
        <v>12056</v>
      </c>
      <c r="B1607" t="s">
        <v>5873</v>
      </c>
    </row>
    <row r="1608" spans="1:9">
      <c r="A1608" t="s">
        <v>5863</v>
      </c>
      <c r="B1608" t="s">
        <v>5874</v>
      </c>
      <c r="C1608" s="767">
        <v>1148.54</v>
      </c>
      <c r="D1608" s="767">
        <v>1148.54</v>
      </c>
      <c r="E1608" s="767">
        <v>1148.54</v>
      </c>
      <c r="I1608" s="767">
        <v>1148.54</v>
      </c>
    </row>
    <row r="1610" spans="1:9">
      <c r="A1610" t="s">
        <v>4216</v>
      </c>
      <c r="B1610" s="767">
        <v>1148.54</v>
      </c>
      <c r="C1610" s="767">
        <v>1148.54</v>
      </c>
      <c r="D1610">
        <v>0</v>
      </c>
      <c r="E1610">
        <v>0</v>
      </c>
      <c r="F1610">
        <v>0</v>
      </c>
      <c r="G1610" s="767">
        <v>1148.54</v>
      </c>
    </row>
    <row r="1612" spans="1:9">
      <c r="A1612">
        <v>12057</v>
      </c>
      <c r="B1612" t="s">
        <v>5969</v>
      </c>
    </row>
    <row r="1613" spans="1:9">
      <c r="A1613" s="828">
        <v>44348</v>
      </c>
      <c r="B1613" t="s">
        <v>6103</v>
      </c>
      <c r="C1613" s="767">
        <v>20801.95</v>
      </c>
      <c r="D1613" s="767">
        <v>20801.95</v>
      </c>
      <c r="E1613" s="767">
        <v>20801.95</v>
      </c>
      <c r="I1613" s="767">
        <v>20801.95</v>
      </c>
    </row>
    <row r="1614" spans="1:9">
      <c r="A1614" s="828">
        <v>44288</v>
      </c>
      <c r="B1614" t="s">
        <v>6380</v>
      </c>
      <c r="C1614">
        <v>280.64999999999998</v>
      </c>
      <c r="D1614">
        <v>280.64999999999998</v>
      </c>
      <c r="E1614" s="767">
        <v>21082.6</v>
      </c>
      <c r="I1614">
        <v>280.64999999999998</v>
      </c>
    </row>
    <row r="1615" spans="1:9">
      <c r="A1615" s="828">
        <v>44472</v>
      </c>
      <c r="B1615" t="s">
        <v>6614</v>
      </c>
      <c r="C1615">
        <v>399.56</v>
      </c>
      <c r="D1615">
        <v>399.56</v>
      </c>
      <c r="E1615" s="767">
        <v>21482.16</v>
      </c>
      <c r="H1615">
        <v>399.56</v>
      </c>
    </row>
    <row r="1616" spans="1:9">
      <c r="A1616" s="828">
        <v>44351</v>
      </c>
      <c r="B1616" t="s">
        <v>7153</v>
      </c>
      <c r="C1616">
        <v>122.1</v>
      </c>
      <c r="D1616">
        <v>122.1</v>
      </c>
      <c r="E1616" s="767">
        <v>21604.26</v>
      </c>
      <c r="G1616">
        <v>122.1</v>
      </c>
    </row>
    <row r="1618" spans="1:9">
      <c r="A1618" t="s">
        <v>4216</v>
      </c>
      <c r="B1618" s="767">
        <v>21604.26</v>
      </c>
      <c r="C1618" s="767">
        <v>21604.26</v>
      </c>
      <c r="D1618">
        <v>0</v>
      </c>
      <c r="E1618">
        <v>122.1</v>
      </c>
      <c r="F1618">
        <v>399.56</v>
      </c>
      <c r="G1618" s="767">
        <v>21082.6</v>
      </c>
    </row>
    <row r="1620" spans="1:9">
      <c r="A1620">
        <v>12060</v>
      </c>
      <c r="B1620" t="s">
        <v>5875</v>
      </c>
    </row>
    <row r="1621" spans="1:9">
      <c r="A1621" t="s">
        <v>5876</v>
      </c>
      <c r="B1621" t="s">
        <v>5877</v>
      </c>
      <c r="C1621">
        <v>343.4</v>
      </c>
      <c r="D1621">
        <v>343.4</v>
      </c>
      <c r="E1621">
        <v>343.4</v>
      </c>
      <c r="I1621">
        <v>343.4</v>
      </c>
    </row>
    <row r="1622" spans="1:9">
      <c r="A1622" s="828">
        <v>44348</v>
      </c>
      <c r="B1622" t="s">
        <v>6104</v>
      </c>
      <c r="C1622">
        <v>569.88</v>
      </c>
      <c r="D1622">
        <v>569.88</v>
      </c>
      <c r="E1622">
        <v>913.28</v>
      </c>
      <c r="I1622">
        <v>569.88</v>
      </c>
    </row>
    <row r="1623" spans="1:9">
      <c r="A1623" s="828">
        <v>44532</v>
      </c>
      <c r="B1623" t="s">
        <v>6381</v>
      </c>
      <c r="C1623">
        <v>359.92</v>
      </c>
      <c r="D1623">
        <v>359.92</v>
      </c>
      <c r="E1623" s="767">
        <v>1273.2</v>
      </c>
      <c r="I1623">
        <v>359.92</v>
      </c>
    </row>
    <row r="1624" spans="1:9">
      <c r="A1624" s="828">
        <v>44258</v>
      </c>
      <c r="B1624" t="s">
        <v>6615</v>
      </c>
      <c r="C1624">
        <v>439.19</v>
      </c>
      <c r="D1624">
        <v>439.19</v>
      </c>
      <c r="E1624" s="767">
        <v>1712.39</v>
      </c>
      <c r="I1624">
        <v>439.19</v>
      </c>
    </row>
    <row r="1625" spans="1:9">
      <c r="A1625" s="828">
        <v>44351</v>
      </c>
      <c r="B1625" t="s">
        <v>7154</v>
      </c>
      <c r="C1625">
        <v>478.83</v>
      </c>
      <c r="D1625">
        <v>478.83</v>
      </c>
      <c r="E1625" s="767">
        <v>2191.2199999999998</v>
      </c>
      <c r="G1625">
        <v>478.83</v>
      </c>
    </row>
    <row r="1627" spans="1:9">
      <c r="A1627" t="s">
        <v>4216</v>
      </c>
      <c r="B1627" s="767">
        <v>2191.2199999999998</v>
      </c>
      <c r="C1627" s="767">
        <v>2191.2199999999998</v>
      </c>
      <c r="D1627">
        <v>0</v>
      </c>
      <c r="E1627">
        <v>478.83</v>
      </c>
      <c r="F1627">
        <v>0</v>
      </c>
      <c r="G1627" s="767">
        <v>1712.39</v>
      </c>
    </row>
    <row r="1629" spans="1:9">
      <c r="A1629">
        <v>12062</v>
      </c>
      <c r="B1629" t="s">
        <v>6382</v>
      </c>
    </row>
    <row r="1630" spans="1:9">
      <c r="A1630" s="828">
        <v>44532</v>
      </c>
      <c r="B1630" t="s">
        <v>6383</v>
      </c>
      <c r="C1630" s="767">
        <v>1607.77</v>
      </c>
      <c r="D1630" s="767">
        <v>1607.77</v>
      </c>
      <c r="E1630" s="767">
        <v>1607.77</v>
      </c>
      <c r="I1630" s="767">
        <v>1607.77</v>
      </c>
    </row>
    <row r="1631" spans="1:9">
      <c r="A1631" s="828">
        <v>44258</v>
      </c>
      <c r="B1631" t="s">
        <v>6616</v>
      </c>
      <c r="C1631" s="767">
        <v>1084.95</v>
      </c>
      <c r="D1631" s="767">
        <v>1084.95</v>
      </c>
      <c r="E1631" s="767">
        <v>2692.72</v>
      </c>
      <c r="I1631" s="767">
        <v>1084.95</v>
      </c>
    </row>
    <row r="1632" spans="1:9">
      <c r="A1632" s="828">
        <v>44351</v>
      </c>
      <c r="B1632" t="s">
        <v>7155</v>
      </c>
      <c r="C1632" s="767">
        <v>1055.23</v>
      </c>
      <c r="D1632" s="767">
        <v>1055.23</v>
      </c>
      <c r="E1632" s="767">
        <v>3747.95</v>
      </c>
      <c r="G1632" s="767">
        <v>1055.23</v>
      </c>
    </row>
    <row r="1634" spans="1:9">
      <c r="A1634" t="s">
        <v>4216</v>
      </c>
      <c r="B1634" s="767">
        <v>3747.95</v>
      </c>
      <c r="C1634" s="767">
        <v>3747.95</v>
      </c>
      <c r="D1634">
        <v>0</v>
      </c>
      <c r="E1634" s="767">
        <v>1055.23</v>
      </c>
      <c r="F1634">
        <v>0</v>
      </c>
      <c r="G1634" s="767">
        <v>2692.72</v>
      </c>
    </row>
    <row r="1636" spans="1:9">
      <c r="A1636">
        <v>12064</v>
      </c>
      <c r="B1636" t="s">
        <v>6105</v>
      </c>
    </row>
    <row r="1637" spans="1:9">
      <c r="A1637" s="828">
        <v>44318</v>
      </c>
      <c r="B1637" t="s">
        <v>6384</v>
      </c>
      <c r="C1637">
        <v>956.84</v>
      </c>
      <c r="D1637">
        <v>956.84</v>
      </c>
      <c r="E1637">
        <v>956.84</v>
      </c>
      <c r="I1637">
        <v>956.84</v>
      </c>
    </row>
    <row r="1639" spans="1:9">
      <c r="A1639" t="s">
        <v>4216</v>
      </c>
      <c r="B1639">
        <v>956.84</v>
      </c>
      <c r="C1639">
        <v>956.84</v>
      </c>
      <c r="D1639">
        <v>0</v>
      </c>
      <c r="E1639">
        <v>0</v>
      </c>
      <c r="F1639">
        <v>0</v>
      </c>
      <c r="G1639">
        <v>956.84</v>
      </c>
    </row>
    <row r="1641" spans="1:9">
      <c r="A1641">
        <v>12065</v>
      </c>
      <c r="B1641" t="s">
        <v>2133</v>
      </c>
    </row>
    <row r="1642" spans="1:9">
      <c r="A1642" t="s">
        <v>7082</v>
      </c>
      <c r="B1642" t="s">
        <v>7156</v>
      </c>
      <c r="C1642">
        <v>859</v>
      </c>
      <c r="D1642">
        <v>859</v>
      </c>
      <c r="E1642">
        <v>859</v>
      </c>
      <c r="G1642">
        <v>859</v>
      </c>
    </row>
    <row r="1643" spans="1:9">
      <c r="A1643" t="s">
        <v>7082</v>
      </c>
      <c r="B1643" t="s">
        <v>7157</v>
      </c>
      <c r="C1643">
        <v>439.35</v>
      </c>
      <c r="D1643">
        <v>439.35</v>
      </c>
      <c r="E1643" s="767">
        <v>1298.3499999999999</v>
      </c>
      <c r="G1643">
        <v>439.35</v>
      </c>
    </row>
    <row r="1645" spans="1:9">
      <c r="A1645" t="s">
        <v>4216</v>
      </c>
      <c r="B1645" s="767">
        <v>1298.3499999999999</v>
      </c>
      <c r="C1645" s="767">
        <v>1298.3499999999999</v>
      </c>
      <c r="D1645">
        <v>0</v>
      </c>
      <c r="E1645" s="767">
        <v>1298.3499999999999</v>
      </c>
      <c r="F1645">
        <v>0</v>
      </c>
      <c r="G1645">
        <v>0</v>
      </c>
    </row>
    <row r="1647" spans="1:9">
      <c r="A1647">
        <v>12068</v>
      </c>
      <c r="B1647" t="s">
        <v>6215</v>
      </c>
    </row>
    <row r="1648" spans="1:9">
      <c r="A1648" t="s">
        <v>6312</v>
      </c>
      <c r="B1648" t="s">
        <v>6385</v>
      </c>
      <c r="C1648">
        <v>792.74</v>
      </c>
      <c r="D1648">
        <v>792.74</v>
      </c>
      <c r="E1648">
        <v>792.74</v>
      </c>
      <c r="I1648">
        <v>792.74</v>
      </c>
    </row>
    <row r="1649" spans="1:8">
      <c r="A1649" s="828">
        <v>44351</v>
      </c>
      <c r="B1649" t="s">
        <v>7158</v>
      </c>
      <c r="C1649" s="767">
        <v>11518.96</v>
      </c>
      <c r="D1649" s="767">
        <v>11518.96</v>
      </c>
      <c r="E1649" s="767">
        <v>12311.7</v>
      </c>
      <c r="G1649" s="767">
        <v>11518.96</v>
      </c>
    </row>
    <row r="1651" spans="1:8">
      <c r="A1651" t="s">
        <v>4216</v>
      </c>
      <c r="B1651" s="767">
        <v>12311.7</v>
      </c>
      <c r="C1651" s="767">
        <v>12311.7</v>
      </c>
      <c r="D1651">
        <v>0</v>
      </c>
      <c r="E1651" s="767">
        <v>11518.96</v>
      </c>
      <c r="F1651">
        <v>0</v>
      </c>
      <c r="G1651">
        <v>792.74</v>
      </c>
    </row>
    <row r="1653" spans="1:8">
      <c r="A1653">
        <v>12072</v>
      </c>
      <c r="B1653" t="s">
        <v>6499</v>
      </c>
    </row>
    <row r="1654" spans="1:8">
      <c r="A1654" t="s">
        <v>6617</v>
      </c>
      <c r="B1654" t="s">
        <v>6618</v>
      </c>
      <c r="C1654">
        <v>168.87</v>
      </c>
      <c r="D1654">
        <v>168.87</v>
      </c>
      <c r="E1654">
        <v>168.87</v>
      </c>
      <c r="H1654">
        <v>168.87</v>
      </c>
    </row>
    <row r="1655" spans="1:8">
      <c r="A1655" t="s">
        <v>6617</v>
      </c>
      <c r="B1655" t="s">
        <v>6619</v>
      </c>
      <c r="C1655">
        <v>892.24</v>
      </c>
      <c r="D1655">
        <v>892.24</v>
      </c>
      <c r="E1655" s="767">
        <v>1061.1099999999999</v>
      </c>
      <c r="H1655">
        <v>892.24</v>
      </c>
    </row>
    <row r="1656" spans="1:8">
      <c r="A1656" t="s">
        <v>6617</v>
      </c>
      <c r="B1656" t="s">
        <v>6620</v>
      </c>
      <c r="C1656">
        <v>202.57</v>
      </c>
      <c r="D1656">
        <v>202.57</v>
      </c>
      <c r="E1656" s="767">
        <v>1263.68</v>
      </c>
      <c r="H1656">
        <v>202.57</v>
      </c>
    </row>
    <row r="1657" spans="1:8">
      <c r="A1657" t="s">
        <v>6617</v>
      </c>
      <c r="B1657" t="s">
        <v>6621</v>
      </c>
      <c r="C1657" s="767">
        <v>2239.12</v>
      </c>
      <c r="D1657" s="767">
        <v>2239.12</v>
      </c>
      <c r="E1657" s="767">
        <v>3502.8</v>
      </c>
      <c r="H1657" s="767">
        <v>2239.12</v>
      </c>
    </row>
    <row r="1658" spans="1:8">
      <c r="A1658" t="s">
        <v>6617</v>
      </c>
      <c r="B1658" t="s">
        <v>6622</v>
      </c>
      <c r="C1658">
        <v>141.91999999999999</v>
      </c>
      <c r="D1658">
        <v>141.91999999999999</v>
      </c>
      <c r="E1658" s="767">
        <v>3644.72</v>
      </c>
      <c r="H1658">
        <v>141.91999999999999</v>
      </c>
    </row>
    <row r="1659" spans="1:8">
      <c r="A1659" t="s">
        <v>6617</v>
      </c>
      <c r="B1659" t="s">
        <v>6623</v>
      </c>
      <c r="C1659">
        <v>352.39</v>
      </c>
      <c r="D1659">
        <v>352.39</v>
      </c>
      <c r="E1659" s="767">
        <v>3997.11</v>
      </c>
      <c r="H1659">
        <v>352.39</v>
      </c>
    </row>
    <row r="1660" spans="1:8">
      <c r="A1660" s="828">
        <v>44351</v>
      </c>
      <c r="B1660" t="s">
        <v>7159</v>
      </c>
      <c r="C1660">
        <v>225.15</v>
      </c>
      <c r="D1660">
        <v>225.15</v>
      </c>
      <c r="E1660" s="767">
        <v>4222.26</v>
      </c>
      <c r="G1660">
        <v>225.15</v>
      </c>
    </row>
    <row r="1661" spans="1:8">
      <c r="A1661" s="828">
        <v>44351</v>
      </c>
      <c r="B1661" t="s">
        <v>7160</v>
      </c>
      <c r="C1661">
        <v>141.91999999999999</v>
      </c>
      <c r="D1661">
        <v>141.91999999999999</v>
      </c>
      <c r="E1661" s="767">
        <v>4364.18</v>
      </c>
      <c r="G1661">
        <v>141.91999999999999</v>
      </c>
    </row>
    <row r="1663" spans="1:8">
      <c r="A1663" t="s">
        <v>4216</v>
      </c>
      <c r="B1663" s="767">
        <v>4364.18</v>
      </c>
      <c r="C1663" s="767">
        <v>4364.18</v>
      </c>
      <c r="D1663">
        <v>0</v>
      </c>
      <c r="E1663">
        <v>367.07</v>
      </c>
      <c r="F1663" s="767">
        <v>3997.11</v>
      </c>
      <c r="G1663">
        <v>0</v>
      </c>
    </row>
    <row r="1665" spans="1:9">
      <c r="A1665">
        <v>7</v>
      </c>
      <c r="B1665" t="s">
        <v>4705</v>
      </c>
    </row>
    <row r="1667" spans="1:9">
      <c r="A1667">
        <v>11418</v>
      </c>
      <c r="B1667" t="s">
        <v>6106</v>
      </c>
    </row>
    <row r="1668" spans="1:9">
      <c r="A1668" s="828">
        <v>44378</v>
      </c>
      <c r="B1668" t="s">
        <v>6107</v>
      </c>
      <c r="C1668" s="767">
        <v>6410.09</v>
      </c>
      <c r="D1668" s="767">
        <v>6410.09</v>
      </c>
      <c r="E1668" s="767">
        <v>6410.09</v>
      </c>
      <c r="I1668" s="767">
        <v>6410.09</v>
      </c>
    </row>
    <row r="1669" spans="1:9">
      <c r="A1669" s="828">
        <v>44230</v>
      </c>
      <c r="B1669" t="s">
        <v>6624</v>
      </c>
      <c r="C1669" s="767">
        <v>9890.69</v>
      </c>
      <c r="D1669" s="767">
        <v>9890.69</v>
      </c>
      <c r="E1669" s="767">
        <v>16300.78</v>
      </c>
      <c r="I1669" s="767">
        <v>9890.69</v>
      </c>
    </row>
    <row r="1670" spans="1:9">
      <c r="A1670" s="828">
        <v>44320</v>
      </c>
      <c r="B1670" t="s">
        <v>7161</v>
      </c>
      <c r="C1670" s="767">
        <v>12742.81</v>
      </c>
      <c r="D1670" s="767">
        <v>12742.81</v>
      </c>
      <c r="E1670" s="767">
        <v>29043.59</v>
      </c>
      <c r="H1670" s="767">
        <v>12742.81</v>
      </c>
    </row>
    <row r="1672" spans="1:9">
      <c r="A1672" t="s">
        <v>4216</v>
      </c>
      <c r="B1672" s="767">
        <v>29043.59</v>
      </c>
      <c r="C1672" s="767">
        <v>29043.59</v>
      </c>
      <c r="D1672">
        <v>0</v>
      </c>
      <c r="E1672">
        <v>0</v>
      </c>
      <c r="F1672" s="767">
        <v>12742.81</v>
      </c>
      <c r="G1672" s="767">
        <v>16300.78</v>
      </c>
    </row>
    <row r="1674" spans="1:9">
      <c r="A1674">
        <v>11832</v>
      </c>
      <c r="B1674" t="s">
        <v>3431</v>
      </c>
    </row>
    <row r="1675" spans="1:9">
      <c r="A1675" s="828">
        <v>44441</v>
      </c>
      <c r="B1675" t="s">
        <v>6386</v>
      </c>
      <c r="C1675" s="767">
        <v>70083.02</v>
      </c>
      <c r="D1675" s="767">
        <v>70083.02</v>
      </c>
      <c r="E1675" s="767">
        <v>70083.02</v>
      </c>
      <c r="I1675" s="767">
        <v>70083.02</v>
      </c>
    </row>
    <row r="1676" spans="1:9">
      <c r="A1676" s="828">
        <v>44442</v>
      </c>
      <c r="B1676" t="s">
        <v>6625</v>
      </c>
      <c r="C1676" s="767">
        <v>73996.98</v>
      </c>
      <c r="D1676" s="767">
        <v>73996.98</v>
      </c>
      <c r="E1676" s="767">
        <v>144080</v>
      </c>
      <c r="H1676" s="767">
        <v>73996.98</v>
      </c>
    </row>
    <row r="1677" spans="1:9">
      <c r="A1677" s="828">
        <v>44351</v>
      </c>
      <c r="B1677" t="s">
        <v>7162</v>
      </c>
      <c r="C1677" s="767">
        <v>70464.08</v>
      </c>
      <c r="D1677" s="767">
        <v>70464.08</v>
      </c>
      <c r="E1677" s="767">
        <v>214544.08</v>
      </c>
      <c r="G1677" s="767">
        <v>70464.08</v>
      </c>
    </row>
    <row r="1679" spans="1:9">
      <c r="A1679" t="s">
        <v>4216</v>
      </c>
      <c r="B1679" s="767">
        <v>214544.08</v>
      </c>
      <c r="C1679" s="767">
        <v>214544.08</v>
      </c>
      <c r="D1679">
        <v>0</v>
      </c>
      <c r="E1679" s="767">
        <v>70464.08</v>
      </c>
      <c r="F1679" s="767">
        <v>73996.98</v>
      </c>
      <c r="G1679" s="767">
        <v>70083.02</v>
      </c>
    </row>
    <row r="1681" spans="1:9">
      <c r="A1681">
        <v>5</v>
      </c>
      <c r="B1681" t="s">
        <v>4706</v>
      </c>
    </row>
    <row r="1683" spans="1:9">
      <c r="A1683">
        <v>11413</v>
      </c>
      <c r="B1683" t="s">
        <v>3396</v>
      </c>
    </row>
    <row r="1684" spans="1:9">
      <c r="A1684" s="828">
        <v>44317</v>
      </c>
      <c r="B1684" t="s">
        <v>6108</v>
      </c>
      <c r="C1684" s="767">
        <v>6452.03</v>
      </c>
      <c r="D1684" s="767">
        <v>6452.03</v>
      </c>
      <c r="E1684" s="767">
        <v>6452.03</v>
      </c>
      <c r="I1684" s="767">
        <v>6452.03</v>
      </c>
    </row>
    <row r="1685" spans="1:9">
      <c r="A1685" s="828">
        <v>44230</v>
      </c>
      <c r="B1685" t="s">
        <v>6626</v>
      </c>
      <c r="C1685" s="767">
        <v>6900.94</v>
      </c>
      <c r="D1685" s="767">
        <v>6900.94</v>
      </c>
      <c r="E1685" s="767">
        <v>13352.97</v>
      </c>
      <c r="I1685" s="767">
        <v>6900.94</v>
      </c>
    </row>
    <row r="1686" spans="1:9">
      <c r="A1686" s="828">
        <v>44320</v>
      </c>
      <c r="B1686" t="s">
        <v>7163</v>
      </c>
      <c r="C1686" s="767">
        <v>6900.94</v>
      </c>
      <c r="D1686" s="767">
        <v>6900.94</v>
      </c>
      <c r="E1686" s="767">
        <v>20253.91</v>
      </c>
      <c r="H1686" s="767">
        <v>6900.94</v>
      </c>
    </row>
    <row r="1688" spans="1:9">
      <c r="A1688" t="s">
        <v>4216</v>
      </c>
      <c r="B1688" s="767">
        <v>20253.91</v>
      </c>
      <c r="C1688" s="767">
        <v>20253.91</v>
      </c>
      <c r="D1688">
        <v>0</v>
      </c>
      <c r="E1688">
        <v>0</v>
      </c>
      <c r="F1688" s="767">
        <v>6900.94</v>
      </c>
      <c r="G1688" s="767">
        <v>13352.97</v>
      </c>
    </row>
    <row r="1690" spans="1:9">
      <c r="A1690">
        <v>11441</v>
      </c>
      <c r="B1690" t="s">
        <v>4397</v>
      </c>
    </row>
    <row r="1691" spans="1:9">
      <c r="A1691" s="828">
        <v>43232</v>
      </c>
      <c r="B1691" t="s">
        <v>4707</v>
      </c>
      <c r="C1691" s="767">
        <v>4889.04</v>
      </c>
      <c r="D1691" s="767">
        <v>4889.04</v>
      </c>
      <c r="E1691" s="767">
        <v>4889.04</v>
      </c>
      <c r="I1691" s="767">
        <v>4889.04</v>
      </c>
    </row>
    <row r="1692" spans="1:9">
      <c r="A1692" s="828">
        <v>43232</v>
      </c>
      <c r="B1692" t="s">
        <v>4708</v>
      </c>
      <c r="C1692" s="767">
        <v>4889.04</v>
      </c>
      <c r="D1692" s="767">
        <v>4889.04</v>
      </c>
      <c r="E1692" s="767">
        <v>9778.08</v>
      </c>
      <c r="I1692" s="767">
        <v>4889.04</v>
      </c>
    </row>
    <row r="1693" spans="1:9">
      <c r="A1693" s="828">
        <v>43232</v>
      </c>
      <c r="B1693" t="s">
        <v>4709</v>
      </c>
      <c r="C1693" s="767">
        <v>4889.04</v>
      </c>
      <c r="D1693" s="767">
        <v>4889.04</v>
      </c>
      <c r="E1693" s="767">
        <v>14667.12</v>
      </c>
      <c r="I1693" s="767">
        <v>4889.04</v>
      </c>
    </row>
    <row r="1694" spans="1:9">
      <c r="A1694" s="828">
        <v>43232</v>
      </c>
      <c r="B1694" t="s">
        <v>4710</v>
      </c>
      <c r="C1694" s="767">
        <v>4889.04</v>
      </c>
      <c r="D1694" s="767">
        <v>4889.04</v>
      </c>
      <c r="E1694" s="767">
        <v>19556.16</v>
      </c>
      <c r="I1694" s="767">
        <v>4889.04</v>
      </c>
    </row>
    <row r="1695" spans="1:9">
      <c r="A1695" s="828">
        <v>43232</v>
      </c>
      <c r="B1695" t="s">
        <v>4711</v>
      </c>
      <c r="C1695" s="767">
        <v>4889.04</v>
      </c>
      <c r="D1695" s="767">
        <v>4889.04</v>
      </c>
      <c r="E1695" s="767">
        <v>24445.200000000001</v>
      </c>
      <c r="I1695" s="767">
        <v>4889.04</v>
      </c>
    </row>
    <row r="1696" spans="1:9">
      <c r="A1696" s="828">
        <v>43232</v>
      </c>
      <c r="B1696" t="s">
        <v>4712</v>
      </c>
      <c r="C1696" s="767">
        <v>4889.04</v>
      </c>
      <c r="D1696" s="767">
        <v>4889.04</v>
      </c>
      <c r="E1696" s="767">
        <v>29334.240000000002</v>
      </c>
      <c r="I1696" s="767">
        <v>4889.04</v>
      </c>
    </row>
    <row r="1697" spans="1:9">
      <c r="A1697" s="828">
        <v>43111</v>
      </c>
      <c r="B1697" t="s">
        <v>4713</v>
      </c>
      <c r="C1697" s="767">
        <v>10070.25</v>
      </c>
      <c r="D1697" s="767">
        <v>10070.25</v>
      </c>
      <c r="E1697" s="767">
        <v>39404.49</v>
      </c>
      <c r="I1697" s="767">
        <v>10070.25</v>
      </c>
    </row>
    <row r="1698" spans="1:9">
      <c r="A1698" t="s">
        <v>6977</v>
      </c>
      <c r="B1698" t="s">
        <v>7164</v>
      </c>
      <c r="C1698" s="767">
        <v>3335.46</v>
      </c>
      <c r="D1698" s="767">
        <v>3335.46</v>
      </c>
      <c r="E1698" s="767">
        <v>42739.95</v>
      </c>
      <c r="G1698" s="767">
        <v>3335.46</v>
      </c>
    </row>
    <row r="1700" spans="1:9">
      <c r="A1700" t="s">
        <v>4216</v>
      </c>
      <c r="B1700" s="767">
        <v>42739.95</v>
      </c>
      <c r="C1700" s="767">
        <v>42739.95</v>
      </c>
      <c r="D1700">
        <v>0</v>
      </c>
      <c r="E1700" s="767">
        <v>3335.46</v>
      </c>
      <c r="F1700">
        <v>0</v>
      </c>
      <c r="G1700" s="767">
        <v>39404.49</v>
      </c>
    </row>
    <row r="1702" spans="1:9">
      <c r="A1702">
        <v>11485</v>
      </c>
      <c r="B1702" t="s">
        <v>1262</v>
      </c>
    </row>
    <row r="1703" spans="1:9">
      <c r="A1703" s="828">
        <v>43232</v>
      </c>
      <c r="B1703" t="s">
        <v>4714</v>
      </c>
      <c r="C1703" s="767">
        <v>3153.08</v>
      </c>
      <c r="D1703" s="767">
        <v>3153.08</v>
      </c>
      <c r="E1703" s="767">
        <v>3153.08</v>
      </c>
      <c r="I1703" s="767">
        <v>3153.08</v>
      </c>
    </row>
    <row r="1704" spans="1:9">
      <c r="A1704" s="828">
        <v>43232</v>
      </c>
      <c r="B1704" t="s">
        <v>4715</v>
      </c>
      <c r="C1704" s="767">
        <v>3153.08</v>
      </c>
      <c r="D1704" s="767">
        <v>3153.08</v>
      </c>
      <c r="E1704" s="767">
        <v>6306.16</v>
      </c>
      <c r="I1704" s="767">
        <v>3153.08</v>
      </c>
    </row>
    <row r="1705" spans="1:9">
      <c r="A1705" s="828">
        <v>43476</v>
      </c>
      <c r="B1705" t="s">
        <v>4716</v>
      </c>
      <c r="C1705" s="767">
        <v>4722.8100000000004</v>
      </c>
      <c r="D1705" s="767">
        <v>4722.8100000000004</v>
      </c>
      <c r="E1705" s="767">
        <v>11028.97</v>
      </c>
      <c r="I1705" s="767">
        <v>4722.8100000000004</v>
      </c>
    </row>
    <row r="1707" spans="1:9">
      <c r="A1707" t="s">
        <v>4216</v>
      </c>
      <c r="B1707" s="767">
        <v>11028.97</v>
      </c>
      <c r="C1707" s="767">
        <v>11028.97</v>
      </c>
      <c r="D1707">
        <v>0</v>
      </c>
      <c r="E1707">
        <v>0</v>
      </c>
      <c r="F1707">
        <v>0</v>
      </c>
      <c r="G1707" s="767">
        <v>11028.97</v>
      </c>
    </row>
    <row r="1709" spans="1:9">
      <c r="A1709">
        <v>11573</v>
      </c>
      <c r="B1709" t="s">
        <v>3432</v>
      </c>
    </row>
    <row r="1710" spans="1:9">
      <c r="A1710" s="828">
        <v>43232</v>
      </c>
      <c r="B1710" t="s">
        <v>4717</v>
      </c>
      <c r="C1710" s="767">
        <v>17713.900000000001</v>
      </c>
      <c r="D1710" s="767">
        <v>17713.900000000001</v>
      </c>
      <c r="E1710" s="767">
        <v>17713.900000000001</v>
      </c>
      <c r="I1710" s="767">
        <v>17713.900000000001</v>
      </c>
    </row>
    <row r="1711" spans="1:9">
      <c r="A1711" s="828">
        <v>43232</v>
      </c>
      <c r="B1711" t="s">
        <v>4718</v>
      </c>
      <c r="C1711" s="767">
        <v>17713.900000000001</v>
      </c>
      <c r="D1711" s="767">
        <v>17713.900000000001</v>
      </c>
      <c r="E1711" s="767">
        <v>35427.800000000003</v>
      </c>
      <c r="I1711" s="767">
        <v>17713.900000000001</v>
      </c>
    </row>
    <row r="1712" spans="1:9">
      <c r="A1712" t="s">
        <v>4719</v>
      </c>
      <c r="B1712" t="s">
        <v>4720</v>
      </c>
      <c r="C1712" s="767">
        <v>17713.900000000001</v>
      </c>
      <c r="D1712" s="767">
        <v>17713.900000000001</v>
      </c>
      <c r="E1712" s="767">
        <v>53141.7</v>
      </c>
      <c r="I1712" s="767">
        <v>17713.900000000001</v>
      </c>
    </row>
    <row r="1713" spans="1:9">
      <c r="A1713" t="s">
        <v>4721</v>
      </c>
      <c r="B1713" t="s">
        <v>4722</v>
      </c>
      <c r="C1713" s="767">
        <v>3866.66</v>
      </c>
      <c r="D1713" s="767">
        <v>3866.66</v>
      </c>
      <c r="E1713" s="767">
        <v>57008.36</v>
      </c>
      <c r="I1713" s="767">
        <v>3866.66</v>
      </c>
    </row>
    <row r="1714" spans="1:9">
      <c r="A1714" s="828">
        <v>44200</v>
      </c>
      <c r="B1714" t="s">
        <v>7165</v>
      </c>
      <c r="C1714" s="767">
        <v>46006.29</v>
      </c>
      <c r="D1714" s="767">
        <v>46006.29</v>
      </c>
      <c r="E1714" s="767">
        <v>103014.65</v>
      </c>
      <c r="H1714" s="767">
        <v>46006.29</v>
      </c>
    </row>
    <row r="1716" spans="1:9">
      <c r="A1716" t="s">
        <v>4216</v>
      </c>
      <c r="B1716" s="767">
        <v>103014.65</v>
      </c>
      <c r="C1716" s="767">
        <v>103014.65</v>
      </c>
      <c r="D1716">
        <v>0</v>
      </c>
      <c r="E1716">
        <v>0</v>
      </c>
      <c r="F1716" s="767">
        <v>46006.29</v>
      </c>
      <c r="G1716" s="767">
        <v>57008.36</v>
      </c>
    </row>
    <row r="1718" spans="1:9">
      <c r="A1718">
        <v>11721</v>
      </c>
      <c r="B1718" t="s">
        <v>3433</v>
      </c>
    </row>
    <row r="1719" spans="1:9">
      <c r="A1719" t="s">
        <v>4723</v>
      </c>
      <c r="B1719" t="s">
        <v>4724</v>
      </c>
      <c r="C1719" s="767">
        <v>3866.66</v>
      </c>
      <c r="D1719" s="767">
        <v>3866.66</v>
      </c>
      <c r="E1719" s="767">
        <v>3866.66</v>
      </c>
      <c r="I1719" s="767">
        <v>3866.66</v>
      </c>
    </row>
    <row r="1720" spans="1:9">
      <c r="A1720" s="828">
        <v>44320</v>
      </c>
      <c r="B1720" t="s">
        <v>7166</v>
      </c>
      <c r="C1720" s="767">
        <v>27603.78</v>
      </c>
      <c r="D1720" s="767">
        <v>27603.78</v>
      </c>
      <c r="E1720" s="767">
        <v>31470.44</v>
      </c>
      <c r="H1720" s="767">
        <v>27603.78</v>
      </c>
    </row>
    <row r="1722" spans="1:9">
      <c r="A1722" t="s">
        <v>4216</v>
      </c>
      <c r="B1722" s="767">
        <v>31470.44</v>
      </c>
      <c r="C1722" s="767">
        <v>31470.44</v>
      </c>
      <c r="D1722">
        <v>0</v>
      </c>
      <c r="E1722">
        <v>0</v>
      </c>
      <c r="F1722" s="767">
        <v>27603.78</v>
      </c>
      <c r="G1722" s="767">
        <v>3866.66</v>
      </c>
    </row>
    <row r="1724" spans="1:9">
      <c r="A1724">
        <v>11723</v>
      </c>
      <c r="B1724" t="s">
        <v>2849</v>
      </c>
    </row>
    <row r="1725" spans="1:9">
      <c r="A1725" s="828">
        <v>43232</v>
      </c>
      <c r="B1725" t="s">
        <v>4725</v>
      </c>
      <c r="C1725" s="767">
        <v>2561.34</v>
      </c>
      <c r="D1725" s="767">
        <v>2561.34</v>
      </c>
      <c r="E1725" s="767">
        <v>2561.34</v>
      </c>
      <c r="I1725" s="767">
        <v>2561.34</v>
      </c>
    </row>
    <row r="1726" spans="1:9">
      <c r="A1726" s="828">
        <v>44320</v>
      </c>
      <c r="B1726" t="s">
        <v>7167</v>
      </c>
      <c r="C1726" s="767">
        <v>4945.68</v>
      </c>
      <c r="D1726" s="767">
        <v>4945.68</v>
      </c>
      <c r="E1726" s="767">
        <v>7507.02</v>
      </c>
      <c r="H1726" s="767">
        <v>4945.68</v>
      </c>
    </row>
    <row r="1728" spans="1:9">
      <c r="A1728" t="s">
        <v>4216</v>
      </c>
      <c r="B1728" s="767">
        <v>7507.02</v>
      </c>
      <c r="C1728" s="767">
        <v>7507.02</v>
      </c>
      <c r="D1728">
        <v>0</v>
      </c>
      <c r="E1728">
        <v>0</v>
      </c>
      <c r="F1728" s="767">
        <v>4945.68</v>
      </c>
      <c r="G1728" s="767">
        <v>2561.34</v>
      </c>
    </row>
    <row r="1730" spans="1:9">
      <c r="A1730">
        <v>11724</v>
      </c>
      <c r="B1730" t="s">
        <v>7168</v>
      </c>
    </row>
    <row r="1731" spans="1:9">
      <c r="A1731" s="828">
        <v>44351</v>
      </c>
      <c r="B1731" t="s">
        <v>7169</v>
      </c>
      <c r="C1731" s="767">
        <v>17804.439999999999</v>
      </c>
      <c r="D1731" s="767">
        <v>17804.439999999999</v>
      </c>
      <c r="E1731" s="767">
        <v>17804.439999999999</v>
      </c>
      <c r="G1731" s="767">
        <v>17804.439999999999</v>
      </c>
    </row>
    <row r="1732" spans="1:9">
      <c r="A1732" s="828">
        <v>44351</v>
      </c>
      <c r="B1732" t="s">
        <v>7170</v>
      </c>
      <c r="C1732" s="767">
        <v>17804.439999999999</v>
      </c>
      <c r="D1732" s="767">
        <v>17804.439999999999</v>
      </c>
      <c r="E1732" s="767">
        <v>35608.879999999997</v>
      </c>
      <c r="G1732" s="767">
        <v>17804.439999999999</v>
      </c>
    </row>
    <row r="1733" spans="1:9">
      <c r="A1733" s="828">
        <v>44351</v>
      </c>
      <c r="B1733" t="s">
        <v>7171</v>
      </c>
      <c r="C1733" s="767">
        <v>17804.439999999999</v>
      </c>
      <c r="D1733" s="767">
        <v>17804.439999999999</v>
      </c>
      <c r="E1733" s="767">
        <v>53413.32</v>
      </c>
      <c r="G1733" s="767">
        <v>17804.439999999999</v>
      </c>
    </row>
    <row r="1734" spans="1:9">
      <c r="A1734" s="828">
        <v>44351</v>
      </c>
      <c r="B1734" t="s">
        <v>7172</v>
      </c>
      <c r="C1734" s="767">
        <v>17804.439999999999</v>
      </c>
      <c r="D1734" s="767">
        <v>17804.439999999999</v>
      </c>
      <c r="E1734" s="767">
        <v>71217.759999999995</v>
      </c>
      <c r="G1734" s="767">
        <v>17804.439999999999</v>
      </c>
    </row>
    <row r="1735" spans="1:9">
      <c r="A1735" s="828">
        <v>44381</v>
      </c>
      <c r="B1735" t="s">
        <v>7173</v>
      </c>
      <c r="C1735" s="767">
        <v>8695.19</v>
      </c>
      <c r="D1735" s="767">
        <v>8695.19</v>
      </c>
      <c r="E1735" s="767">
        <v>79912.95</v>
      </c>
      <c r="G1735" s="767">
        <v>8695.19</v>
      </c>
    </row>
    <row r="1736" spans="1:9">
      <c r="A1736" s="828">
        <v>44381</v>
      </c>
      <c r="B1736" t="s">
        <v>7174</v>
      </c>
      <c r="C1736" s="767">
        <v>8695.19</v>
      </c>
      <c r="D1736" s="767">
        <v>8695.19</v>
      </c>
      <c r="E1736" s="767">
        <v>88608.14</v>
      </c>
      <c r="G1736" s="767">
        <v>8695.19</v>
      </c>
    </row>
    <row r="1737" spans="1:9">
      <c r="A1737" s="828">
        <v>44381</v>
      </c>
      <c r="B1737" t="s">
        <v>7175</v>
      </c>
      <c r="C1737" s="767">
        <v>8695.19</v>
      </c>
      <c r="D1737" s="767">
        <v>8695.19</v>
      </c>
      <c r="E1737" s="767">
        <v>97303.33</v>
      </c>
      <c r="G1737" s="767">
        <v>8695.19</v>
      </c>
    </row>
    <row r="1738" spans="1:9">
      <c r="A1738" s="828">
        <v>44381</v>
      </c>
      <c r="B1738" t="s">
        <v>7176</v>
      </c>
      <c r="C1738" s="767">
        <v>8695.19</v>
      </c>
      <c r="D1738" s="767">
        <v>8695.19</v>
      </c>
      <c r="E1738" s="767">
        <v>105998.52</v>
      </c>
      <c r="G1738" s="767">
        <v>8695.19</v>
      </c>
    </row>
    <row r="1740" spans="1:9">
      <c r="A1740" t="s">
        <v>4216</v>
      </c>
      <c r="B1740" s="767">
        <v>105998.52</v>
      </c>
      <c r="C1740" s="767">
        <v>105998.52</v>
      </c>
      <c r="D1740">
        <v>0</v>
      </c>
      <c r="E1740" s="767">
        <v>105998.52</v>
      </c>
      <c r="F1740">
        <v>0</v>
      </c>
      <c r="G1740">
        <v>0</v>
      </c>
    </row>
    <row r="1742" spans="1:9">
      <c r="A1742">
        <v>12002</v>
      </c>
      <c r="B1742" t="s">
        <v>3362</v>
      </c>
    </row>
    <row r="1743" spans="1:9">
      <c r="A1743" s="828">
        <v>43954</v>
      </c>
      <c r="B1743" t="s">
        <v>4726</v>
      </c>
      <c r="C1743" s="767">
        <v>4301.82</v>
      </c>
      <c r="D1743" s="767">
        <v>4301.82</v>
      </c>
      <c r="E1743" s="767">
        <v>4301.82</v>
      </c>
      <c r="I1743" s="767">
        <v>4301.82</v>
      </c>
    </row>
    <row r="1744" spans="1:9">
      <c r="A1744" s="828">
        <v>44017</v>
      </c>
      <c r="B1744" t="s">
        <v>4727</v>
      </c>
      <c r="C1744" s="767">
        <v>4301.82</v>
      </c>
      <c r="D1744" s="767">
        <v>4301.82</v>
      </c>
      <c r="E1744" s="767">
        <v>8603.64</v>
      </c>
      <c r="I1744" s="767">
        <v>4301.82</v>
      </c>
    </row>
    <row r="1745" spans="1:9">
      <c r="A1745" s="828">
        <v>44017</v>
      </c>
      <c r="B1745" t="s">
        <v>4728</v>
      </c>
      <c r="C1745" s="767">
        <v>4301.82</v>
      </c>
      <c r="D1745" s="767">
        <v>4301.82</v>
      </c>
      <c r="E1745" s="767">
        <v>12905.46</v>
      </c>
      <c r="I1745" s="767">
        <v>4301.82</v>
      </c>
    </row>
    <row r="1746" spans="1:9">
      <c r="A1746" s="828">
        <v>43896</v>
      </c>
      <c r="B1746" t="s">
        <v>4729</v>
      </c>
      <c r="C1746" s="767">
        <v>4301.82</v>
      </c>
      <c r="D1746" s="767">
        <v>4301.82</v>
      </c>
      <c r="E1746" s="767">
        <v>17207.28</v>
      </c>
      <c r="I1746" s="767">
        <v>4301.82</v>
      </c>
    </row>
    <row r="1747" spans="1:9">
      <c r="A1747" s="828">
        <v>43897</v>
      </c>
      <c r="B1747" t="s">
        <v>4730</v>
      </c>
      <c r="C1747" s="767">
        <v>4301.82</v>
      </c>
      <c r="D1747" s="767">
        <v>4301.82</v>
      </c>
      <c r="E1747" s="767">
        <v>21509.1</v>
      </c>
      <c r="I1747" s="767">
        <v>4301.82</v>
      </c>
    </row>
    <row r="1748" spans="1:9">
      <c r="A1748" s="828">
        <v>43959</v>
      </c>
      <c r="B1748" t="s">
        <v>4731</v>
      </c>
      <c r="C1748" s="767">
        <v>4301.82</v>
      </c>
      <c r="D1748" s="767">
        <v>4301.82</v>
      </c>
      <c r="E1748" s="767">
        <v>25810.92</v>
      </c>
      <c r="I1748" s="767">
        <v>4301.82</v>
      </c>
    </row>
    <row r="1749" spans="1:9">
      <c r="A1749" s="828">
        <v>43899</v>
      </c>
      <c r="B1749" t="s">
        <v>5410</v>
      </c>
      <c r="C1749" s="767">
        <v>4301.3500000000004</v>
      </c>
      <c r="D1749" s="767">
        <v>4301.3500000000004</v>
      </c>
      <c r="E1749" s="767">
        <v>30112.27</v>
      </c>
      <c r="I1749" s="767">
        <v>4301.3500000000004</v>
      </c>
    </row>
    <row r="1750" spans="1:9">
      <c r="A1750" s="828">
        <v>43961</v>
      </c>
      <c r="B1750" t="s">
        <v>5472</v>
      </c>
      <c r="C1750" s="767">
        <v>4301.3500000000004</v>
      </c>
      <c r="D1750" s="767">
        <v>4301.3500000000004</v>
      </c>
      <c r="E1750" s="767">
        <v>34413.620000000003</v>
      </c>
      <c r="I1750" s="767">
        <v>4301.3500000000004</v>
      </c>
    </row>
    <row r="1751" spans="1:9">
      <c r="A1751" s="828">
        <v>43901</v>
      </c>
      <c r="B1751" t="s">
        <v>5545</v>
      </c>
      <c r="C1751" s="767">
        <v>4301.3500000000004</v>
      </c>
      <c r="D1751" s="767">
        <v>4301.3500000000004</v>
      </c>
      <c r="E1751" s="767">
        <v>38714.97</v>
      </c>
      <c r="I1751" s="767">
        <v>4301.3500000000004</v>
      </c>
    </row>
    <row r="1752" spans="1:9">
      <c r="A1752" s="828">
        <v>43873</v>
      </c>
      <c r="B1752" t="s">
        <v>5878</v>
      </c>
      <c r="C1752" s="767">
        <v>4301.3500000000004</v>
      </c>
      <c r="D1752" s="767">
        <v>4301.3500000000004</v>
      </c>
      <c r="E1752" s="767">
        <v>43016.32</v>
      </c>
      <c r="I1752" s="767">
        <v>4301.3500000000004</v>
      </c>
    </row>
    <row r="1753" spans="1:9">
      <c r="A1753" s="828">
        <v>44317</v>
      </c>
      <c r="B1753" t="s">
        <v>6109</v>
      </c>
      <c r="C1753" s="767">
        <v>4301.3500000000004</v>
      </c>
      <c r="D1753" s="767">
        <v>4301.3500000000004</v>
      </c>
      <c r="E1753" s="767">
        <v>47317.67</v>
      </c>
      <c r="I1753" s="767">
        <v>4301.3500000000004</v>
      </c>
    </row>
    <row r="1754" spans="1:9">
      <c r="A1754" s="828">
        <v>44318</v>
      </c>
      <c r="B1754" t="s">
        <v>6387</v>
      </c>
      <c r="C1754" s="767">
        <v>4600.63</v>
      </c>
      <c r="D1754" s="767">
        <v>4600.63</v>
      </c>
      <c r="E1754" s="767">
        <v>51918.3</v>
      </c>
      <c r="I1754" s="767">
        <v>4600.63</v>
      </c>
    </row>
    <row r="1755" spans="1:9">
      <c r="A1755" s="828">
        <v>44258</v>
      </c>
      <c r="B1755" t="s">
        <v>6627</v>
      </c>
      <c r="C1755" s="767">
        <v>4600.63</v>
      </c>
      <c r="D1755" s="767">
        <v>4600.63</v>
      </c>
      <c r="E1755" s="767">
        <v>56518.93</v>
      </c>
      <c r="I1755" s="767">
        <v>4600.63</v>
      </c>
    </row>
    <row r="1756" spans="1:9">
      <c r="A1756" s="828">
        <v>44200</v>
      </c>
      <c r="B1756" t="s">
        <v>7177</v>
      </c>
      <c r="C1756" s="767">
        <v>4600.63</v>
      </c>
      <c r="D1756" s="767">
        <v>4600.63</v>
      </c>
      <c r="E1756" s="767">
        <v>61119.56</v>
      </c>
      <c r="H1756" s="767">
        <v>4600.63</v>
      </c>
    </row>
    <row r="1758" spans="1:9">
      <c r="A1758" t="s">
        <v>4216</v>
      </c>
      <c r="B1758" s="767">
        <v>61119.56</v>
      </c>
      <c r="C1758" s="767">
        <v>61119.56</v>
      </c>
      <c r="D1758">
        <v>0</v>
      </c>
      <c r="E1758">
        <v>0</v>
      </c>
      <c r="F1758" s="767">
        <v>4600.63</v>
      </c>
      <c r="G1758" s="767">
        <v>56518.93</v>
      </c>
    </row>
    <row r="1760" spans="1:9">
      <c r="A1760">
        <v>2</v>
      </c>
      <c r="B1760" t="s">
        <v>248</v>
      </c>
    </row>
    <row r="1762" spans="1:9">
      <c r="A1762">
        <v>21012</v>
      </c>
      <c r="B1762" t="s">
        <v>6110</v>
      </c>
    </row>
    <row r="1763" spans="1:9">
      <c r="A1763" s="828">
        <v>44317</v>
      </c>
      <c r="B1763" t="s">
        <v>6111</v>
      </c>
      <c r="C1763" s="767">
        <v>1050.1300000000001</v>
      </c>
      <c r="D1763" s="767">
        <v>1050.1300000000001</v>
      </c>
      <c r="E1763" s="767">
        <v>1050.1300000000001</v>
      </c>
      <c r="I1763" s="767">
        <v>1050.1300000000001</v>
      </c>
    </row>
    <row r="1764" spans="1:9">
      <c r="A1764" s="828">
        <v>44318</v>
      </c>
      <c r="B1764" t="s">
        <v>6388</v>
      </c>
      <c r="C1764" s="767">
        <v>1224.3499999999999</v>
      </c>
      <c r="D1764" s="767">
        <v>1224.3499999999999</v>
      </c>
      <c r="E1764" s="767">
        <v>2274.48</v>
      </c>
      <c r="I1764" s="767">
        <v>1224.3499999999999</v>
      </c>
    </row>
    <row r="1765" spans="1:9">
      <c r="A1765" s="828">
        <v>44258</v>
      </c>
      <c r="B1765" t="s">
        <v>6628</v>
      </c>
      <c r="C1765" s="767">
        <v>1243.77</v>
      </c>
      <c r="D1765" s="767">
        <v>1243.77</v>
      </c>
      <c r="E1765" s="767">
        <v>3518.25</v>
      </c>
      <c r="I1765" s="767">
        <v>1243.77</v>
      </c>
    </row>
    <row r="1766" spans="1:9">
      <c r="A1766" s="828">
        <v>44351</v>
      </c>
      <c r="B1766" t="s">
        <v>7178</v>
      </c>
      <c r="C1766" s="767">
        <v>1273.5</v>
      </c>
      <c r="D1766" s="767">
        <v>1273.5</v>
      </c>
      <c r="E1766" s="767">
        <v>4791.75</v>
      </c>
      <c r="G1766" s="767">
        <v>1273.5</v>
      </c>
    </row>
    <row r="1768" spans="1:9">
      <c r="A1768" t="s">
        <v>4216</v>
      </c>
      <c r="B1768" s="767">
        <v>4791.75</v>
      </c>
      <c r="C1768" s="767">
        <v>4791.75</v>
      </c>
      <c r="D1768">
        <v>0</v>
      </c>
      <c r="E1768" s="767">
        <v>1273.5</v>
      </c>
      <c r="F1768">
        <v>0</v>
      </c>
      <c r="G1768" s="767">
        <v>3518.25</v>
      </c>
    </row>
    <row r="1770" spans="1:9">
      <c r="A1770">
        <v>21017</v>
      </c>
      <c r="B1770" t="s">
        <v>3434</v>
      </c>
    </row>
    <row r="1771" spans="1:9">
      <c r="A1771" s="828">
        <v>43232</v>
      </c>
      <c r="B1771" t="s">
        <v>4732</v>
      </c>
      <c r="C1771" s="767">
        <v>54885.41</v>
      </c>
      <c r="D1771" s="767">
        <v>54885.41</v>
      </c>
      <c r="E1771" s="767">
        <v>54885.41</v>
      </c>
      <c r="I1771" s="767">
        <v>54885.41</v>
      </c>
    </row>
    <row r="1772" spans="1:9">
      <c r="A1772" t="s">
        <v>4423</v>
      </c>
      <c r="B1772" t="s">
        <v>4733</v>
      </c>
      <c r="C1772" s="767">
        <v>34250.800000000003</v>
      </c>
      <c r="D1772" s="767">
        <v>34250.800000000003</v>
      </c>
      <c r="E1772" s="767">
        <v>89136.21</v>
      </c>
      <c r="I1772" s="767">
        <v>34250.800000000003</v>
      </c>
    </row>
    <row r="1773" spans="1:9">
      <c r="A1773" s="828">
        <v>43654</v>
      </c>
      <c r="B1773" t="s">
        <v>4734</v>
      </c>
      <c r="C1773" s="767">
        <v>75040.5</v>
      </c>
      <c r="D1773" s="767">
        <v>75040.5</v>
      </c>
      <c r="E1773" s="767">
        <v>164176.71</v>
      </c>
      <c r="I1773" s="767">
        <v>75040.5</v>
      </c>
    </row>
    <row r="1774" spans="1:9">
      <c r="A1774" s="828">
        <v>43564</v>
      </c>
      <c r="B1774" t="s">
        <v>4735</v>
      </c>
      <c r="C1774" s="767">
        <v>73926.44</v>
      </c>
      <c r="D1774" s="767">
        <v>73926.44</v>
      </c>
      <c r="E1774" s="767">
        <v>238103.15</v>
      </c>
      <c r="I1774" s="767">
        <v>73926.44</v>
      </c>
    </row>
    <row r="1776" spans="1:9">
      <c r="A1776" t="s">
        <v>4216</v>
      </c>
      <c r="B1776" s="767">
        <v>238103.15</v>
      </c>
      <c r="C1776" s="767">
        <v>238103.15</v>
      </c>
      <c r="D1776">
        <v>0</v>
      </c>
      <c r="E1776">
        <v>0</v>
      </c>
      <c r="F1776">
        <v>0</v>
      </c>
      <c r="G1776" s="767">
        <v>238103.15</v>
      </c>
    </row>
    <row r="1778" spans="1:9">
      <c r="A1778">
        <v>21020</v>
      </c>
      <c r="B1778" t="s">
        <v>3435</v>
      </c>
    </row>
    <row r="1779" spans="1:9">
      <c r="A1779" t="s">
        <v>4736</v>
      </c>
      <c r="B1779" t="s">
        <v>4737</v>
      </c>
      <c r="C1779" s="767">
        <v>16294.12</v>
      </c>
      <c r="D1779" s="767">
        <v>16294.12</v>
      </c>
      <c r="E1779" s="767">
        <v>16294.12</v>
      </c>
      <c r="I1779" s="767">
        <v>16294.12</v>
      </c>
    </row>
    <row r="1780" spans="1:9">
      <c r="A1780" t="s">
        <v>4736</v>
      </c>
      <c r="B1780" t="s">
        <v>4738</v>
      </c>
      <c r="C1780" s="767">
        <v>1364.44</v>
      </c>
      <c r="D1780" s="767">
        <v>1364.44</v>
      </c>
      <c r="E1780" s="767">
        <v>17658.560000000001</v>
      </c>
      <c r="I1780" s="767">
        <v>1364.44</v>
      </c>
    </row>
    <row r="1781" spans="1:9">
      <c r="A1781" t="s">
        <v>4736</v>
      </c>
      <c r="B1781" t="s">
        <v>4739</v>
      </c>
      <c r="C1781" s="767">
        <v>1364.44</v>
      </c>
      <c r="D1781" s="767">
        <v>1364.44</v>
      </c>
      <c r="E1781" s="767">
        <v>19023</v>
      </c>
      <c r="I1781" s="767">
        <v>1364.44</v>
      </c>
    </row>
    <row r="1782" spans="1:9">
      <c r="A1782" t="s">
        <v>4736</v>
      </c>
      <c r="B1782" t="s">
        <v>4740</v>
      </c>
      <c r="C1782">
        <v>988.73</v>
      </c>
      <c r="D1782">
        <v>988.73</v>
      </c>
      <c r="E1782" s="767">
        <v>20011.73</v>
      </c>
      <c r="I1782">
        <v>988.73</v>
      </c>
    </row>
    <row r="1783" spans="1:9">
      <c r="A1783" t="s">
        <v>4736</v>
      </c>
      <c r="B1783" t="s">
        <v>4741</v>
      </c>
      <c r="C1783" s="767">
        <v>13940.95</v>
      </c>
      <c r="D1783" s="767">
        <v>13940.95</v>
      </c>
      <c r="E1783" s="767">
        <v>33952.68</v>
      </c>
      <c r="I1783" s="767">
        <v>13940.95</v>
      </c>
    </row>
    <row r="1785" spans="1:9">
      <c r="A1785" t="s">
        <v>4216</v>
      </c>
      <c r="B1785" s="767">
        <v>33952.68</v>
      </c>
      <c r="C1785" s="767">
        <v>33952.68</v>
      </c>
      <c r="D1785">
        <v>0</v>
      </c>
      <c r="E1785">
        <v>0</v>
      </c>
      <c r="F1785">
        <v>0</v>
      </c>
      <c r="G1785" s="767">
        <v>33952.68</v>
      </c>
    </row>
    <row r="1787" spans="1:9">
      <c r="A1787">
        <v>21062</v>
      </c>
      <c r="B1787" t="s">
        <v>3436</v>
      </c>
    </row>
    <row r="1788" spans="1:9">
      <c r="A1788" s="828">
        <v>43232</v>
      </c>
      <c r="B1788" t="s">
        <v>4742</v>
      </c>
      <c r="C1788" s="767">
        <v>32985.64</v>
      </c>
      <c r="D1788" s="767">
        <v>32985.64</v>
      </c>
      <c r="E1788" s="767">
        <v>32985.64</v>
      </c>
      <c r="I1788" s="767">
        <v>32985.64</v>
      </c>
    </row>
    <row r="1790" spans="1:9">
      <c r="A1790" t="s">
        <v>4216</v>
      </c>
      <c r="B1790" s="767">
        <v>32985.64</v>
      </c>
      <c r="C1790" s="767">
        <v>32985.64</v>
      </c>
      <c r="D1790">
        <v>0</v>
      </c>
      <c r="E1790">
        <v>0</v>
      </c>
      <c r="F1790">
        <v>0</v>
      </c>
      <c r="G1790" s="767">
        <v>32985.64</v>
      </c>
    </row>
    <row r="1792" spans="1:9">
      <c r="A1792">
        <v>21066</v>
      </c>
      <c r="B1792" t="s">
        <v>4743</v>
      </c>
    </row>
    <row r="1793" spans="1:9">
      <c r="A1793" s="828">
        <v>43410</v>
      </c>
      <c r="B1793" t="s">
        <v>4744</v>
      </c>
      <c r="C1793" s="767">
        <v>2001.19</v>
      </c>
      <c r="D1793" s="767">
        <v>2001.19</v>
      </c>
      <c r="E1793" s="767">
        <v>2001.19</v>
      </c>
      <c r="I1793" s="767">
        <v>2001.19</v>
      </c>
    </row>
    <row r="1794" spans="1:9">
      <c r="A1794" s="828">
        <v>43383</v>
      </c>
      <c r="B1794" t="s">
        <v>4745</v>
      </c>
      <c r="C1794" s="767">
        <v>2272.5300000000002</v>
      </c>
      <c r="D1794" s="767">
        <v>2272.5300000000002</v>
      </c>
      <c r="E1794" s="767">
        <v>4273.72</v>
      </c>
      <c r="I1794" s="767">
        <v>2272.5300000000002</v>
      </c>
    </row>
    <row r="1796" spans="1:9">
      <c r="A1796" t="s">
        <v>4216</v>
      </c>
      <c r="B1796" s="767">
        <v>4273.72</v>
      </c>
      <c r="C1796" s="767">
        <v>4273.72</v>
      </c>
      <c r="D1796">
        <v>0</v>
      </c>
      <c r="E1796">
        <v>0</v>
      </c>
      <c r="F1796">
        <v>0</v>
      </c>
      <c r="G1796" s="767">
        <v>4273.72</v>
      </c>
    </row>
    <row r="1798" spans="1:9">
      <c r="A1798">
        <v>21073</v>
      </c>
      <c r="B1798" t="s">
        <v>4746</v>
      </c>
    </row>
    <row r="1799" spans="1:9">
      <c r="A1799" s="828">
        <v>43232</v>
      </c>
      <c r="B1799" t="s">
        <v>4747</v>
      </c>
      <c r="C1799" s="767">
        <v>2270.42</v>
      </c>
      <c r="D1799" s="767">
        <v>2270.42</v>
      </c>
      <c r="E1799" s="767">
        <v>2270.42</v>
      </c>
      <c r="I1799" s="767">
        <v>2270.42</v>
      </c>
    </row>
    <row r="1800" spans="1:9">
      <c r="A1800" s="828">
        <v>43232</v>
      </c>
      <c r="B1800" t="s">
        <v>4748</v>
      </c>
      <c r="C1800" s="767">
        <v>1849.75</v>
      </c>
      <c r="D1800" s="767">
        <v>1849.75</v>
      </c>
      <c r="E1800" s="767">
        <v>4120.17</v>
      </c>
      <c r="I1800" s="767">
        <v>1849.75</v>
      </c>
    </row>
    <row r="1801" spans="1:9">
      <c r="A1801" s="828">
        <v>43232</v>
      </c>
      <c r="B1801" t="s">
        <v>4749</v>
      </c>
      <c r="C1801" s="767">
        <v>2467.34</v>
      </c>
      <c r="D1801" s="767">
        <v>2467.34</v>
      </c>
      <c r="E1801" s="767">
        <v>6587.51</v>
      </c>
      <c r="I1801" s="767">
        <v>2467.34</v>
      </c>
    </row>
    <row r="1802" spans="1:9">
      <c r="A1802" s="828">
        <v>43232</v>
      </c>
      <c r="B1802" t="s">
        <v>4750</v>
      </c>
      <c r="C1802" s="767">
        <v>1948.05</v>
      </c>
      <c r="D1802" s="767">
        <v>1948.05</v>
      </c>
      <c r="E1802" s="767">
        <v>8535.56</v>
      </c>
      <c r="I1802" s="767">
        <v>1948.05</v>
      </c>
    </row>
    <row r="1803" spans="1:9">
      <c r="A1803" s="828">
        <v>43232</v>
      </c>
      <c r="B1803" t="s">
        <v>4751</v>
      </c>
      <c r="C1803">
        <v>810.54</v>
      </c>
      <c r="D1803">
        <v>810.54</v>
      </c>
      <c r="E1803" s="767">
        <v>9346.1</v>
      </c>
      <c r="I1803">
        <v>810.54</v>
      </c>
    </row>
    <row r="1804" spans="1:9">
      <c r="A1804" s="828">
        <v>43232</v>
      </c>
      <c r="B1804" t="s">
        <v>4752</v>
      </c>
      <c r="C1804" s="767">
        <v>1363.52</v>
      </c>
      <c r="D1804" s="767">
        <v>1363.52</v>
      </c>
      <c r="E1804" s="767">
        <v>10709.62</v>
      </c>
      <c r="I1804" s="767">
        <v>1363.52</v>
      </c>
    </row>
    <row r="1805" spans="1:9">
      <c r="A1805" s="828">
        <v>43232</v>
      </c>
      <c r="B1805" t="s">
        <v>4753</v>
      </c>
      <c r="C1805" s="767">
        <v>1929.32</v>
      </c>
      <c r="D1805" s="767">
        <v>1929.32</v>
      </c>
      <c r="E1805" s="767">
        <v>12638.94</v>
      </c>
      <c r="I1805" s="767">
        <v>1929.32</v>
      </c>
    </row>
    <row r="1806" spans="1:9">
      <c r="A1806" s="828">
        <v>43232</v>
      </c>
      <c r="B1806" t="s">
        <v>4754</v>
      </c>
      <c r="C1806">
        <v>586.79</v>
      </c>
      <c r="D1806">
        <v>586.79</v>
      </c>
      <c r="E1806" s="767">
        <v>13225.73</v>
      </c>
      <c r="I1806">
        <v>586.79</v>
      </c>
    </row>
    <row r="1807" spans="1:9">
      <c r="A1807" s="828">
        <v>43383</v>
      </c>
      <c r="B1807" t="s">
        <v>4755</v>
      </c>
      <c r="C1807" s="767">
        <v>2980.8</v>
      </c>
      <c r="D1807" s="767">
        <v>2980.8</v>
      </c>
      <c r="E1807" s="767">
        <v>16206.53</v>
      </c>
      <c r="I1807" s="767">
        <v>2980.8</v>
      </c>
    </row>
    <row r="1808" spans="1:9">
      <c r="A1808" s="828">
        <v>43383</v>
      </c>
      <c r="B1808" t="s">
        <v>4756</v>
      </c>
      <c r="C1808">
        <v>949.72</v>
      </c>
      <c r="D1808">
        <v>949.72</v>
      </c>
      <c r="E1808" s="767">
        <v>17156.25</v>
      </c>
      <c r="I1808">
        <v>949.72</v>
      </c>
    </row>
    <row r="1810" spans="1:9">
      <c r="A1810" t="s">
        <v>4216</v>
      </c>
      <c r="B1810" s="767">
        <v>17156.25</v>
      </c>
      <c r="C1810" s="767">
        <v>17156.25</v>
      </c>
      <c r="D1810">
        <v>0</v>
      </c>
      <c r="E1810">
        <v>0</v>
      </c>
      <c r="F1810">
        <v>0</v>
      </c>
      <c r="G1810" s="767">
        <v>17156.25</v>
      </c>
    </row>
    <row r="1812" spans="1:9">
      <c r="A1812">
        <v>21077</v>
      </c>
      <c r="B1812" t="s">
        <v>7179</v>
      </c>
    </row>
    <row r="1813" spans="1:9">
      <c r="A1813" s="828">
        <v>44200</v>
      </c>
      <c r="B1813" t="s">
        <v>7180</v>
      </c>
      <c r="C1813" s="767">
        <v>3884.33</v>
      </c>
      <c r="D1813" s="767">
        <v>3884.33</v>
      </c>
      <c r="E1813" s="767">
        <v>3884.33</v>
      </c>
      <c r="H1813" s="767">
        <v>3884.33</v>
      </c>
    </row>
    <row r="1815" spans="1:9">
      <c r="A1815" t="s">
        <v>4216</v>
      </c>
      <c r="B1815" s="767">
        <v>3884.33</v>
      </c>
      <c r="C1815" s="767">
        <v>3884.33</v>
      </c>
      <c r="D1815">
        <v>0</v>
      </c>
      <c r="E1815">
        <v>0</v>
      </c>
      <c r="F1815" s="767">
        <v>3884.33</v>
      </c>
      <c r="G1815">
        <v>0</v>
      </c>
    </row>
    <row r="1817" spans="1:9">
      <c r="A1817">
        <v>21083</v>
      </c>
      <c r="B1817" t="s">
        <v>3437</v>
      </c>
    </row>
    <row r="1818" spans="1:9">
      <c r="A1818" s="828">
        <v>43232</v>
      </c>
      <c r="B1818" t="s">
        <v>4757</v>
      </c>
      <c r="C1818" s="767">
        <v>5133.08</v>
      </c>
      <c r="D1818" s="767">
        <v>5133.08</v>
      </c>
      <c r="E1818" s="767">
        <v>5133.08</v>
      </c>
      <c r="I1818" s="767">
        <v>5133.08</v>
      </c>
    </row>
    <row r="1820" spans="1:9">
      <c r="A1820" t="s">
        <v>4216</v>
      </c>
      <c r="B1820" s="767">
        <v>5133.08</v>
      </c>
      <c r="C1820" s="767">
        <v>5133.08</v>
      </c>
      <c r="D1820">
        <v>0</v>
      </c>
      <c r="E1820">
        <v>0</v>
      </c>
      <c r="F1820">
        <v>0</v>
      </c>
      <c r="G1820" s="767">
        <v>5133.08</v>
      </c>
    </row>
    <row r="1822" spans="1:9">
      <c r="A1822">
        <v>21087</v>
      </c>
      <c r="B1822" t="s">
        <v>1036</v>
      </c>
    </row>
    <row r="1823" spans="1:9">
      <c r="A1823" s="828">
        <v>43232</v>
      </c>
      <c r="B1823" t="s">
        <v>4758</v>
      </c>
      <c r="C1823" s="767">
        <v>10480.43</v>
      </c>
      <c r="D1823" s="767">
        <v>10480.43</v>
      </c>
      <c r="E1823" s="767">
        <v>10480.43</v>
      </c>
      <c r="I1823" s="767">
        <v>10480.43</v>
      </c>
    </row>
    <row r="1824" spans="1:9">
      <c r="A1824" s="828">
        <v>43232</v>
      </c>
      <c r="B1824" t="s">
        <v>4759</v>
      </c>
      <c r="C1824" s="767">
        <v>11335.57</v>
      </c>
      <c r="D1824" s="767">
        <v>11335.57</v>
      </c>
      <c r="E1824" s="767">
        <v>21816</v>
      </c>
      <c r="I1824" s="767">
        <v>11335.57</v>
      </c>
    </row>
    <row r="1825" spans="1:9">
      <c r="A1825" s="828">
        <v>43232</v>
      </c>
      <c r="B1825" t="s">
        <v>4760</v>
      </c>
      <c r="C1825" s="767">
        <v>13431.57</v>
      </c>
      <c r="D1825" s="767">
        <v>13431.57</v>
      </c>
      <c r="E1825" s="767">
        <v>35247.57</v>
      </c>
      <c r="I1825" s="767">
        <v>13431.57</v>
      </c>
    </row>
    <row r="1827" spans="1:9">
      <c r="A1827" t="s">
        <v>4216</v>
      </c>
      <c r="B1827" s="767">
        <v>35247.57</v>
      </c>
      <c r="C1827" s="767">
        <v>35247.57</v>
      </c>
      <c r="D1827">
        <v>0</v>
      </c>
      <c r="E1827">
        <v>0</v>
      </c>
      <c r="F1827">
        <v>0</v>
      </c>
      <c r="G1827" s="767">
        <v>35247.57</v>
      </c>
    </row>
    <row r="1829" spans="1:9">
      <c r="A1829">
        <v>21090</v>
      </c>
      <c r="B1829" t="s">
        <v>1195</v>
      </c>
    </row>
    <row r="1830" spans="1:9">
      <c r="A1830" s="828">
        <v>44317</v>
      </c>
      <c r="B1830" t="s">
        <v>6112</v>
      </c>
      <c r="C1830" s="767">
        <v>3100.05</v>
      </c>
      <c r="D1830" s="767">
        <v>3100.05</v>
      </c>
      <c r="E1830" s="767">
        <v>3100.05</v>
      </c>
      <c r="I1830" s="767">
        <v>3100.05</v>
      </c>
    </row>
    <row r="1831" spans="1:9">
      <c r="A1831" s="828">
        <v>44318</v>
      </c>
      <c r="B1831" t="s">
        <v>6389</v>
      </c>
      <c r="C1831" s="767">
        <v>2339.88</v>
      </c>
      <c r="D1831" s="767">
        <v>2339.88</v>
      </c>
      <c r="E1831" s="767">
        <v>5439.93</v>
      </c>
      <c r="I1831" s="767">
        <v>2339.88</v>
      </c>
    </row>
    <row r="1832" spans="1:9">
      <c r="A1832" s="828">
        <v>44442</v>
      </c>
      <c r="B1832" t="s">
        <v>6629</v>
      </c>
      <c r="C1832" s="767">
        <v>25811.84</v>
      </c>
      <c r="D1832" s="767">
        <v>25811.84</v>
      </c>
      <c r="E1832" s="767">
        <v>31251.77</v>
      </c>
      <c r="H1832" s="767">
        <v>25811.84</v>
      </c>
    </row>
    <row r="1833" spans="1:9">
      <c r="A1833" s="828">
        <v>44351</v>
      </c>
      <c r="B1833" t="s">
        <v>7181</v>
      </c>
      <c r="C1833" s="767">
        <v>5319.41</v>
      </c>
      <c r="D1833" s="767">
        <v>5319.41</v>
      </c>
      <c r="E1833" s="767">
        <v>36571.18</v>
      </c>
      <c r="G1833" s="767">
        <v>5319.41</v>
      </c>
    </row>
    <row r="1835" spans="1:9">
      <c r="A1835" t="s">
        <v>4216</v>
      </c>
      <c r="B1835" s="767">
        <v>36571.18</v>
      </c>
      <c r="C1835" s="767">
        <v>36571.18</v>
      </c>
      <c r="D1835">
        <v>0</v>
      </c>
      <c r="E1835" s="767">
        <v>5319.41</v>
      </c>
      <c r="F1835" s="767">
        <v>25811.84</v>
      </c>
      <c r="G1835" s="767">
        <v>5439.93</v>
      </c>
    </row>
    <row r="1837" spans="1:9">
      <c r="A1837">
        <v>21093</v>
      </c>
      <c r="B1837" t="s">
        <v>4761</v>
      </c>
    </row>
    <row r="1838" spans="1:9">
      <c r="A1838" s="828">
        <v>43232</v>
      </c>
      <c r="B1838" t="s">
        <v>4762</v>
      </c>
      <c r="C1838">
        <v>609.80999999999995</v>
      </c>
      <c r="D1838">
        <v>609.80999999999995</v>
      </c>
      <c r="E1838">
        <v>609.80999999999995</v>
      </c>
      <c r="I1838">
        <v>609.80999999999995</v>
      </c>
    </row>
    <row r="1839" spans="1:9">
      <c r="A1839" s="828">
        <v>43232</v>
      </c>
      <c r="B1839" t="s">
        <v>4763</v>
      </c>
      <c r="C1839" s="767">
        <v>2127.9699999999998</v>
      </c>
      <c r="D1839" s="767">
        <v>2127.9699999999998</v>
      </c>
      <c r="E1839" s="767">
        <v>2737.78</v>
      </c>
      <c r="I1839" s="767">
        <v>2127.9699999999998</v>
      </c>
    </row>
    <row r="1840" spans="1:9">
      <c r="A1840" s="828">
        <v>43232</v>
      </c>
      <c r="B1840" t="s">
        <v>4764</v>
      </c>
      <c r="C1840" s="767">
        <v>1043.98</v>
      </c>
      <c r="D1840" s="767">
        <v>1043.98</v>
      </c>
      <c r="E1840" s="767">
        <v>3781.76</v>
      </c>
      <c r="I1840" s="767">
        <v>1043.98</v>
      </c>
    </row>
    <row r="1841" spans="1:9">
      <c r="A1841" s="828">
        <v>43232</v>
      </c>
      <c r="B1841" t="s">
        <v>4765</v>
      </c>
      <c r="C1841" s="767">
        <v>1048.1099999999999</v>
      </c>
      <c r="D1841" s="767">
        <v>1048.1099999999999</v>
      </c>
      <c r="E1841" s="767">
        <v>4829.87</v>
      </c>
      <c r="I1841" s="767">
        <v>1048.1099999999999</v>
      </c>
    </row>
    <row r="1842" spans="1:9">
      <c r="A1842" s="828">
        <v>43232</v>
      </c>
      <c r="B1842" t="s">
        <v>4766</v>
      </c>
      <c r="C1842">
        <v>847.96</v>
      </c>
      <c r="D1842">
        <v>847.96</v>
      </c>
      <c r="E1842" s="767">
        <v>5677.83</v>
      </c>
      <c r="I1842">
        <v>847.96</v>
      </c>
    </row>
    <row r="1843" spans="1:9">
      <c r="A1843" s="828">
        <v>43232</v>
      </c>
      <c r="B1843" t="s">
        <v>4767</v>
      </c>
      <c r="C1843" s="767">
        <v>3566.52</v>
      </c>
      <c r="D1843" s="767">
        <v>3566.52</v>
      </c>
      <c r="E1843" s="767">
        <v>9244.35</v>
      </c>
      <c r="I1843" s="767">
        <v>3566.52</v>
      </c>
    </row>
    <row r="1844" spans="1:9">
      <c r="A1844" s="828">
        <v>43411</v>
      </c>
      <c r="B1844" t="s">
        <v>4768</v>
      </c>
      <c r="C1844" s="767">
        <v>20486.71</v>
      </c>
      <c r="D1844" s="767">
        <v>20486.71</v>
      </c>
      <c r="E1844" s="767">
        <v>29731.06</v>
      </c>
      <c r="I1844" s="767">
        <v>20486.71</v>
      </c>
    </row>
    <row r="1845" spans="1:9">
      <c r="A1845" s="828">
        <v>43383</v>
      </c>
      <c r="B1845" t="s">
        <v>4769</v>
      </c>
      <c r="C1845">
        <v>271.35000000000002</v>
      </c>
      <c r="D1845">
        <v>271.35000000000002</v>
      </c>
      <c r="E1845" s="767">
        <v>30002.41</v>
      </c>
      <c r="I1845">
        <v>271.35000000000002</v>
      </c>
    </row>
    <row r="1847" spans="1:9">
      <c r="A1847" t="s">
        <v>4216</v>
      </c>
      <c r="B1847" s="767">
        <v>30002.41</v>
      </c>
      <c r="C1847" s="767">
        <v>30002.41</v>
      </c>
      <c r="D1847">
        <v>0</v>
      </c>
      <c r="E1847">
        <v>0</v>
      </c>
      <c r="F1847">
        <v>0</v>
      </c>
      <c r="G1847" s="767">
        <v>30002.41</v>
      </c>
    </row>
    <row r="1849" spans="1:9">
      <c r="A1849">
        <v>21095</v>
      </c>
      <c r="B1849" t="s">
        <v>3112</v>
      </c>
    </row>
    <row r="1850" spans="1:9">
      <c r="A1850" s="828">
        <v>44258</v>
      </c>
      <c r="B1850" t="s">
        <v>6630</v>
      </c>
      <c r="C1850" s="767">
        <v>2314.67</v>
      </c>
      <c r="D1850" s="767">
        <v>2314.67</v>
      </c>
      <c r="E1850" s="767">
        <v>2314.67</v>
      </c>
      <c r="I1850" s="767">
        <v>2314.67</v>
      </c>
    </row>
    <row r="1851" spans="1:9">
      <c r="A1851" s="828">
        <v>44351</v>
      </c>
      <c r="B1851" t="s">
        <v>7182</v>
      </c>
      <c r="C1851" s="767">
        <v>1468.02</v>
      </c>
      <c r="D1851" s="767">
        <v>1468.02</v>
      </c>
      <c r="E1851" s="767">
        <v>3782.69</v>
      </c>
      <c r="G1851" s="767">
        <v>1468.02</v>
      </c>
    </row>
    <row r="1853" spans="1:9">
      <c r="A1853" t="s">
        <v>4216</v>
      </c>
      <c r="B1853" s="767">
        <v>3782.69</v>
      </c>
      <c r="C1853" s="767">
        <v>3782.69</v>
      </c>
      <c r="D1853">
        <v>0</v>
      </c>
      <c r="E1853" s="767">
        <v>1468.02</v>
      </c>
      <c r="F1853">
        <v>0</v>
      </c>
      <c r="G1853" s="767">
        <v>2314.67</v>
      </c>
    </row>
    <row r="1855" spans="1:9">
      <c r="A1855">
        <v>21097</v>
      </c>
      <c r="B1855" t="s">
        <v>6113</v>
      </c>
    </row>
    <row r="1856" spans="1:9">
      <c r="A1856" t="s">
        <v>6056</v>
      </c>
      <c r="B1856" t="s">
        <v>6114</v>
      </c>
      <c r="C1856" s="767">
        <v>19062</v>
      </c>
      <c r="D1856" s="767">
        <v>19062</v>
      </c>
      <c r="E1856" s="767">
        <v>19062</v>
      </c>
      <c r="I1856" s="767">
        <v>19062</v>
      </c>
    </row>
    <row r="1857" spans="1:9">
      <c r="A1857" t="s">
        <v>6322</v>
      </c>
      <c r="B1857" t="s">
        <v>6390</v>
      </c>
      <c r="C1857" s="767">
        <v>19062</v>
      </c>
      <c r="D1857" s="767">
        <v>19062</v>
      </c>
      <c r="E1857" s="767">
        <v>38124</v>
      </c>
      <c r="I1857" s="767">
        <v>19062</v>
      </c>
    </row>
    <row r="1858" spans="1:9">
      <c r="A1858" t="s">
        <v>6537</v>
      </c>
      <c r="B1858" t="s">
        <v>6631</v>
      </c>
      <c r="C1858" s="767">
        <v>19062</v>
      </c>
      <c r="D1858" s="767">
        <v>19062</v>
      </c>
      <c r="E1858" s="767">
        <v>57186</v>
      </c>
      <c r="H1858" s="767">
        <v>19062</v>
      </c>
    </row>
    <row r="1859" spans="1:9">
      <c r="A1859" t="s">
        <v>6977</v>
      </c>
      <c r="B1859" t="s">
        <v>7183</v>
      </c>
      <c r="C1859" s="767">
        <v>19062</v>
      </c>
      <c r="D1859" s="767">
        <v>19062</v>
      </c>
      <c r="E1859" s="767">
        <v>76248</v>
      </c>
      <c r="G1859" s="767">
        <v>19062</v>
      </c>
    </row>
    <row r="1861" spans="1:9">
      <c r="A1861" t="s">
        <v>4216</v>
      </c>
      <c r="B1861" s="767">
        <v>76248</v>
      </c>
      <c r="C1861" s="767">
        <v>76248</v>
      </c>
      <c r="D1861">
        <v>0</v>
      </c>
      <c r="E1861" s="767">
        <v>19062</v>
      </c>
      <c r="F1861" s="767">
        <v>19062</v>
      </c>
      <c r="G1861" s="767">
        <v>38124</v>
      </c>
    </row>
    <row r="1863" spans="1:9">
      <c r="A1863">
        <v>21098</v>
      </c>
      <c r="B1863" t="s">
        <v>2979</v>
      </c>
    </row>
    <row r="1864" spans="1:9">
      <c r="A1864" s="828">
        <v>44200</v>
      </c>
      <c r="B1864" t="s">
        <v>7184</v>
      </c>
      <c r="C1864" s="767">
        <v>40429.94</v>
      </c>
      <c r="D1864" s="767">
        <v>40429.94</v>
      </c>
      <c r="E1864" s="767">
        <v>40429.94</v>
      </c>
      <c r="H1864" s="767">
        <v>40429.94</v>
      </c>
    </row>
    <row r="1865" spans="1:9">
      <c r="A1865" s="828">
        <v>44200</v>
      </c>
      <c r="B1865" t="s">
        <v>7185</v>
      </c>
      <c r="C1865" s="767">
        <v>41181.1</v>
      </c>
      <c r="D1865" s="767">
        <v>41181.1</v>
      </c>
      <c r="E1865" s="767">
        <v>81611.039999999994</v>
      </c>
      <c r="H1865" s="767">
        <v>41181.1</v>
      </c>
    </row>
    <row r="1866" spans="1:9">
      <c r="A1866" s="828">
        <v>44200</v>
      </c>
      <c r="B1866" t="s">
        <v>7186</v>
      </c>
      <c r="C1866" s="767">
        <v>22586.67</v>
      </c>
      <c r="D1866" s="767">
        <v>22586.67</v>
      </c>
      <c r="E1866" s="767">
        <v>104197.71</v>
      </c>
      <c r="H1866" s="767">
        <v>22586.67</v>
      </c>
    </row>
    <row r="1868" spans="1:9">
      <c r="A1868" t="s">
        <v>4216</v>
      </c>
      <c r="B1868" s="767">
        <v>104197.71</v>
      </c>
      <c r="C1868" s="767">
        <v>104197.71</v>
      </c>
      <c r="D1868">
        <v>0</v>
      </c>
      <c r="E1868">
        <v>0</v>
      </c>
      <c r="F1868" s="767">
        <v>104197.71</v>
      </c>
      <c r="G1868">
        <v>0</v>
      </c>
    </row>
    <row r="1870" spans="1:9">
      <c r="A1870">
        <v>3</v>
      </c>
      <c r="B1870" t="s">
        <v>4770</v>
      </c>
    </row>
    <row r="1872" spans="1:9">
      <c r="A1872">
        <v>31007</v>
      </c>
      <c r="B1872" t="s">
        <v>7187</v>
      </c>
    </row>
    <row r="1873" spans="1:9">
      <c r="A1873" s="828">
        <v>44200</v>
      </c>
      <c r="B1873" t="s">
        <v>7188</v>
      </c>
      <c r="C1873">
        <v>863.91</v>
      </c>
      <c r="D1873">
        <v>863.91</v>
      </c>
      <c r="E1873">
        <v>863.91</v>
      </c>
      <c r="H1873">
        <v>863.91</v>
      </c>
    </row>
    <row r="1875" spans="1:9">
      <c r="A1875" t="s">
        <v>4216</v>
      </c>
      <c r="B1875">
        <v>863.91</v>
      </c>
      <c r="C1875">
        <v>863.91</v>
      </c>
      <c r="D1875">
        <v>0</v>
      </c>
      <c r="E1875">
        <v>0</v>
      </c>
      <c r="F1875">
        <v>863.91</v>
      </c>
      <c r="G1875">
        <v>0</v>
      </c>
    </row>
    <row r="1877" spans="1:9">
      <c r="A1877">
        <v>31009</v>
      </c>
      <c r="B1877" t="s">
        <v>3382</v>
      </c>
    </row>
    <row r="1878" spans="1:9">
      <c r="A1878" s="828">
        <v>43411</v>
      </c>
      <c r="B1878" t="s">
        <v>4771</v>
      </c>
      <c r="C1878" s="767">
        <v>1446.57</v>
      </c>
      <c r="D1878" s="767">
        <v>1446.57</v>
      </c>
      <c r="E1878" s="767">
        <v>1446.57</v>
      </c>
      <c r="I1878" s="767">
        <v>1446.57</v>
      </c>
    </row>
    <row r="1879" spans="1:9">
      <c r="A1879" s="828">
        <v>43202</v>
      </c>
      <c r="B1879" t="s">
        <v>4772</v>
      </c>
      <c r="C1879" s="767">
        <v>1446.57</v>
      </c>
      <c r="D1879" s="767">
        <v>1446.57</v>
      </c>
      <c r="E1879" s="767">
        <v>2893.14</v>
      </c>
      <c r="I1879" s="767">
        <v>1446.57</v>
      </c>
    </row>
    <row r="1880" spans="1:9">
      <c r="A1880" s="828">
        <v>43709</v>
      </c>
      <c r="B1880" t="s">
        <v>4773</v>
      </c>
      <c r="C1880" s="767">
        <v>1017.55</v>
      </c>
      <c r="D1880" s="767">
        <v>1017.55</v>
      </c>
      <c r="E1880" s="767">
        <v>3910.69</v>
      </c>
      <c r="I1880" s="767">
        <v>1017.55</v>
      </c>
    </row>
    <row r="1882" spans="1:9">
      <c r="A1882" t="s">
        <v>4216</v>
      </c>
      <c r="B1882" s="767">
        <v>3910.69</v>
      </c>
      <c r="C1882" s="767">
        <v>3910.69</v>
      </c>
      <c r="D1882">
        <v>0</v>
      </c>
      <c r="E1882">
        <v>0</v>
      </c>
      <c r="F1882">
        <v>0</v>
      </c>
      <c r="G1882" s="767">
        <v>3910.69</v>
      </c>
    </row>
    <row r="1884" spans="1:9">
      <c r="A1884">
        <v>31011</v>
      </c>
      <c r="B1884" t="s">
        <v>6115</v>
      </c>
    </row>
    <row r="1885" spans="1:9">
      <c r="A1885" s="828">
        <v>44258</v>
      </c>
      <c r="B1885" t="s">
        <v>6632</v>
      </c>
      <c r="C1885" s="767">
        <v>46988.41</v>
      </c>
      <c r="D1885" s="767">
        <v>46988.41</v>
      </c>
      <c r="E1885" s="767">
        <v>46988.41</v>
      </c>
      <c r="I1885" s="767">
        <v>46988.41</v>
      </c>
    </row>
    <row r="1886" spans="1:9">
      <c r="A1886" s="828">
        <v>44258</v>
      </c>
      <c r="B1886" t="s">
        <v>6633</v>
      </c>
      <c r="C1886" s="767">
        <v>41128.42</v>
      </c>
      <c r="D1886" s="767">
        <v>41128.42</v>
      </c>
      <c r="E1886" s="767">
        <v>88116.83</v>
      </c>
      <c r="I1886" s="767">
        <v>41128.42</v>
      </c>
    </row>
    <row r="1888" spans="1:9">
      <c r="A1888" t="s">
        <v>4216</v>
      </c>
      <c r="B1888" s="767">
        <v>88116.83</v>
      </c>
      <c r="C1888" s="767">
        <v>88116.83</v>
      </c>
      <c r="D1888">
        <v>0</v>
      </c>
      <c r="E1888">
        <v>0</v>
      </c>
      <c r="F1888">
        <v>0</v>
      </c>
      <c r="G1888" s="767">
        <v>88116.83</v>
      </c>
    </row>
    <row r="1890" spans="1:9">
      <c r="A1890">
        <v>31013</v>
      </c>
      <c r="B1890" t="s">
        <v>7189</v>
      </c>
    </row>
    <row r="1891" spans="1:9">
      <c r="A1891" s="828">
        <v>44351</v>
      </c>
      <c r="B1891" t="s">
        <v>7190</v>
      </c>
      <c r="C1891" s="767">
        <v>7222.24</v>
      </c>
      <c r="D1891" s="767">
        <v>7222.24</v>
      </c>
      <c r="E1891" s="767">
        <v>7222.24</v>
      </c>
      <c r="G1891" s="767">
        <v>7222.24</v>
      </c>
    </row>
    <row r="1893" spans="1:9">
      <c r="A1893" t="s">
        <v>4216</v>
      </c>
      <c r="B1893" s="767">
        <v>7222.24</v>
      </c>
      <c r="C1893" s="767">
        <v>7222.24</v>
      </c>
      <c r="D1893">
        <v>0</v>
      </c>
      <c r="E1893" s="767">
        <v>7222.24</v>
      </c>
      <c r="F1893">
        <v>0</v>
      </c>
      <c r="G1893">
        <v>0</v>
      </c>
    </row>
    <row r="1895" spans="1:9">
      <c r="A1895">
        <v>31017</v>
      </c>
      <c r="B1895" t="s">
        <v>3438</v>
      </c>
    </row>
    <row r="1896" spans="1:9">
      <c r="A1896" t="s">
        <v>4424</v>
      </c>
      <c r="B1896" t="s">
        <v>4774</v>
      </c>
      <c r="C1896" s="767">
        <v>2505.23</v>
      </c>
      <c r="D1896" s="767">
        <v>2505.23</v>
      </c>
      <c r="E1896" s="767">
        <v>2505.23</v>
      </c>
      <c r="I1896" s="767">
        <v>2505.23</v>
      </c>
    </row>
    <row r="1897" spans="1:9">
      <c r="A1897" t="s">
        <v>6977</v>
      </c>
      <c r="B1897" t="s">
        <v>7191</v>
      </c>
      <c r="C1897" s="767">
        <v>23929.1</v>
      </c>
      <c r="D1897" s="767">
        <v>23929.1</v>
      </c>
      <c r="E1897" s="767">
        <v>26434.33</v>
      </c>
      <c r="G1897" s="767">
        <v>23929.1</v>
      </c>
    </row>
    <row r="1898" spans="1:9">
      <c r="A1898" t="s">
        <v>6977</v>
      </c>
      <c r="B1898" t="s">
        <v>7192</v>
      </c>
      <c r="C1898" s="767">
        <v>245775.53</v>
      </c>
      <c r="D1898" s="767">
        <v>245775.53</v>
      </c>
      <c r="E1898" s="767">
        <v>272209.86</v>
      </c>
      <c r="G1898" s="767">
        <v>245775.53</v>
      </c>
    </row>
    <row r="1899" spans="1:9">
      <c r="A1899" t="s">
        <v>6977</v>
      </c>
      <c r="B1899" t="s">
        <v>7193</v>
      </c>
      <c r="C1899" s="767">
        <v>23051.1</v>
      </c>
      <c r="D1899" s="767">
        <v>23051.1</v>
      </c>
      <c r="E1899" s="767">
        <v>295260.96000000002</v>
      </c>
      <c r="G1899" s="767">
        <v>23051.1</v>
      </c>
    </row>
    <row r="1901" spans="1:9">
      <c r="A1901" t="s">
        <v>4216</v>
      </c>
      <c r="B1901" s="767">
        <v>295260.96000000002</v>
      </c>
      <c r="C1901" s="767">
        <v>295260.96000000002</v>
      </c>
      <c r="D1901">
        <v>0</v>
      </c>
      <c r="E1901" s="767">
        <v>292755.73</v>
      </c>
      <c r="F1901">
        <v>0</v>
      </c>
      <c r="G1901" s="767">
        <v>2505.23</v>
      </c>
    </row>
    <row r="1903" spans="1:9">
      <c r="A1903">
        <v>31024</v>
      </c>
      <c r="B1903" t="s">
        <v>3399</v>
      </c>
    </row>
    <row r="1904" spans="1:9">
      <c r="A1904" t="s">
        <v>4775</v>
      </c>
      <c r="B1904" t="s">
        <v>4776</v>
      </c>
      <c r="C1904" s="767">
        <v>2049.52</v>
      </c>
      <c r="D1904" s="767">
        <v>2049.52</v>
      </c>
      <c r="E1904" s="767">
        <v>2049.52</v>
      </c>
      <c r="I1904" s="767">
        <v>2049.52</v>
      </c>
    </row>
    <row r="1905" spans="1:9">
      <c r="A1905" t="s">
        <v>4402</v>
      </c>
      <c r="B1905" t="s">
        <v>4777</v>
      </c>
      <c r="C1905" s="767">
        <v>3177.98</v>
      </c>
      <c r="D1905" s="767">
        <v>3177.98</v>
      </c>
      <c r="E1905" s="767">
        <v>5227.5</v>
      </c>
      <c r="I1905" s="767">
        <v>3177.98</v>
      </c>
    </row>
    <row r="1906" spans="1:9">
      <c r="A1906" t="s">
        <v>4403</v>
      </c>
      <c r="B1906" t="s">
        <v>4778</v>
      </c>
      <c r="C1906" s="767">
        <v>2144.39</v>
      </c>
      <c r="D1906" s="767">
        <v>2144.39</v>
      </c>
      <c r="E1906" s="767">
        <v>7371.89</v>
      </c>
      <c r="I1906" s="767">
        <v>2144.39</v>
      </c>
    </row>
    <row r="1907" spans="1:9">
      <c r="A1907" s="828">
        <v>44047</v>
      </c>
      <c r="B1907" t="s">
        <v>4779</v>
      </c>
      <c r="C1907" s="767">
        <v>2635.1</v>
      </c>
      <c r="D1907" s="767">
        <v>2635.1</v>
      </c>
      <c r="E1907" s="767">
        <v>10006.99</v>
      </c>
      <c r="I1907" s="767">
        <v>2635.1</v>
      </c>
    </row>
    <row r="1908" spans="1:9">
      <c r="A1908" s="828">
        <v>44531</v>
      </c>
      <c r="B1908" t="s">
        <v>6116</v>
      </c>
      <c r="C1908" s="767">
        <v>1798.63</v>
      </c>
      <c r="D1908" s="767">
        <v>1798.63</v>
      </c>
      <c r="E1908" s="767">
        <v>11805.62</v>
      </c>
      <c r="I1908" s="767">
        <v>1798.63</v>
      </c>
    </row>
    <row r="1909" spans="1:9">
      <c r="A1909" s="828">
        <v>44441</v>
      </c>
      <c r="B1909" t="s">
        <v>6391</v>
      </c>
      <c r="C1909" s="767">
        <v>1973.38</v>
      </c>
      <c r="D1909" s="767">
        <v>1973.38</v>
      </c>
      <c r="E1909" s="767">
        <v>13779</v>
      </c>
      <c r="I1909" s="767">
        <v>1973.38</v>
      </c>
    </row>
    <row r="1910" spans="1:9">
      <c r="A1910" s="828">
        <v>44442</v>
      </c>
      <c r="B1910" t="s">
        <v>6634</v>
      </c>
      <c r="C1910" s="767">
        <v>1903.62</v>
      </c>
      <c r="D1910" s="767">
        <v>1903.62</v>
      </c>
      <c r="E1910" s="767">
        <v>15682.62</v>
      </c>
      <c r="H1910" s="767">
        <v>1903.62</v>
      </c>
    </row>
    <row r="1911" spans="1:9">
      <c r="A1911" s="828">
        <v>44534</v>
      </c>
      <c r="B1911" t="s">
        <v>7194</v>
      </c>
      <c r="C1911" s="767">
        <v>1344.73</v>
      </c>
      <c r="D1911" s="767">
        <v>1344.73</v>
      </c>
      <c r="E1911" s="767">
        <v>17027.349999999999</v>
      </c>
      <c r="G1911" s="767">
        <v>1344.73</v>
      </c>
    </row>
    <row r="1913" spans="1:9">
      <c r="A1913" t="s">
        <v>4216</v>
      </c>
      <c r="B1913" s="767">
        <v>17027.349999999999</v>
      </c>
      <c r="C1913" s="767">
        <v>17027.349999999999</v>
      </c>
      <c r="D1913">
        <v>0</v>
      </c>
      <c r="E1913" s="767">
        <v>1344.73</v>
      </c>
      <c r="F1913" s="767">
        <v>1903.62</v>
      </c>
      <c r="G1913" s="767">
        <v>13779</v>
      </c>
    </row>
    <row r="1915" spans="1:9">
      <c r="A1915">
        <v>31027</v>
      </c>
      <c r="B1915" t="s">
        <v>1037</v>
      </c>
    </row>
    <row r="1916" spans="1:9">
      <c r="A1916" s="828">
        <v>43232</v>
      </c>
      <c r="B1916" t="s">
        <v>4780</v>
      </c>
      <c r="C1916" s="767">
        <v>12972.41</v>
      </c>
      <c r="D1916" s="767">
        <v>12972.41</v>
      </c>
      <c r="E1916" s="767">
        <v>12972.41</v>
      </c>
      <c r="I1916" s="767">
        <v>12972.41</v>
      </c>
    </row>
    <row r="1917" spans="1:9">
      <c r="A1917" s="828">
        <v>43232</v>
      </c>
      <c r="B1917" t="s">
        <v>4781</v>
      </c>
      <c r="C1917" s="767">
        <v>12636.44</v>
      </c>
      <c r="D1917" s="767">
        <v>12636.44</v>
      </c>
      <c r="E1917" s="767">
        <v>25608.85</v>
      </c>
      <c r="I1917" s="767">
        <v>12636.44</v>
      </c>
    </row>
    <row r="1918" spans="1:9">
      <c r="A1918" s="828">
        <v>43232</v>
      </c>
      <c r="B1918" t="s">
        <v>4782</v>
      </c>
      <c r="C1918" s="767">
        <v>6200.79</v>
      </c>
      <c r="D1918" s="767">
        <v>6200.79</v>
      </c>
      <c r="E1918" s="767">
        <v>31809.64</v>
      </c>
      <c r="I1918" s="767">
        <v>6200.79</v>
      </c>
    </row>
    <row r="1919" spans="1:9">
      <c r="A1919" s="828">
        <v>43232</v>
      </c>
      <c r="B1919" t="s">
        <v>4783</v>
      </c>
      <c r="C1919" s="767">
        <v>4673.05</v>
      </c>
      <c r="D1919" s="767">
        <v>4673.05</v>
      </c>
      <c r="E1919" s="767">
        <v>36482.69</v>
      </c>
      <c r="I1919" s="767">
        <v>4673.05</v>
      </c>
    </row>
    <row r="1920" spans="1:9">
      <c r="A1920" s="828">
        <v>43232</v>
      </c>
      <c r="B1920" t="s">
        <v>4784</v>
      </c>
      <c r="C1920" s="767">
        <v>6200.79</v>
      </c>
      <c r="D1920" s="767">
        <v>6200.79</v>
      </c>
      <c r="E1920" s="767">
        <v>42683.48</v>
      </c>
      <c r="I1920" s="767">
        <v>6200.79</v>
      </c>
    </row>
    <row r="1921" spans="1:9">
      <c r="A1921" s="828">
        <v>43232</v>
      </c>
      <c r="B1921" t="s">
        <v>4785</v>
      </c>
      <c r="C1921" s="767">
        <v>4062.19</v>
      </c>
      <c r="D1921" s="767">
        <v>4062.19</v>
      </c>
      <c r="E1921" s="767">
        <v>46745.67</v>
      </c>
      <c r="I1921" s="767">
        <v>4062.19</v>
      </c>
    </row>
    <row r="1922" spans="1:9">
      <c r="A1922" s="828">
        <v>43232</v>
      </c>
      <c r="B1922" t="s">
        <v>4786</v>
      </c>
      <c r="C1922" s="767">
        <v>6200.79</v>
      </c>
      <c r="D1922" s="767">
        <v>6200.79</v>
      </c>
      <c r="E1922" s="767">
        <v>52946.46</v>
      </c>
      <c r="I1922" s="767">
        <v>6200.79</v>
      </c>
    </row>
    <row r="1923" spans="1:9">
      <c r="A1923" s="828">
        <v>43232</v>
      </c>
      <c r="B1923" t="s">
        <v>4787</v>
      </c>
      <c r="C1923" s="767">
        <v>1701.51</v>
      </c>
      <c r="D1923" s="767">
        <v>1701.51</v>
      </c>
      <c r="E1923" s="767">
        <v>54647.97</v>
      </c>
      <c r="I1923" s="767">
        <v>1701.51</v>
      </c>
    </row>
    <row r="1924" spans="1:9">
      <c r="A1924" s="828">
        <v>43232</v>
      </c>
      <c r="B1924" t="s">
        <v>4788</v>
      </c>
      <c r="C1924" s="767">
        <v>4275.99</v>
      </c>
      <c r="D1924" s="767">
        <v>4275.99</v>
      </c>
      <c r="E1924" s="767">
        <v>58923.96</v>
      </c>
      <c r="I1924" s="767">
        <v>4275.99</v>
      </c>
    </row>
    <row r="1925" spans="1:9">
      <c r="A1925" s="828">
        <v>43232</v>
      </c>
      <c r="B1925" t="s">
        <v>4789</v>
      </c>
      <c r="C1925" s="767">
        <v>6448.82</v>
      </c>
      <c r="D1925" s="767">
        <v>3468.63</v>
      </c>
      <c r="E1925" s="767">
        <v>62392.59</v>
      </c>
      <c r="I1925" s="767">
        <v>3468.63</v>
      </c>
    </row>
    <row r="1926" spans="1:9">
      <c r="A1926" s="828">
        <v>43232</v>
      </c>
      <c r="B1926" t="s">
        <v>4790</v>
      </c>
      <c r="C1926" s="767">
        <v>4573.5600000000004</v>
      </c>
      <c r="D1926" s="767">
        <v>4573.5600000000004</v>
      </c>
      <c r="E1926" s="767">
        <v>66966.149999999994</v>
      </c>
      <c r="I1926" s="767">
        <v>4573.5600000000004</v>
      </c>
    </row>
    <row r="1927" spans="1:9">
      <c r="A1927" s="828">
        <v>43232</v>
      </c>
      <c r="B1927" t="s">
        <v>4791</v>
      </c>
      <c r="C1927" s="767">
        <v>1769.58</v>
      </c>
      <c r="D1927" s="767">
        <v>1769.58</v>
      </c>
      <c r="E1927" s="767">
        <v>68735.73</v>
      </c>
      <c r="I1927" s="767">
        <v>1769.58</v>
      </c>
    </row>
    <row r="1928" spans="1:9">
      <c r="A1928" s="828">
        <v>43232</v>
      </c>
      <c r="B1928" t="s">
        <v>4792</v>
      </c>
      <c r="C1928" s="767">
        <v>4954.68</v>
      </c>
      <c r="D1928" s="767">
        <v>4954.68</v>
      </c>
      <c r="E1928" s="767">
        <v>73690.41</v>
      </c>
      <c r="I1928" s="767">
        <v>4954.68</v>
      </c>
    </row>
    <row r="1929" spans="1:9">
      <c r="A1929" s="828">
        <v>43232</v>
      </c>
      <c r="B1929" t="s">
        <v>4793</v>
      </c>
      <c r="C1929" s="767">
        <v>1769.58</v>
      </c>
      <c r="D1929" s="767">
        <v>1769.58</v>
      </c>
      <c r="E1929" s="767">
        <v>75459.990000000005</v>
      </c>
      <c r="I1929" s="767">
        <v>1769.58</v>
      </c>
    </row>
    <row r="1930" spans="1:9">
      <c r="A1930" s="828">
        <v>43232</v>
      </c>
      <c r="B1930" t="s">
        <v>4794</v>
      </c>
      <c r="C1930" s="767">
        <v>4287.71</v>
      </c>
      <c r="D1930" s="767">
        <v>4287.71</v>
      </c>
      <c r="E1930" s="767">
        <v>79747.7</v>
      </c>
      <c r="I1930" s="767">
        <v>4287.71</v>
      </c>
    </row>
    <row r="1931" spans="1:9">
      <c r="A1931" s="828">
        <v>43232</v>
      </c>
      <c r="B1931" t="s">
        <v>4795</v>
      </c>
      <c r="C1931" s="767">
        <v>1769.58</v>
      </c>
      <c r="D1931" s="767">
        <v>1769.58</v>
      </c>
      <c r="E1931" s="767">
        <v>81517.279999999999</v>
      </c>
      <c r="I1931" s="767">
        <v>1769.58</v>
      </c>
    </row>
    <row r="1932" spans="1:9">
      <c r="A1932" s="828">
        <v>43232</v>
      </c>
      <c r="B1932" t="s">
        <v>4796</v>
      </c>
      <c r="C1932" s="767">
        <v>4192.43</v>
      </c>
      <c r="D1932" s="767">
        <v>4192.43</v>
      </c>
      <c r="E1932" s="767">
        <v>85709.71</v>
      </c>
      <c r="I1932" s="767">
        <v>4192.43</v>
      </c>
    </row>
    <row r="1933" spans="1:9">
      <c r="A1933" s="828">
        <v>43232</v>
      </c>
      <c r="B1933" t="s">
        <v>4797</v>
      </c>
      <c r="C1933" s="767">
        <v>6448.82</v>
      </c>
      <c r="D1933" s="767">
        <v>6448.82</v>
      </c>
      <c r="E1933" s="767">
        <v>92158.53</v>
      </c>
      <c r="I1933" s="767">
        <v>6448.82</v>
      </c>
    </row>
    <row r="1934" spans="1:9">
      <c r="A1934" s="828">
        <v>43232</v>
      </c>
      <c r="B1934" t="s">
        <v>4798</v>
      </c>
      <c r="C1934" s="767">
        <v>1769.58</v>
      </c>
      <c r="D1934" s="767">
        <v>1769.58</v>
      </c>
      <c r="E1934" s="767">
        <v>93928.11</v>
      </c>
      <c r="I1934" s="767">
        <v>1769.58</v>
      </c>
    </row>
    <row r="1935" spans="1:9">
      <c r="A1935" s="828">
        <v>43232</v>
      </c>
      <c r="B1935" t="s">
        <v>4799</v>
      </c>
      <c r="C1935" s="767">
        <v>12442.59</v>
      </c>
      <c r="D1935" s="767">
        <v>12442.59</v>
      </c>
      <c r="E1935" s="767">
        <v>106370.7</v>
      </c>
      <c r="I1935" s="767">
        <v>12442.59</v>
      </c>
    </row>
    <row r="1936" spans="1:9">
      <c r="A1936" s="828">
        <v>43232</v>
      </c>
      <c r="B1936" t="s">
        <v>4800</v>
      </c>
      <c r="C1936" s="767">
        <v>1390.93</v>
      </c>
      <c r="D1936" s="767">
        <v>1390.93</v>
      </c>
      <c r="E1936" s="767">
        <v>107761.63</v>
      </c>
      <c r="I1936" s="767">
        <v>1390.93</v>
      </c>
    </row>
    <row r="1937" spans="1:9">
      <c r="A1937" s="828">
        <v>43259</v>
      </c>
      <c r="B1937" t="s">
        <v>4801</v>
      </c>
      <c r="C1937">
        <v>791.25</v>
      </c>
      <c r="D1937">
        <v>791.25</v>
      </c>
      <c r="E1937" s="767">
        <v>108552.88</v>
      </c>
      <c r="I1937">
        <v>791.25</v>
      </c>
    </row>
    <row r="1938" spans="1:9">
      <c r="A1938" s="828">
        <v>43259</v>
      </c>
      <c r="B1938" t="s">
        <v>4802</v>
      </c>
      <c r="C1938" s="767">
        <v>1390.93</v>
      </c>
      <c r="D1938" s="767">
        <v>1390.93</v>
      </c>
      <c r="E1938" s="767">
        <v>109943.81</v>
      </c>
      <c r="I1938" s="767">
        <v>1390.93</v>
      </c>
    </row>
    <row r="1939" spans="1:9">
      <c r="A1939" s="828">
        <v>43259</v>
      </c>
      <c r="B1939" t="s">
        <v>4803</v>
      </c>
      <c r="C1939" s="767">
        <v>3256.17</v>
      </c>
      <c r="D1939" s="767">
        <v>3256.17</v>
      </c>
      <c r="E1939" s="767">
        <v>113199.98</v>
      </c>
      <c r="I1939" s="767">
        <v>3256.17</v>
      </c>
    </row>
    <row r="1940" spans="1:9">
      <c r="A1940" s="828">
        <v>43444</v>
      </c>
      <c r="B1940" t="s">
        <v>4804</v>
      </c>
      <c r="C1940">
        <v>791.25</v>
      </c>
      <c r="D1940">
        <v>791.25</v>
      </c>
      <c r="E1940" s="767">
        <v>113991.23</v>
      </c>
      <c r="I1940">
        <v>791.25</v>
      </c>
    </row>
    <row r="1941" spans="1:9">
      <c r="A1941" s="828">
        <v>43444</v>
      </c>
      <c r="B1941" t="s">
        <v>4805</v>
      </c>
      <c r="C1941" s="767">
        <v>1390.93</v>
      </c>
      <c r="D1941" s="767">
        <v>1390.93</v>
      </c>
      <c r="E1941" s="767">
        <v>115382.16</v>
      </c>
      <c r="I1941" s="767">
        <v>1390.93</v>
      </c>
    </row>
    <row r="1942" spans="1:9">
      <c r="A1942" s="828">
        <v>43444</v>
      </c>
      <c r="B1942" t="s">
        <v>4806</v>
      </c>
      <c r="C1942" s="767">
        <v>3052.66</v>
      </c>
      <c r="D1942" s="767">
        <v>3052.66</v>
      </c>
      <c r="E1942" s="767">
        <v>118434.82</v>
      </c>
      <c r="I1942" s="767">
        <v>3052.66</v>
      </c>
    </row>
    <row r="1943" spans="1:9">
      <c r="A1943" s="828">
        <v>43292</v>
      </c>
      <c r="B1943" t="s">
        <v>4807</v>
      </c>
      <c r="C1943">
        <v>791.25</v>
      </c>
      <c r="D1943">
        <v>791.25</v>
      </c>
      <c r="E1943" s="767">
        <v>119226.07</v>
      </c>
      <c r="I1943">
        <v>791.25</v>
      </c>
    </row>
    <row r="1944" spans="1:9">
      <c r="A1944" s="828">
        <v>43292</v>
      </c>
      <c r="B1944" t="s">
        <v>4808</v>
      </c>
      <c r="C1944" s="767">
        <v>1390.93</v>
      </c>
      <c r="D1944" s="767">
        <v>1390.93</v>
      </c>
      <c r="E1944" s="767">
        <v>120617</v>
      </c>
      <c r="I1944" s="767">
        <v>1390.93</v>
      </c>
    </row>
    <row r="1945" spans="1:9">
      <c r="A1945" s="828">
        <v>43292</v>
      </c>
      <c r="B1945" t="s">
        <v>4809</v>
      </c>
      <c r="C1945" s="767">
        <v>3086.57</v>
      </c>
      <c r="D1945" s="767">
        <v>3086.57</v>
      </c>
      <c r="E1945" s="767">
        <v>123703.57</v>
      </c>
      <c r="I1945" s="767">
        <v>3086.57</v>
      </c>
    </row>
    <row r="1946" spans="1:9">
      <c r="A1946" s="828">
        <v>43202</v>
      </c>
      <c r="B1946" t="s">
        <v>4810</v>
      </c>
      <c r="C1946">
        <v>791.25</v>
      </c>
      <c r="D1946">
        <v>791.25</v>
      </c>
      <c r="E1946" s="767">
        <v>124494.82</v>
      </c>
      <c r="I1946">
        <v>791.25</v>
      </c>
    </row>
    <row r="1947" spans="1:9">
      <c r="A1947" s="828">
        <v>43202</v>
      </c>
      <c r="B1947" t="s">
        <v>4811</v>
      </c>
      <c r="C1947" s="767">
        <v>1390.93</v>
      </c>
      <c r="D1947" s="767">
        <v>1390.93</v>
      </c>
      <c r="E1947" s="767">
        <v>125885.75</v>
      </c>
      <c r="I1947" s="767">
        <v>1390.93</v>
      </c>
    </row>
    <row r="1948" spans="1:9">
      <c r="A1948" s="828">
        <v>43202</v>
      </c>
      <c r="B1948" t="s">
        <v>4812</v>
      </c>
      <c r="C1948" s="767">
        <v>2577.8000000000002</v>
      </c>
      <c r="D1948" s="767">
        <v>2577.8000000000002</v>
      </c>
      <c r="E1948" s="767">
        <v>128463.55</v>
      </c>
      <c r="I1948" s="767">
        <v>2577.8000000000002</v>
      </c>
    </row>
    <row r="1949" spans="1:9">
      <c r="A1949" s="828">
        <v>43679</v>
      </c>
      <c r="B1949" t="s">
        <v>4813</v>
      </c>
      <c r="C1949" s="767">
        <v>1530.94</v>
      </c>
      <c r="D1949" s="767">
        <v>1530.94</v>
      </c>
      <c r="E1949" s="767">
        <v>129994.49</v>
      </c>
      <c r="I1949" s="767">
        <v>1530.94</v>
      </c>
    </row>
    <row r="1950" spans="1:9">
      <c r="A1950" s="828">
        <v>43717</v>
      </c>
      <c r="B1950" t="s">
        <v>4814</v>
      </c>
      <c r="C1950" s="767">
        <v>1530.94</v>
      </c>
      <c r="D1950" s="767">
        <v>1530.94</v>
      </c>
      <c r="E1950" s="767">
        <v>131525.43</v>
      </c>
      <c r="I1950" s="767">
        <v>1530.94</v>
      </c>
    </row>
    <row r="1951" spans="1:9">
      <c r="A1951" s="828">
        <v>43597</v>
      </c>
      <c r="B1951" t="s">
        <v>4815</v>
      </c>
      <c r="C1951" s="767">
        <v>19879.47</v>
      </c>
      <c r="D1951" s="767">
        <v>19879.47</v>
      </c>
      <c r="E1951" s="767">
        <v>151404.9</v>
      </c>
      <c r="I1951" s="767">
        <v>19879.47</v>
      </c>
    </row>
    <row r="1952" spans="1:9">
      <c r="A1952" s="828">
        <v>43597</v>
      </c>
      <c r="B1952" t="s">
        <v>4816</v>
      </c>
      <c r="C1952" s="767">
        <v>1530.94</v>
      </c>
      <c r="D1952" s="767">
        <v>1530.94</v>
      </c>
      <c r="E1952" s="767">
        <v>152935.84</v>
      </c>
      <c r="I1952" s="767">
        <v>1530.94</v>
      </c>
    </row>
    <row r="1953" spans="1:9">
      <c r="A1953" s="828">
        <v>43597</v>
      </c>
      <c r="B1953" t="s">
        <v>4817</v>
      </c>
      <c r="C1953" s="767">
        <v>1149.46</v>
      </c>
      <c r="D1953" s="767">
        <v>1149.46</v>
      </c>
      <c r="E1953" s="767">
        <v>154085.29999999999</v>
      </c>
      <c r="I1953" s="767">
        <v>1149.46</v>
      </c>
    </row>
    <row r="1954" spans="1:9">
      <c r="A1954" s="828">
        <v>43983</v>
      </c>
      <c r="B1954" t="s">
        <v>4818</v>
      </c>
      <c r="C1954" s="767">
        <v>1149.46</v>
      </c>
      <c r="D1954" s="767">
        <v>1149.46</v>
      </c>
      <c r="E1954" s="767">
        <v>155234.76</v>
      </c>
      <c r="I1954" s="767">
        <v>1149.46</v>
      </c>
    </row>
    <row r="1955" spans="1:9">
      <c r="A1955" s="828">
        <v>43953</v>
      </c>
      <c r="B1955" t="s">
        <v>4819</v>
      </c>
      <c r="C1955" s="767">
        <v>1632.26</v>
      </c>
      <c r="D1955" s="767">
        <v>1632.26</v>
      </c>
      <c r="E1955" s="767">
        <v>156867.01999999999</v>
      </c>
      <c r="I1955" s="767">
        <v>1632.26</v>
      </c>
    </row>
    <row r="1956" spans="1:9">
      <c r="A1956" s="828">
        <v>43953</v>
      </c>
      <c r="B1956" t="s">
        <v>4820</v>
      </c>
      <c r="C1956" s="767">
        <v>1149.46</v>
      </c>
      <c r="D1956" s="767">
        <v>1149.46</v>
      </c>
      <c r="E1956" s="767">
        <v>158016.48000000001</v>
      </c>
      <c r="I1956" s="767">
        <v>1149.46</v>
      </c>
    </row>
    <row r="1957" spans="1:9">
      <c r="A1957" s="828">
        <v>43893</v>
      </c>
      <c r="B1957" t="s">
        <v>4821</v>
      </c>
      <c r="C1957" s="767">
        <v>1632.26</v>
      </c>
      <c r="D1957" s="767">
        <v>1632.26</v>
      </c>
      <c r="E1957" s="767">
        <v>159648.74</v>
      </c>
      <c r="I1957" s="767">
        <v>1632.26</v>
      </c>
    </row>
    <row r="1958" spans="1:9">
      <c r="A1958" s="828">
        <v>43893</v>
      </c>
      <c r="B1958" t="s">
        <v>4822</v>
      </c>
      <c r="C1958" s="767">
        <v>1149.46</v>
      </c>
      <c r="D1958" s="767">
        <v>1149.46</v>
      </c>
      <c r="E1958" s="767">
        <v>160798.20000000001</v>
      </c>
      <c r="I1958" s="767">
        <v>1149.46</v>
      </c>
    </row>
    <row r="1959" spans="1:9">
      <c r="A1959" t="s">
        <v>4490</v>
      </c>
      <c r="B1959" t="s">
        <v>4823</v>
      </c>
      <c r="C1959" s="767">
        <v>11776.88</v>
      </c>
      <c r="D1959" s="767">
        <v>11776.88</v>
      </c>
      <c r="E1959" s="767">
        <v>172575.08</v>
      </c>
      <c r="I1959" s="767">
        <v>11776.88</v>
      </c>
    </row>
    <row r="1960" spans="1:9">
      <c r="A1960" t="s">
        <v>4490</v>
      </c>
      <c r="B1960" t="s">
        <v>4824</v>
      </c>
      <c r="C1960" s="767">
        <v>5098.41</v>
      </c>
      <c r="D1960" s="767">
        <v>5098.41</v>
      </c>
      <c r="E1960" s="767">
        <v>177673.49</v>
      </c>
      <c r="I1960" s="767">
        <v>5098.41</v>
      </c>
    </row>
    <row r="1961" spans="1:9">
      <c r="A1961" s="828">
        <v>43898</v>
      </c>
      <c r="B1961" t="s">
        <v>4825</v>
      </c>
      <c r="C1961" s="767">
        <v>14460.64</v>
      </c>
      <c r="D1961" s="767">
        <v>14460.64</v>
      </c>
      <c r="E1961" s="767">
        <v>192134.13</v>
      </c>
      <c r="I1961" s="767">
        <v>14460.64</v>
      </c>
    </row>
    <row r="1962" spans="1:9">
      <c r="A1962" s="828">
        <v>44317</v>
      </c>
      <c r="B1962" t="s">
        <v>6117</v>
      </c>
      <c r="C1962" s="767">
        <v>10881.53</v>
      </c>
      <c r="D1962" s="767">
        <v>10881.53</v>
      </c>
      <c r="E1962" s="767">
        <v>203015.66</v>
      </c>
      <c r="I1962" s="767">
        <v>10881.53</v>
      </c>
    </row>
    <row r="1963" spans="1:9">
      <c r="A1963" s="828">
        <v>44318</v>
      </c>
      <c r="B1963" t="s">
        <v>6392</v>
      </c>
      <c r="C1963" s="767">
        <v>10107.49</v>
      </c>
      <c r="D1963" s="767">
        <v>10107.49</v>
      </c>
      <c r="E1963" s="767">
        <v>213123.15</v>
      </c>
      <c r="I1963" s="767">
        <v>10107.49</v>
      </c>
    </row>
    <row r="1964" spans="1:9">
      <c r="A1964" s="828">
        <v>44318</v>
      </c>
      <c r="B1964" t="s">
        <v>6393</v>
      </c>
      <c r="C1964" s="767">
        <v>1727.81</v>
      </c>
      <c r="D1964" s="767">
        <v>1727.81</v>
      </c>
      <c r="E1964" s="767">
        <v>214850.96</v>
      </c>
      <c r="I1964" s="767">
        <v>1727.81</v>
      </c>
    </row>
    <row r="1965" spans="1:9">
      <c r="A1965" s="828">
        <v>44318</v>
      </c>
      <c r="B1965" t="s">
        <v>6394</v>
      </c>
      <c r="C1965" s="767">
        <v>1508.52</v>
      </c>
      <c r="D1965" s="767">
        <v>1508.52</v>
      </c>
      <c r="E1965" s="767">
        <v>216359.48</v>
      </c>
      <c r="I1965" s="767">
        <v>1508.52</v>
      </c>
    </row>
    <row r="1966" spans="1:9">
      <c r="A1966" s="828">
        <v>44258</v>
      </c>
      <c r="B1966" t="s">
        <v>6635</v>
      </c>
      <c r="C1966" s="767">
        <v>6001.07</v>
      </c>
      <c r="D1966" s="767">
        <v>6001.07</v>
      </c>
      <c r="E1966" s="767">
        <v>222360.55</v>
      </c>
      <c r="I1966" s="767">
        <v>6001.07</v>
      </c>
    </row>
    <row r="1967" spans="1:9">
      <c r="A1967" s="828">
        <v>44200</v>
      </c>
      <c r="B1967" t="s">
        <v>7195</v>
      </c>
      <c r="C1967" s="767">
        <v>4112.3599999999997</v>
      </c>
      <c r="D1967" s="767">
        <v>4112.3599999999997</v>
      </c>
      <c r="E1967" s="767">
        <v>226472.91</v>
      </c>
      <c r="H1967" s="767">
        <v>4112.3599999999997</v>
      </c>
    </row>
    <row r="1968" spans="1:9">
      <c r="A1968" s="828">
        <v>44200</v>
      </c>
      <c r="B1968" t="s">
        <v>7196</v>
      </c>
      <c r="C1968" s="767">
        <v>1727.81</v>
      </c>
      <c r="D1968" s="767">
        <v>1727.81</v>
      </c>
      <c r="E1968" s="767">
        <v>228200.72</v>
      </c>
      <c r="H1968" s="767">
        <v>1727.81</v>
      </c>
    </row>
    <row r="1969" spans="1:9">
      <c r="A1969" s="828">
        <v>44200</v>
      </c>
      <c r="B1969" t="s">
        <v>7197</v>
      </c>
      <c r="C1969" s="767">
        <v>1508.52</v>
      </c>
      <c r="D1969" s="767">
        <v>1508.52</v>
      </c>
      <c r="E1969" s="767">
        <v>229709.24</v>
      </c>
      <c r="H1969" s="767">
        <v>1508.52</v>
      </c>
    </row>
    <row r="1971" spans="1:9">
      <c r="A1971" t="s">
        <v>4216</v>
      </c>
      <c r="B1971" s="767">
        <v>232689.43</v>
      </c>
      <c r="C1971" s="767">
        <v>229709.24</v>
      </c>
      <c r="D1971">
        <v>0</v>
      </c>
      <c r="E1971">
        <v>0</v>
      </c>
      <c r="F1971" s="767">
        <v>7348.69</v>
      </c>
      <c r="G1971" s="767">
        <v>222360.55</v>
      </c>
    </row>
    <row r="1973" spans="1:9">
      <c r="A1973">
        <v>31028</v>
      </c>
      <c r="B1973" t="s">
        <v>2164</v>
      </c>
    </row>
    <row r="1974" spans="1:9">
      <c r="A1974" s="828">
        <v>43232</v>
      </c>
      <c r="B1974" t="s">
        <v>4826</v>
      </c>
      <c r="C1974" s="767">
        <v>30519.81</v>
      </c>
      <c r="D1974" s="767">
        <v>30519.81</v>
      </c>
      <c r="E1974" s="767">
        <v>30519.81</v>
      </c>
      <c r="I1974" s="767">
        <v>30519.81</v>
      </c>
    </row>
    <row r="1975" spans="1:9">
      <c r="A1975" s="828">
        <v>43169</v>
      </c>
      <c r="B1975" t="s">
        <v>4827</v>
      </c>
      <c r="C1975" s="767">
        <v>7274.58</v>
      </c>
      <c r="D1975" s="767">
        <v>7274.58</v>
      </c>
      <c r="E1975" s="767">
        <v>37794.39</v>
      </c>
      <c r="I1975" s="767">
        <v>7274.58</v>
      </c>
    </row>
    <row r="1977" spans="1:9">
      <c r="A1977" t="s">
        <v>4216</v>
      </c>
      <c r="B1977" s="767">
        <v>37794.39</v>
      </c>
      <c r="C1977" s="767">
        <v>37794.39</v>
      </c>
      <c r="D1977">
        <v>0</v>
      </c>
      <c r="E1977">
        <v>0</v>
      </c>
      <c r="F1977">
        <v>0</v>
      </c>
      <c r="G1977" s="767">
        <v>37794.39</v>
      </c>
    </row>
    <row r="1979" spans="1:9">
      <c r="A1979">
        <v>31030</v>
      </c>
      <c r="B1979" t="s">
        <v>3439</v>
      </c>
    </row>
    <row r="1980" spans="1:9">
      <c r="A1980" t="s">
        <v>4385</v>
      </c>
      <c r="B1980" t="s">
        <v>4828</v>
      </c>
      <c r="C1980" s="767">
        <v>5362</v>
      </c>
      <c r="D1980" s="767">
        <v>5362</v>
      </c>
      <c r="E1980" s="767">
        <v>5362</v>
      </c>
      <c r="I1980" s="767">
        <v>5362</v>
      </c>
    </row>
    <row r="1981" spans="1:9">
      <c r="A1981" s="828">
        <v>44048</v>
      </c>
      <c r="B1981" t="s">
        <v>4829</v>
      </c>
      <c r="C1981" s="767">
        <v>4570.08</v>
      </c>
      <c r="D1981" s="767">
        <v>4570.08</v>
      </c>
      <c r="E1981" s="767">
        <v>9932.08</v>
      </c>
      <c r="I1981" s="767">
        <v>4570.08</v>
      </c>
    </row>
    <row r="1982" spans="1:9">
      <c r="A1982" s="828">
        <v>44318</v>
      </c>
      <c r="B1982" t="s">
        <v>6395</v>
      </c>
      <c r="C1982" s="767">
        <v>6790.18</v>
      </c>
      <c r="D1982" s="767">
        <v>6790.18</v>
      </c>
      <c r="E1982" s="767">
        <v>16722.259999999998</v>
      </c>
      <c r="I1982" s="767">
        <v>6790.18</v>
      </c>
    </row>
    <row r="1983" spans="1:9">
      <c r="A1983" s="828">
        <v>44258</v>
      </c>
      <c r="B1983" t="s">
        <v>6636</v>
      </c>
      <c r="C1983" s="767">
        <v>6379.93</v>
      </c>
      <c r="D1983" s="767">
        <v>6379.93</v>
      </c>
      <c r="E1983" s="767">
        <v>23102.19</v>
      </c>
      <c r="I1983" s="767">
        <v>6379.93</v>
      </c>
    </row>
    <row r="1984" spans="1:9">
      <c r="A1984" s="828">
        <v>44200</v>
      </c>
      <c r="B1984" t="s">
        <v>7198</v>
      </c>
      <c r="C1984" s="767">
        <v>4834.4799999999996</v>
      </c>
      <c r="D1984" s="767">
        <v>4834.4799999999996</v>
      </c>
      <c r="E1984" s="767">
        <v>27936.67</v>
      </c>
      <c r="H1984" s="767">
        <v>4834.4799999999996</v>
      </c>
    </row>
    <row r="1986" spans="1:9">
      <c r="A1986" t="s">
        <v>4216</v>
      </c>
      <c r="B1986" s="767">
        <v>27936.67</v>
      </c>
      <c r="C1986" s="767">
        <v>27936.67</v>
      </c>
      <c r="D1986">
        <v>0</v>
      </c>
      <c r="E1986">
        <v>0</v>
      </c>
      <c r="F1986" s="767">
        <v>4834.4799999999996</v>
      </c>
      <c r="G1986" s="767">
        <v>23102.19</v>
      </c>
    </row>
    <row r="1988" spans="1:9">
      <c r="A1988">
        <v>31031</v>
      </c>
      <c r="B1988" t="s">
        <v>3440</v>
      </c>
    </row>
    <row r="1989" spans="1:9">
      <c r="A1989" s="828">
        <v>43230</v>
      </c>
      <c r="B1989" t="s">
        <v>4830</v>
      </c>
      <c r="C1989" s="767">
        <v>37221.29</v>
      </c>
      <c r="D1989" s="767">
        <v>37221.29</v>
      </c>
      <c r="E1989" s="767">
        <v>37221.29</v>
      </c>
      <c r="I1989" s="767">
        <v>37221.29</v>
      </c>
    </row>
    <row r="1990" spans="1:9">
      <c r="A1990" t="s">
        <v>4441</v>
      </c>
      <c r="B1990" t="s">
        <v>4831</v>
      </c>
      <c r="C1990">
        <v>135.66999999999999</v>
      </c>
      <c r="D1990">
        <v>135.66999999999999</v>
      </c>
      <c r="E1990" s="767">
        <v>37356.959999999999</v>
      </c>
      <c r="I1990">
        <v>135.66999999999999</v>
      </c>
    </row>
    <row r="1991" spans="1:9">
      <c r="A1991" s="828">
        <v>43414</v>
      </c>
      <c r="B1991" t="s">
        <v>4832</v>
      </c>
      <c r="C1991" s="767">
        <v>9645.6299999999992</v>
      </c>
      <c r="D1991" s="767">
        <v>9645.6299999999992</v>
      </c>
      <c r="E1991" s="767">
        <v>47002.59</v>
      </c>
      <c r="I1991" s="767">
        <v>9645.6299999999992</v>
      </c>
    </row>
    <row r="1992" spans="1:9">
      <c r="A1992" s="828">
        <v>43231</v>
      </c>
      <c r="B1992" t="s">
        <v>4833</v>
      </c>
      <c r="C1992" s="767">
        <v>13500.11</v>
      </c>
      <c r="D1992" s="767">
        <v>13500.11</v>
      </c>
      <c r="E1992" s="767">
        <v>60502.7</v>
      </c>
      <c r="I1992" s="767">
        <v>13500.11</v>
      </c>
    </row>
    <row r="1993" spans="1:9">
      <c r="A1993" s="828">
        <v>43202</v>
      </c>
      <c r="B1993" t="s">
        <v>4834</v>
      </c>
      <c r="C1993" s="767">
        <v>13534.03</v>
      </c>
      <c r="D1993" s="767">
        <v>13534.03</v>
      </c>
      <c r="E1993" s="767">
        <v>74036.73</v>
      </c>
      <c r="I1993" s="767">
        <v>13534.03</v>
      </c>
    </row>
    <row r="1994" spans="1:9">
      <c r="A1994" s="828">
        <v>43709</v>
      </c>
      <c r="B1994" t="s">
        <v>4835</v>
      </c>
      <c r="C1994" s="767">
        <v>9476.0300000000007</v>
      </c>
      <c r="D1994" s="767">
        <v>9476.0300000000007</v>
      </c>
      <c r="E1994" s="767">
        <v>83512.759999999995</v>
      </c>
      <c r="I1994" s="767">
        <v>9476.0300000000007</v>
      </c>
    </row>
    <row r="1995" spans="1:9">
      <c r="A1995" s="828">
        <v>43679</v>
      </c>
      <c r="B1995" t="s">
        <v>4836</v>
      </c>
      <c r="C1995" s="767">
        <v>14420.11</v>
      </c>
      <c r="D1995" s="767">
        <v>14420.11</v>
      </c>
      <c r="E1995" s="767">
        <v>97932.87</v>
      </c>
      <c r="I1995" s="767">
        <v>14420.11</v>
      </c>
    </row>
    <row r="1996" spans="1:9">
      <c r="A1996" s="828">
        <v>43588</v>
      </c>
      <c r="B1996" t="s">
        <v>4837</v>
      </c>
      <c r="C1996" s="767">
        <v>14707.7</v>
      </c>
      <c r="D1996" s="767">
        <v>14707.7</v>
      </c>
      <c r="E1996" s="767">
        <v>112640.57</v>
      </c>
      <c r="I1996" s="767">
        <v>14707.7</v>
      </c>
    </row>
    <row r="1997" spans="1:9">
      <c r="A1997" s="828">
        <v>43712</v>
      </c>
      <c r="B1997" t="s">
        <v>4838</v>
      </c>
      <c r="C1997" s="767">
        <v>14815.54</v>
      </c>
      <c r="D1997" s="767">
        <v>14815.54</v>
      </c>
      <c r="E1997" s="767">
        <v>127456.11</v>
      </c>
      <c r="I1997" s="767">
        <v>14815.54</v>
      </c>
    </row>
    <row r="1998" spans="1:9">
      <c r="A1998" s="828">
        <v>43651</v>
      </c>
      <c r="B1998" t="s">
        <v>4839</v>
      </c>
      <c r="C1998" s="767">
        <v>14671.75</v>
      </c>
      <c r="D1998" s="767">
        <v>14671.75</v>
      </c>
      <c r="E1998" s="767">
        <v>142127.85999999999</v>
      </c>
      <c r="I1998" s="767">
        <v>14671.75</v>
      </c>
    </row>
    <row r="1999" spans="1:9">
      <c r="A1999" s="828">
        <v>43561</v>
      </c>
      <c r="B1999" t="s">
        <v>4840</v>
      </c>
      <c r="C1999" s="767">
        <v>14779.59</v>
      </c>
      <c r="D1999" s="767">
        <v>14779.59</v>
      </c>
      <c r="E1999" s="767">
        <v>156907.45000000001</v>
      </c>
      <c r="I1999" s="767">
        <v>14779.59</v>
      </c>
    </row>
    <row r="2000" spans="1:9">
      <c r="A2000" s="828">
        <v>43503</v>
      </c>
      <c r="B2000" t="s">
        <v>4841</v>
      </c>
      <c r="C2000" s="767">
        <v>14815.54</v>
      </c>
      <c r="D2000" s="767">
        <v>14815.54</v>
      </c>
      <c r="E2000" s="767">
        <v>171722.99</v>
      </c>
      <c r="I2000" s="767">
        <v>14815.54</v>
      </c>
    </row>
    <row r="2001" spans="1:9">
      <c r="A2001" s="828">
        <v>43473</v>
      </c>
      <c r="B2001" t="s">
        <v>4842</v>
      </c>
      <c r="C2001" s="767">
        <v>16226.19</v>
      </c>
      <c r="D2001" s="767">
        <v>16226.19</v>
      </c>
      <c r="E2001" s="767">
        <v>187949.18</v>
      </c>
      <c r="I2001" s="767">
        <v>16226.19</v>
      </c>
    </row>
    <row r="2002" spans="1:9">
      <c r="A2002" s="828">
        <v>43564</v>
      </c>
      <c r="B2002" t="s">
        <v>4843</v>
      </c>
      <c r="C2002" s="767">
        <v>16477.830000000002</v>
      </c>
      <c r="D2002" s="767">
        <v>16477.830000000002</v>
      </c>
      <c r="E2002" s="767">
        <v>204427.01</v>
      </c>
      <c r="I2002" s="767">
        <v>16477.830000000002</v>
      </c>
    </row>
    <row r="2003" spans="1:9">
      <c r="A2003" s="828">
        <v>43506</v>
      </c>
      <c r="B2003" t="s">
        <v>4844</v>
      </c>
      <c r="C2003" s="767">
        <v>17196.8</v>
      </c>
      <c r="D2003" s="767">
        <v>17196.8</v>
      </c>
      <c r="E2003" s="767">
        <v>221623.81</v>
      </c>
      <c r="I2003" s="767">
        <v>17196.8</v>
      </c>
    </row>
    <row r="2004" spans="1:9">
      <c r="A2004" s="828">
        <v>43476</v>
      </c>
      <c r="B2004" t="s">
        <v>4845</v>
      </c>
      <c r="C2004" s="767">
        <v>16837.32</v>
      </c>
      <c r="D2004" s="767">
        <v>16837.32</v>
      </c>
      <c r="E2004" s="767">
        <v>238461.13</v>
      </c>
      <c r="I2004" s="767">
        <v>16837.32</v>
      </c>
    </row>
    <row r="2005" spans="1:9">
      <c r="A2005" s="828">
        <v>43477</v>
      </c>
      <c r="B2005" t="s">
        <v>4846</v>
      </c>
      <c r="C2005" s="767">
        <v>16693.52</v>
      </c>
      <c r="D2005" s="767">
        <v>16693.52</v>
      </c>
      <c r="E2005" s="767">
        <v>255154.65</v>
      </c>
      <c r="I2005" s="767">
        <v>16693.52</v>
      </c>
    </row>
    <row r="2006" spans="1:9">
      <c r="A2006" s="828">
        <v>43983</v>
      </c>
      <c r="B2006" t="s">
        <v>4847</v>
      </c>
      <c r="C2006" s="767">
        <v>16477.830000000002</v>
      </c>
      <c r="D2006" s="767">
        <v>16477.830000000002</v>
      </c>
      <c r="E2006" s="767">
        <v>271632.48</v>
      </c>
      <c r="I2006" s="767">
        <v>16477.830000000002</v>
      </c>
    </row>
    <row r="2007" spans="1:9">
      <c r="A2007" s="828">
        <v>43953</v>
      </c>
      <c r="B2007" t="s">
        <v>4848</v>
      </c>
      <c r="C2007" s="767">
        <v>16728.04</v>
      </c>
      <c r="D2007" s="767">
        <v>16728.04</v>
      </c>
      <c r="E2007" s="767">
        <v>288360.52</v>
      </c>
      <c r="I2007" s="767">
        <v>16728.04</v>
      </c>
    </row>
    <row r="2008" spans="1:9">
      <c r="A2008" s="828">
        <v>43893</v>
      </c>
      <c r="B2008" t="s">
        <v>4849</v>
      </c>
      <c r="C2008" s="767">
        <v>17143.25</v>
      </c>
      <c r="D2008" s="767">
        <v>17143.25</v>
      </c>
      <c r="E2008" s="767">
        <v>305503.77</v>
      </c>
      <c r="I2008" s="767">
        <v>17143.25</v>
      </c>
    </row>
    <row r="2009" spans="1:9">
      <c r="A2009" s="828">
        <v>44017</v>
      </c>
      <c r="B2009" t="s">
        <v>4850</v>
      </c>
      <c r="C2009" s="767">
        <v>18831.2</v>
      </c>
      <c r="D2009" s="767">
        <v>18831.2</v>
      </c>
      <c r="E2009" s="767">
        <v>324334.96999999997</v>
      </c>
      <c r="I2009" s="767">
        <v>18831.2</v>
      </c>
    </row>
    <row r="2010" spans="1:9">
      <c r="A2010" s="828">
        <v>43896</v>
      </c>
      <c r="B2010" t="s">
        <v>4851</v>
      </c>
      <c r="C2010" s="767">
        <v>18869.71</v>
      </c>
      <c r="D2010" s="767">
        <v>18869.71</v>
      </c>
      <c r="E2010" s="767">
        <v>343204.68</v>
      </c>
      <c r="I2010" s="767">
        <v>18869.71</v>
      </c>
    </row>
    <row r="2012" spans="1:9">
      <c r="A2012" t="s">
        <v>4216</v>
      </c>
      <c r="B2012" s="767">
        <v>343204.68</v>
      </c>
      <c r="C2012" s="767">
        <v>343204.68</v>
      </c>
      <c r="D2012">
        <v>0</v>
      </c>
      <c r="E2012">
        <v>0</v>
      </c>
      <c r="F2012">
        <v>0</v>
      </c>
      <c r="G2012" s="767">
        <v>343204.68</v>
      </c>
    </row>
    <row r="2014" spans="1:9">
      <c r="A2014">
        <v>4</v>
      </c>
      <c r="B2014" t="s">
        <v>249</v>
      </c>
    </row>
    <row r="2016" spans="1:9">
      <c r="A2016">
        <v>51019</v>
      </c>
      <c r="B2016" t="s">
        <v>3441</v>
      </c>
    </row>
    <row r="2017" spans="1:16">
      <c r="A2017" s="828">
        <v>43558</v>
      </c>
      <c r="B2017" t="s">
        <v>4852</v>
      </c>
      <c r="C2017">
        <v>530.35</v>
      </c>
      <c r="D2017">
        <v>530.35</v>
      </c>
      <c r="E2017">
        <v>530.35</v>
      </c>
      <c r="I2017">
        <v>530.35</v>
      </c>
    </row>
    <row r="2018" spans="1:16">
      <c r="A2018" s="828">
        <v>43897</v>
      </c>
      <c r="B2018" t="s">
        <v>4853</v>
      </c>
      <c r="C2018" s="767">
        <v>1105.1099999999999</v>
      </c>
      <c r="D2018" s="767">
        <v>1105.1099999999999</v>
      </c>
      <c r="E2018" s="767">
        <v>1635.46</v>
      </c>
      <c r="I2018" s="767">
        <v>1105.1099999999999</v>
      </c>
    </row>
    <row r="2019" spans="1:16">
      <c r="A2019" s="828">
        <v>43959</v>
      </c>
      <c r="B2019" t="s">
        <v>4854</v>
      </c>
      <c r="C2019">
        <v>801.75</v>
      </c>
      <c r="D2019">
        <v>801.75</v>
      </c>
      <c r="E2019" s="767">
        <v>2437.21</v>
      </c>
      <c r="I2019">
        <v>801.75</v>
      </c>
    </row>
    <row r="2020" spans="1:16">
      <c r="A2020" s="828">
        <v>43871</v>
      </c>
      <c r="B2020" t="s">
        <v>5473</v>
      </c>
      <c r="C2020" s="767">
        <v>1339.13</v>
      </c>
      <c r="D2020" s="767">
        <v>1339.13</v>
      </c>
      <c r="E2020" s="767">
        <v>3776.34</v>
      </c>
      <c r="I2020" s="767">
        <v>1339.13</v>
      </c>
    </row>
    <row r="2021" spans="1:16">
      <c r="A2021" s="828">
        <v>43901</v>
      </c>
      <c r="B2021" t="s">
        <v>5546</v>
      </c>
      <c r="C2021">
        <v>829.91</v>
      </c>
      <c r="D2021">
        <v>829.91</v>
      </c>
      <c r="E2021" s="767">
        <v>4606.25</v>
      </c>
      <c r="I2021">
        <v>829.91</v>
      </c>
    </row>
    <row r="2022" spans="1:16">
      <c r="A2022" s="828">
        <v>44318</v>
      </c>
      <c r="B2022" t="s">
        <v>6396</v>
      </c>
      <c r="C2022">
        <v>501.98</v>
      </c>
      <c r="D2022">
        <v>501.98</v>
      </c>
      <c r="E2022" s="767">
        <v>5108.2299999999996</v>
      </c>
      <c r="I2022">
        <v>501.98</v>
      </c>
    </row>
    <row r="2023" spans="1:16">
      <c r="A2023" s="828">
        <v>44200</v>
      </c>
      <c r="B2023" t="s">
        <v>7199</v>
      </c>
      <c r="C2023" s="767">
        <v>1229.8399999999999</v>
      </c>
      <c r="D2023" s="767">
        <v>1229.8399999999999</v>
      </c>
      <c r="E2023" s="767">
        <v>6338.07</v>
      </c>
      <c r="H2023" s="767">
        <v>1229.8399999999999</v>
      </c>
    </row>
    <row r="2025" spans="1:16">
      <c r="A2025" t="s">
        <v>4216</v>
      </c>
      <c r="B2025" s="767">
        <v>6338.07</v>
      </c>
      <c r="C2025" s="767">
        <v>6338.07</v>
      </c>
      <c r="D2025">
        <v>0</v>
      </c>
      <c r="E2025">
        <v>0</v>
      </c>
      <c r="F2025" s="767">
        <v>1229.8399999999999</v>
      </c>
      <c r="G2025" s="767">
        <v>5108.2299999999996</v>
      </c>
    </row>
    <row r="2027" spans="1:16">
      <c r="A2027">
        <v>51021</v>
      </c>
      <c r="B2027" t="s">
        <v>3437</v>
      </c>
    </row>
    <row r="2028" spans="1:16">
      <c r="A2028" s="828">
        <v>43232</v>
      </c>
      <c r="B2028" t="s">
        <v>4855</v>
      </c>
      <c r="C2028" s="767">
        <v>4362.1099999999997</v>
      </c>
      <c r="D2028" s="767">
        <v>4362.1099999999997</v>
      </c>
      <c r="E2028" s="767">
        <v>4362.1099999999997</v>
      </c>
      <c r="I2028" s="767">
        <v>4362.1099999999997</v>
      </c>
    </row>
    <row r="2029" spans="1:16">
      <c r="A2029" s="828">
        <v>43232</v>
      </c>
      <c r="B2029" t="s">
        <v>4856</v>
      </c>
      <c r="C2029" s="767">
        <v>3184.06</v>
      </c>
      <c r="D2029" s="767">
        <v>3184.06</v>
      </c>
      <c r="E2029" s="767">
        <v>7546.17</v>
      </c>
      <c r="I2029" s="767">
        <v>3184.06</v>
      </c>
    </row>
    <row r="2031" spans="1:16">
      <c r="A2031" t="s">
        <v>4216</v>
      </c>
      <c r="B2031" s="767">
        <v>7546.17</v>
      </c>
      <c r="C2031" s="767">
        <v>7546.17</v>
      </c>
      <c r="D2031">
        <v>0</v>
      </c>
      <c r="E2031">
        <v>0</v>
      </c>
      <c r="F2031">
        <v>0</v>
      </c>
      <c r="G2031" s="767">
        <v>7546.17</v>
      </c>
      <c r="K2031" s="766" t="s">
        <v>7205</v>
      </c>
      <c r="N2031" s="767"/>
    </row>
    <row r="2032" spans="1:16">
      <c r="M2032" t="s">
        <v>736</v>
      </c>
      <c r="N2032" s="768" t="s">
        <v>1843</v>
      </c>
      <c r="P2032" s="135" t="s">
        <v>1844</v>
      </c>
    </row>
    <row r="2033" spans="1:16" ht="13.5" thickBot="1">
      <c r="A2033">
        <v>51027</v>
      </c>
      <c r="B2033" t="s">
        <v>6397</v>
      </c>
      <c r="N2033" s="767"/>
    </row>
    <row r="2034" spans="1:16" ht="13.5" thickBot="1">
      <c r="A2034" s="828">
        <v>44318</v>
      </c>
      <c r="B2034" t="s">
        <v>6398</v>
      </c>
      <c r="C2034" s="767">
        <v>28591.02</v>
      </c>
      <c r="D2034" s="767">
        <v>28591.02</v>
      </c>
      <c r="E2034" s="767">
        <v>28591.02</v>
      </c>
      <c r="I2034" s="767">
        <v>28591.02</v>
      </c>
      <c r="K2034" t="s">
        <v>15</v>
      </c>
      <c r="N2034" s="767">
        <v>7979956.8899999997</v>
      </c>
      <c r="P2034" s="829">
        <v>9724372.9900000002</v>
      </c>
    </row>
    <row r="2035" spans="1:16">
      <c r="A2035" s="828">
        <v>44200</v>
      </c>
      <c r="B2035" t="s">
        <v>7200</v>
      </c>
      <c r="C2035" s="767">
        <v>34455.040000000001</v>
      </c>
      <c r="D2035" s="767">
        <v>34455.040000000001</v>
      </c>
      <c r="E2035" s="767">
        <v>63046.06</v>
      </c>
      <c r="H2035" s="767">
        <v>34455.040000000001</v>
      </c>
      <c r="K2035" t="s">
        <v>1845</v>
      </c>
      <c r="N2035" s="767">
        <v>654429.99</v>
      </c>
    </row>
    <row r="2036" spans="1:16">
      <c r="K2036" t="s">
        <v>1846</v>
      </c>
      <c r="N2036" s="1543">
        <v>1051047.06</v>
      </c>
    </row>
    <row r="2037" spans="1:16" ht="13.5" thickBot="1">
      <c r="A2037" t="s">
        <v>4216</v>
      </c>
      <c r="B2037" s="767">
        <v>63046.06</v>
      </c>
      <c r="C2037" s="767">
        <v>63046.06</v>
      </c>
      <c r="D2037">
        <v>0</v>
      </c>
      <c r="E2037">
        <v>0</v>
      </c>
      <c r="F2037" s="767">
        <v>34455.040000000001</v>
      </c>
      <c r="G2037" s="767">
        <v>28591.02</v>
      </c>
      <c r="K2037" t="s">
        <v>1847</v>
      </c>
      <c r="N2037" s="1543">
        <v>85738.35</v>
      </c>
    </row>
    <row r="2038" spans="1:16" ht="13.5" thickBot="1">
      <c r="K2038" s="135"/>
      <c r="L2038" s="135"/>
      <c r="M2038" s="135" t="s">
        <v>736</v>
      </c>
      <c r="N2038" s="769">
        <f>SUM(N2034:N2037)</f>
        <v>9771172.2899999991</v>
      </c>
      <c r="O2038" s="135"/>
      <c r="P2038" s="135"/>
    </row>
    <row r="2039" spans="1:16">
      <c r="A2039">
        <v>51028</v>
      </c>
      <c r="B2039" t="s">
        <v>6771</v>
      </c>
      <c r="N2039" s="767"/>
    </row>
    <row r="2040" spans="1:16">
      <c r="A2040" s="828">
        <v>44320</v>
      </c>
      <c r="B2040" t="s">
        <v>7201</v>
      </c>
      <c r="C2040" s="767">
        <v>2581.92</v>
      </c>
      <c r="D2040" s="767">
        <v>2581.92</v>
      </c>
      <c r="E2040" s="767">
        <v>2581.92</v>
      </c>
      <c r="H2040" s="767">
        <v>2581.92</v>
      </c>
      <c r="K2040" s="73"/>
      <c r="N2040" s="767"/>
    </row>
    <row r="2041" spans="1:16">
      <c r="A2041" s="828">
        <v>44320</v>
      </c>
      <c r="B2041" t="s">
        <v>7202</v>
      </c>
      <c r="C2041" s="767">
        <v>1822.1</v>
      </c>
      <c r="D2041" s="767">
        <v>1822.1</v>
      </c>
      <c r="E2041" s="767">
        <v>4404.0200000000004</v>
      </c>
      <c r="H2041" s="767">
        <v>1822.1</v>
      </c>
      <c r="K2041" s="1977" t="s">
        <v>2880</v>
      </c>
      <c r="L2041" s="1977"/>
      <c r="M2041" s="1977"/>
      <c r="N2041" s="767">
        <v>-18662.71</v>
      </c>
      <c r="P2041" s="767"/>
    </row>
    <row r="2042" spans="1:16">
      <c r="K2042" s="1977" t="s">
        <v>2880</v>
      </c>
      <c r="L2042" s="1977"/>
      <c r="M2042" s="1977"/>
      <c r="N2042" s="767">
        <v>-28099.86</v>
      </c>
    </row>
    <row r="2043" spans="1:16">
      <c r="A2043" t="s">
        <v>4216</v>
      </c>
      <c r="B2043" s="767">
        <v>4404.0200000000004</v>
      </c>
      <c r="C2043" s="767">
        <v>4404.0200000000004</v>
      </c>
      <c r="D2043">
        <v>0</v>
      </c>
      <c r="E2043">
        <v>0</v>
      </c>
      <c r="F2043" s="767">
        <v>4404.0200000000004</v>
      </c>
      <c r="G2043">
        <v>0</v>
      </c>
      <c r="K2043" s="1977" t="s">
        <v>2880</v>
      </c>
      <c r="L2043" s="1977"/>
      <c r="M2043" s="1977"/>
      <c r="N2043" s="767">
        <v>0</v>
      </c>
    </row>
    <row r="2044" spans="1:16">
      <c r="K2044" s="1977" t="s">
        <v>2880</v>
      </c>
      <c r="L2044" s="1977"/>
      <c r="M2044" s="1977"/>
      <c r="N2044" s="767">
        <v>0</v>
      </c>
    </row>
    <row r="2045" spans="1:16">
      <c r="A2045">
        <v>51029</v>
      </c>
      <c r="B2045" t="s">
        <v>6773</v>
      </c>
      <c r="K2045" s="73"/>
      <c r="L2045" s="1399"/>
      <c r="M2045" s="1399"/>
    </row>
    <row r="2046" spans="1:16">
      <c r="A2046" s="828">
        <v>44320</v>
      </c>
      <c r="B2046" t="s">
        <v>7203</v>
      </c>
      <c r="C2046" s="767">
        <v>2581.92</v>
      </c>
      <c r="D2046" s="767">
        <v>2581.92</v>
      </c>
      <c r="E2046" s="767">
        <v>2581.92</v>
      </c>
      <c r="H2046" s="767">
        <v>2581.92</v>
      </c>
      <c r="K2046" s="73"/>
      <c r="L2046" s="1399"/>
      <c r="M2046" s="1399"/>
    </row>
    <row r="2047" spans="1:16" ht="13.5" thickBot="1">
      <c r="A2047" s="828">
        <v>44320</v>
      </c>
      <c r="B2047" t="s">
        <v>7204</v>
      </c>
      <c r="C2047" s="767">
        <v>1822.1</v>
      </c>
      <c r="D2047" s="767">
        <v>1822.1</v>
      </c>
      <c r="E2047" s="767">
        <v>4404.0200000000004</v>
      </c>
      <c r="H2047" s="767">
        <v>1822.1</v>
      </c>
      <c r="K2047" s="73"/>
      <c r="L2047" s="1399"/>
      <c r="M2047" s="1399"/>
      <c r="N2047" s="770"/>
    </row>
    <row r="2048" spans="1:16" ht="13.5" thickBot="1">
      <c r="K2048" s="771" t="s">
        <v>1848</v>
      </c>
      <c r="N2048" s="772">
        <f>SUM(N2040:N2047)+N2038</f>
        <v>9724409.7199999988</v>
      </c>
    </row>
    <row r="2049" spans="1:16">
      <c r="C2049" t="s">
        <v>4216</v>
      </c>
      <c r="D2049" s="767">
        <v>4404.0200000000004</v>
      </c>
      <c r="E2049" s="767">
        <v>4404.0200000000004</v>
      </c>
      <c r="F2049">
        <v>0</v>
      </c>
      <c r="G2049">
        <v>0</v>
      </c>
      <c r="H2049" s="767">
        <v>4404.0200000000004</v>
      </c>
      <c r="I2049">
        <v>0</v>
      </c>
      <c r="N2049" s="768"/>
    </row>
    <row r="2050" spans="1:16" ht="13.5" thickBot="1">
      <c r="N2050" s="767"/>
      <c r="P2050" s="767" t="s">
        <v>736</v>
      </c>
    </row>
    <row r="2051" spans="1:16" ht="13.5" thickBot="1">
      <c r="C2051" s="135" t="s">
        <v>4216</v>
      </c>
      <c r="D2051" s="768">
        <v>10419667.9</v>
      </c>
      <c r="E2051" s="1545">
        <v>9721239.4299999997</v>
      </c>
      <c r="F2051" s="135">
        <v>0</v>
      </c>
      <c r="G2051" s="768">
        <v>1970491.48</v>
      </c>
      <c r="H2051" s="768">
        <v>2021848.36</v>
      </c>
      <c r="I2051" s="768">
        <v>5728899.5899999999</v>
      </c>
      <c r="K2051" s="773" t="s">
        <v>955</v>
      </c>
      <c r="L2051" s="774"/>
      <c r="M2051" s="774"/>
      <c r="N2051" s="775"/>
      <c r="O2051" s="776">
        <f>N2048-P2034</f>
        <v>36.72999999858439</v>
      </c>
      <c r="P2051" s="135"/>
    </row>
    <row r="2055" spans="1:16">
      <c r="A2055" s="1556" t="s">
        <v>3378</v>
      </c>
      <c r="B2055" s="1556"/>
      <c r="C2055" s="1556"/>
      <c r="D2055" s="1556"/>
      <c r="E2055" s="1556"/>
      <c r="F2055" s="1556"/>
    </row>
    <row r="2056" spans="1:16">
      <c r="A2056" s="1556" t="s">
        <v>3442</v>
      </c>
      <c r="B2056" s="1556"/>
      <c r="C2056" s="135"/>
      <c r="D2056" s="1556" t="s">
        <v>6961</v>
      </c>
      <c r="E2056" s="1556"/>
      <c r="F2056" s="1556"/>
    </row>
    <row r="2057" spans="1:16">
      <c r="A2057" s="143" t="s">
        <v>5474</v>
      </c>
      <c r="B2057" t="s">
        <v>3443</v>
      </c>
      <c r="C2057" t="s">
        <v>3444</v>
      </c>
      <c r="D2057" t="s">
        <v>3445</v>
      </c>
      <c r="E2057" t="s">
        <v>3446</v>
      </c>
      <c r="F2057" t="s">
        <v>959</v>
      </c>
    </row>
    <row r="2058" spans="1:16">
      <c r="A2058" s="143">
        <v>11321</v>
      </c>
      <c r="B2058" t="s">
        <v>3391</v>
      </c>
      <c r="C2058" t="s">
        <v>3466</v>
      </c>
      <c r="D2058" t="s">
        <v>7206</v>
      </c>
      <c r="E2058">
        <v>0</v>
      </c>
      <c r="F2058" s="767">
        <v>6080.49</v>
      </c>
    </row>
    <row r="2059" spans="1:16">
      <c r="A2059" s="143">
        <v>11321</v>
      </c>
      <c r="B2059" t="s">
        <v>3391</v>
      </c>
      <c r="C2059" t="s">
        <v>3466</v>
      </c>
      <c r="D2059" t="s">
        <v>7207</v>
      </c>
      <c r="E2059">
        <v>0</v>
      </c>
      <c r="F2059" s="767">
        <v>7937.11</v>
      </c>
    </row>
    <row r="2060" spans="1:16">
      <c r="A2060" s="143">
        <v>11797</v>
      </c>
      <c r="B2060" t="s">
        <v>6079</v>
      </c>
      <c r="C2060" t="s">
        <v>6141</v>
      </c>
      <c r="D2060" t="s">
        <v>7208</v>
      </c>
      <c r="E2060">
        <v>3</v>
      </c>
      <c r="F2060">
        <v>673.83</v>
      </c>
    </row>
    <row r="2061" spans="1:16">
      <c r="A2061" s="143">
        <v>11992</v>
      </c>
      <c r="B2061" t="s">
        <v>3161</v>
      </c>
      <c r="C2061" t="s">
        <v>5501</v>
      </c>
      <c r="D2061" t="s">
        <v>7209</v>
      </c>
      <c r="E2061">
        <v>3</v>
      </c>
      <c r="F2061" s="767">
        <v>2609.6</v>
      </c>
    </row>
    <row r="2062" spans="1:16">
      <c r="A2062" s="143">
        <v>12065</v>
      </c>
      <c r="B2062" t="s">
        <v>2133</v>
      </c>
      <c r="C2062" t="s">
        <v>6139</v>
      </c>
      <c r="D2062" t="s">
        <v>7210</v>
      </c>
      <c r="E2062">
        <v>3</v>
      </c>
      <c r="F2062">
        <v>859</v>
      </c>
    </row>
    <row r="2063" spans="1:16">
      <c r="A2063" s="143">
        <v>12065</v>
      </c>
      <c r="B2063" t="s">
        <v>2133</v>
      </c>
      <c r="C2063" t="s">
        <v>6139</v>
      </c>
      <c r="D2063" t="s">
        <v>7211</v>
      </c>
      <c r="E2063">
        <v>3</v>
      </c>
      <c r="F2063">
        <v>439.35</v>
      </c>
    </row>
    <row r="2064" spans="1:16">
      <c r="A2064" s="143">
        <v>11146</v>
      </c>
      <c r="B2064" t="s">
        <v>6118</v>
      </c>
      <c r="C2064" t="s">
        <v>6119</v>
      </c>
      <c r="D2064" t="s">
        <v>7212</v>
      </c>
      <c r="E2064">
        <v>4</v>
      </c>
      <c r="F2064" s="767">
        <v>3565.76</v>
      </c>
    </row>
    <row r="2065" spans="1:6">
      <c r="A2065" s="143">
        <v>11146</v>
      </c>
      <c r="B2065" t="s">
        <v>6118</v>
      </c>
      <c r="C2065" t="s">
        <v>6119</v>
      </c>
      <c r="D2065" t="s">
        <v>7213</v>
      </c>
      <c r="E2065">
        <v>4</v>
      </c>
      <c r="F2065" s="767">
        <v>2089.0300000000002</v>
      </c>
    </row>
    <row r="2066" spans="1:6">
      <c r="A2066" s="143">
        <v>11241</v>
      </c>
      <c r="B2066" t="s">
        <v>6058</v>
      </c>
      <c r="C2066" t="s">
        <v>6121</v>
      </c>
      <c r="D2066" t="s">
        <v>7214</v>
      </c>
      <c r="E2066">
        <v>4</v>
      </c>
      <c r="F2066" s="767">
        <v>21865.34</v>
      </c>
    </row>
    <row r="2067" spans="1:6">
      <c r="A2067" s="143">
        <v>11241</v>
      </c>
      <c r="B2067" t="s">
        <v>6058</v>
      </c>
      <c r="C2067" t="s">
        <v>6121</v>
      </c>
      <c r="D2067" t="s">
        <v>7215</v>
      </c>
      <c r="E2067">
        <v>4</v>
      </c>
      <c r="F2067" s="767">
        <v>8351.36</v>
      </c>
    </row>
    <row r="2068" spans="1:6">
      <c r="A2068" s="143">
        <v>11259</v>
      </c>
      <c r="B2068" t="s">
        <v>6058</v>
      </c>
      <c r="C2068" t="s">
        <v>6121</v>
      </c>
      <c r="D2068" t="s">
        <v>7216</v>
      </c>
      <c r="E2068">
        <v>4</v>
      </c>
      <c r="F2068" s="767">
        <v>65713.52</v>
      </c>
    </row>
    <row r="2069" spans="1:6">
      <c r="A2069" s="143">
        <v>11259</v>
      </c>
      <c r="B2069" t="s">
        <v>6058</v>
      </c>
      <c r="C2069" t="s">
        <v>6121</v>
      </c>
      <c r="D2069" t="s">
        <v>7217</v>
      </c>
      <c r="E2069">
        <v>4</v>
      </c>
      <c r="F2069" s="767">
        <v>2886.17</v>
      </c>
    </row>
    <row r="2070" spans="1:6">
      <c r="A2070" s="143">
        <v>11276</v>
      </c>
      <c r="B2070" t="s">
        <v>6122</v>
      </c>
      <c r="C2070" t="s">
        <v>6123</v>
      </c>
      <c r="D2070" t="s">
        <v>7218</v>
      </c>
      <c r="E2070">
        <v>4</v>
      </c>
      <c r="F2070" s="767">
        <v>49408.959999999999</v>
      </c>
    </row>
    <row r="2071" spans="1:6">
      <c r="A2071" s="143">
        <v>11381</v>
      </c>
      <c r="B2071" t="s">
        <v>6064</v>
      </c>
      <c r="C2071" t="s">
        <v>6124</v>
      </c>
      <c r="D2071" t="s">
        <v>7219</v>
      </c>
      <c r="E2071">
        <v>4</v>
      </c>
      <c r="F2071" s="767">
        <v>24114.81</v>
      </c>
    </row>
    <row r="2072" spans="1:6">
      <c r="A2072" s="143">
        <v>11441</v>
      </c>
      <c r="B2072" t="s">
        <v>3447</v>
      </c>
      <c r="C2072" t="s">
        <v>3448</v>
      </c>
      <c r="D2072" t="s">
        <v>7220</v>
      </c>
      <c r="E2072">
        <v>4</v>
      </c>
      <c r="F2072" s="767">
        <v>3335.46</v>
      </c>
    </row>
    <row r="2073" spans="1:6">
      <c r="A2073" s="143">
        <v>11441</v>
      </c>
      <c r="B2073" t="s">
        <v>3447</v>
      </c>
      <c r="C2073" t="s">
        <v>3448</v>
      </c>
      <c r="D2073" t="s">
        <v>7221</v>
      </c>
      <c r="E2073">
        <v>4</v>
      </c>
      <c r="F2073" s="767">
        <v>46011.47</v>
      </c>
    </row>
    <row r="2074" spans="1:6">
      <c r="A2074" s="143">
        <v>11471</v>
      </c>
      <c r="B2074" t="s">
        <v>6075</v>
      </c>
      <c r="C2074" t="s">
        <v>6126</v>
      </c>
      <c r="D2074" t="s">
        <v>7222</v>
      </c>
      <c r="E2074">
        <v>4</v>
      </c>
      <c r="F2074" s="767">
        <v>86202.4</v>
      </c>
    </row>
    <row r="2075" spans="1:6">
      <c r="A2075" s="143">
        <v>11471</v>
      </c>
      <c r="B2075" t="s">
        <v>6075</v>
      </c>
      <c r="C2075" t="s">
        <v>6126</v>
      </c>
      <c r="D2075" t="s">
        <v>7223</v>
      </c>
      <c r="E2075">
        <v>4</v>
      </c>
      <c r="F2075" s="767">
        <v>2336.42</v>
      </c>
    </row>
    <row r="2076" spans="1:6">
      <c r="A2076" s="143">
        <v>11677</v>
      </c>
      <c r="B2076" t="s">
        <v>6127</v>
      </c>
      <c r="C2076" t="s">
        <v>6128</v>
      </c>
      <c r="D2076" t="s">
        <v>7224</v>
      </c>
      <c r="E2076">
        <v>4</v>
      </c>
      <c r="F2076" s="767">
        <v>149528.06</v>
      </c>
    </row>
    <row r="2077" spans="1:6">
      <c r="A2077" s="143">
        <v>11677</v>
      </c>
      <c r="B2077" t="s">
        <v>6127</v>
      </c>
      <c r="C2077" t="s">
        <v>6128</v>
      </c>
      <c r="D2077" t="s">
        <v>7225</v>
      </c>
      <c r="E2077">
        <v>4</v>
      </c>
      <c r="F2077" s="767">
        <v>3755.6</v>
      </c>
    </row>
    <row r="2078" spans="1:6">
      <c r="A2078" s="143">
        <v>11768</v>
      </c>
      <c r="B2078" t="s">
        <v>2069</v>
      </c>
      <c r="C2078" t="s">
        <v>3544</v>
      </c>
      <c r="D2078" t="s">
        <v>7226</v>
      </c>
      <c r="E2078">
        <v>4</v>
      </c>
      <c r="F2078" s="767">
        <v>20203.11</v>
      </c>
    </row>
    <row r="2079" spans="1:6">
      <c r="A2079" s="143">
        <v>11768</v>
      </c>
      <c r="B2079" t="s">
        <v>2069</v>
      </c>
      <c r="C2079" t="s">
        <v>3544</v>
      </c>
      <c r="D2079" t="s">
        <v>7227</v>
      </c>
      <c r="E2079">
        <v>4</v>
      </c>
      <c r="F2079" s="767">
        <v>2061.56</v>
      </c>
    </row>
    <row r="2080" spans="1:6">
      <c r="A2080" s="143">
        <v>11768</v>
      </c>
      <c r="B2080" t="s">
        <v>2069</v>
      </c>
      <c r="C2080" t="s">
        <v>3544</v>
      </c>
      <c r="D2080" t="s">
        <v>7228</v>
      </c>
      <c r="E2080">
        <v>4</v>
      </c>
      <c r="F2080" s="767">
        <v>23251.61</v>
      </c>
    </row>
    <row r="2081" spans="1:6">
      <c r="A2081" s="143">
        <v>11768</v>
      </c>
      <c r="B2081" t="s">
        <v>2069</v>
      </c>
      <c r="C2081" t="s">
        <v>3544</v>
      </c>
      <c r="D2081" t="s">
        <v>7229</v>
      </c>
      <c r="E2081">
        <v>4</v>
      </c>
      <c r="F2081">
        <v>302.36</v>
      </c>
    </row>
    <row r="2082" spans="1:6">
      <c r="A2082" s="143">
        <v>11937</v>
      </c>
      <c r="B2082" t="s">
        <v>3423</v>
      </c>
      <c r="C2082" t="s">
        <v>3449</v>
      </c>
      <c r="D2082" t="s">
        <v>7230</v>
      </c>
      <c r="E2082">
        <v>4</v>
      </c>
      <c r="F2082" s="767">
        <v>168616.81</v>
      </c>
    </row>
    <row r="2083" spans="1:6">
      <c r="A2083" s="143">
        <v>12014</v>
      </c>
      <c r="B2083" t="s">
        <v>3242</v>
      </c>
      <c r="C2083" t="s">
        <v>6129</v>
      </c>
      <c r="D2083" t="s">
        <v>7231</v>
      </c>
      <c r="E2083">
        <v>4</v>
      </c>
      <c r="F2083" s="767">
        <v>20536.96</v>
      </c>
    </row>
    <row r="2084" spans="1:6">
      <c r="A2084" s="143">
        <v>21097</v>
      </c>
      <c r="B2084" t="s">
        <v>6113</v>
      </c>
      <c r="C2084" t="s">
        <v>6130</v>
      </c>
      <c r="D2084" t="s">
        <v>7232</v>
      </c>
      <c r="E2084">
        <v>4</v>
      </c>
      <c r="F2084" s="767">
        <v>19062</v>
      </c>
    </row>
    <row r="2085" spans="1:6">
      <c r="A2085" s="143">
        <v>31017</v>
      </c>
      <c r="B2085" t="s">
        <v>3438</v>
      </c>
      <c r="C2085" t="s">
        <v>3450</v>
      </c>
      <c r="D2085" t="s">
        <v>7233</v>
      </c>
      <c r="E2085">
        <v>4</v>
      </c>
      <c r="F2085" s="767">
        <v>23929.1</v>
      </c>
    </row>
    <row r="2086" spans="1:6">
      <c r="A2086" s="143">
        <v>31017</v>
      </c>
      <c r="B2086" t="s">
        <v>3438</v>
      </c>
      <c r="C2086" t="s">
        <v>3450</v>
      </c>
      <c r="D2086" t="s">
        <v>7234</v>
      </c>
      <c r="E2086">
        <v>4</v>
      </c>
      <c r="F2086" s="767">
        <v>245775.53</v>
      </c>
    </row>
    <row r="2087" spans="1:6">
      <c r="A2087" s="143">
        <v>31017</v>
      </c>
      <c r="B2087" t="s">
        <v>3438</v>
      </c>
      <c r="C2087" t="s">
        <v>3450</v>
      </c>
      <c r="D2087" t="s">
        <v>7235</v>
      </c>
      <c r="E2087">
        <v>4</v>
      </c>
      <c r="F2087" s="767">
        <v>23051.1</v>
      </c>
    </row>
    <row r="2088" spans="1:6">
      <c r="A2088" s="143">
        <v>11444</v>
      </c>
      <c r="B2088" t="s">
        <v>3399</v>
      </c>
      <c r="C2088" t="s">
        <v>3460</v>
      </c>
      <c r="D2088" t="s">
        <v>7236</v>
      </c>
      <c r="E2088">
        <v>11</v>
      </c>
      <c r="F2088" s="767">
        <v>1247.51</v>
      </c>
    </row>
    <row r="2089" spans="1:6">
      <c r="A2089" s="143">
        <v>11813</v>
      </c>
      <c r="B2089" t="s">
        <v>3417</v>
      </c>
      <c r="C2089" t="s">
        <v>3709</v>
      </c>
      <c r="D2089" t="s">
        <v>7237</v>
      </c>
      <c r="E2089">
        <v>11</v>
      </c>
      <c r="F2089" s="767">
        <v>10257.19</v>
      </c>
    </row>
    <row r="2090" spans="1:6">
      <c r="A2090" s="143">
        <v>11442</v>
      </c>
      <c r="B2090" t="s">
        <v>4398</v>
      </c>
      <c r="C2090" t="s">
        <v>4861</v>
      </c>
      <c r="D2090" t="s">
        <v>7238</v>
      </c>
      <c r="E2090">
        <v>14</v>
      </c>
      <c r="F2090" s="767">
        <v>29367.62</v>
      </c>
    </row>
    <row r="2091" spans="1:6">
      <c r="A2091" s="143">
        <v>11442</v>
      </c>
      <c r="B2091" t="s">
        <v>4398</v>
      </c>
      <c r="C2091" t="s">
        <v>4861</v>
      </c>
      <c r="D2091" t="s">
        <v>7239</v>
      </c>
      <c r="E2091">
        <v>14</v>
      </c>
      <c r="F2091">
        <v>721.39</v>
      </c>
    </row>
    <row r="2092" spans="1:6">
      <c r="A2092" s="143">
        <v>11444</v>
      </c>
      <c r="B2092" t="s">
        <v>3399</v>
      </c>
      <c r="C2092" t="s">
        <v>3460</v>
      </c>
      <c r="D2092" t="s">
        <v>7240</v>
      </c>
      <c r="E2092">
        <v>14</v>
      </c>
      <c r="F2092" s="767">
        <v>4507.5</v>
      </c>
    </row>
    <row r="2093" spans="1:6">
      <c r="A2093" s="143">
        <v>11444</v>
      </c>
      <c r="B2093" t="s">
        <v>3399</v>
      </c>
      <c r="C2093" t="s">
        <v>3460</v>
      </c>
      <c r="D2093" t="s">
        <v>7241</v>
      </c>
      <c r="E2093">
        <v>14</v>
      </c>
      <c r="F2093" s="767">
        <v>58838.22</v>
      </c>
    </row>
    <row r="2094" spans="1:6">
      <c r="A2094" s="143">
        <v>11444</v>
      </c>
      <c r="B2094" t="s">
        <v>3399</v>
      </c>
      <c r="C2094" t="s">
        <v>3460</v>
      </c>
      <c r="D2094" t="s">
        <v>7242</v>
      </c>
      <c r="E2094">
        <v>14</v>
      </c>
      <c r="F2094" s="767">
        <v>24353.41</v>
      </c>
    </row>
    <row r="2095" spans="1:6">
      <c r="A2095" s="143">
        <v>11444</v>
      </c>
      <c r="B2095" t="s">
        <v>3399</v>
      </c>
      <c r="C2095" t="s">
        <v>3460</v>
      </c>
      <c r="D2095" t="s">
        <v>7243</v>
      </c>
      <c r="E2095">
        <v>14</v>
      </c>
      <c r="F2095" s="767">
        <v>5837.59</v>
      </c>
    </row>
    <row r="2096" spans="1:6">
      <c r="A2096" s="143">
        <v>11444</v>
      </c>
      <c r="B2096" t="s">
        <v>3399</v>
      </c>
      <c r="C2096" t="s">
        <v>3460</v>
      </c>
      <c r="D2096" t="s">
        <v>7244</v>
      </c>
      <c r="E2096">
        <v>14</v>
      </c>
      <c r="F2096" s="767">
        <v>4507.5</v>
      </c>
    </row>
    <row r="2097" spans="1:6">
      <c r="A2097" s="143">
        <v>11444</v>
      </c>
      <c r="B2097" t="s">
        <v>3399</v>
      </c>
      <c r="C2097" t="s">
        <v>3460</v>
      </c>
      <c r="D2097" t="s">
        <v>7245</v>
      </c>
      <c r="E2097">
        <v>14</v>
      </c>
      <c r="F2097" s="767">
        <v>4507.5</v>
      </c>
    </row>
    <row r="2098" spans="1:6">
      <c r="A2098" s="143">
        <v>11444</v>
      </c>
      <c r="B2098" t="s">
        <v>3399</v>
      </c>
      <c r="C2098" t="s">
        <v>3460</v>
      </c>
      <c r="D2098" t="s">
        <v>7246</v>
      </c>
      <c r="E2098">
        <v>14</v>
      </c>
      <c r="F2098" s="767">
        <v>4507.5</v>
      </c>
    </row>
    <row r="2099" spans="1:6">
      <c r="A2099" s="143">
        <v>11444</v>
      </c>
      <c r="B2099" t="s">
        <v>3399</v>
      </c>
      <c r="C2099" t="s">
        <v>3460</v>
      </c>
      <c r="D2099" t="s">
        <v>7247</v>
      </c>
      <c r="E2099">
        <v>14</v>
      </c>
      <c r="F2099" s="767">
        <v>78250.350000000006</v>
      </c>
    </row>
    <row r="2100" spans="1:6">
      <c r="A2100" s="143">
        <v>11689</v>
      </c>
      <c r="B2100" t="s">
        <v>3407</v>
      </c>
      <c r="C2100" t="s">
        <v>3462</v>
      </c>
      <c r="D2100" t="s">
        <v>7248</v>
      </c>
      <c r="E2100">
        <v>14</v>
      </c>
      <c r="F2100" s="767">
        <v>2831.2</v>
      </c>
    </row>
    <row r="2101" spans="1:6">
      <c r="A2101" s="143">
        <v>11444</v>
      </c>
      <c r="B2101" t="s">
        <v>3399</v>
      </c>
      <c r="C2101" t="s">
        <v>3460</v>
      </c>
      <c r="D2101" t="s">
        <v>7249</v>
      </c>
      <c r="E2101">
        <v>18</v>
      </c>
      <c r="F2101" s="767">
        <v>75914.559999999998</v>
      </c>
    </row>
    <row r="2102" spans="1:6">
      <c r="A2102" s="143">
        <v>11473</v>
      </c>
      <c r="B2102" t="s">
        <v>3539</v>
      </c>
      <c r="C2102" t="s">
        <v>3540</v>
      </c>
      <c r="D2102" t="s">
        <v>7250</v>
      </c>
      <c r="E2102">
        <v>18</v>
      </c>
      <c r="F2102" s="767">
        <v>369657.96</v>
      </c>
    </row>
    <row r="2103" spans="1:6">
      <c r="A2103" s="143">
        <v>11952</v>
      </c>
      <c r="B2103" t="s">
        <v>3426</v>
      </c>
      <c r="C2103" t="s">
        <v>3461</v>
      </c>
      <c r="D2103" t="s">
        <v>7251</v>
      </c>
      <c r="E2103">
        <v>18</v>
      </c>
      <c r="F2103" s="767">
        <v>3352.26</v>
      </c>
    </row>
    <row r="2104" spans="1:6">
      <c r="A2104" s="143">
        <v>31024</v>
      </c>
      <c r="B2104" t="s">
        <v>3399</v>
      </c>
      <c r="C2104" t="s">
        <v>3460</v>
      </c>
      <c r="D2104" t="s">
        <v>7252</v>
      </c>
      <c r="E2104">
        <v>18</v>
      </c>
      <c r="F2104" s="767">
        <v>1344.73</v>
      </c>
    </row>
    <row r="2105" spans="1:6">
      <c r="A2105" s="143">
        <v>11724</v>
      </c>
      <c r="B2105" t="s">
        <v>7168</v>
      </c>
      <c r="C2105" t="s">
        <v>7253</v>
      </c>
      <c r="D2105" t="s">
        <v>7254</v>
      </c>
      <c r="E2105">
        <v>23</v>
      </c>
      <c r="F2105" s="767">
        <v>8695.19</v>
      </c>
    </row>
    <row r="2106" spans="1:6">
      <c r="A2106" s="143">
        <v>11724</v>
      </c>
      <c r="B2106" t="s">
        <v>7168</v>
      </c>
      <c r="C2106" t="s">
        <v>7253</v>
      </c>
      <c r="D2106" t="s">
        <v>7255</v>
      </c>
      <c r="E2106">
        <v>23</v>
      </c>
      <c r="F2106" s="767">
        <v>8695.19</v>
      </c>
    </row>
    <row r="2107" spans="1:6">
      <c r="A2107" s="143">
        <v>11724</v>
      </c>
      <c r="B2107" t="s">
        <v>7168</v>
      </c>
      <c r="C2107" t="s">
        <v>7253</v>
      </c>
      <c r="D2107" t="s">
        <v>7256</v>
      </c>
      <c r="E2107">
        <v>23</v>
      </c>
      <c r="F2107" s="767">
        <v>8695.19</v>
      </c>
    </row>
    <row r="2108" spans="1:6">
      <c r="A2108" s="143">
        <v>11724</v>
      </c>
      <c r="B2108" t="s">
        <v>7168</v>
      </c>
      <c r="C2108" t="s">
        <v>7253</v>
      </c>
      <c r="D2108" t="s">
        <v>7257</v>
      </c>
      <c r="E2108">
        <v>23</v>
      </c>
      <c r="F2108" s="767">
        <v>8695.19</v>
      </c>
    </row>
    <row r="2109" spans="1:6">
      <c r="A2109" s="143">
        <v>11413</v>
      </c>
      <c r="B2109" t="s">
        <v>3396</v>
      </c>
      <c r="C2109" t="s">
        <v>3490</v>
      </c>
      <c r="D2109" t="s">
        <v>7258</v>
      </c>
      <c r="E2109">
        <v>24</v>
      </c>
      <c r="F2109" s="767">
        <v>10959.27</v>
      </c>
    </row>
    <row r="2110" spans="1:6">
      <c r="A2110" s="143">
        <v>11604</v>
      </c>
      <c r="B2110" t="s">
        <v>3497</v>
      </c>
      <c r="C2110" t="s">
        <v>3498</v>
      </c>
      <c r="D2110" t="s">
        <v>7259</v>
      </c>
      <c r="E2110">
        <v>24</v>
      </c>
      <c r="F2110" s="767">
        <v>1504.62</v>
      </c>
    </row>
    <row r="2111" spans="1:6">
      <c r="A2111" s="143">
        <v>11604</v>
      </c>
      <c r="B2111" t="s">
        <v>3497</v>
      </c>
      <c r="C2111" t="s">
        <v>3498</v>
      </c>
      <c r="D2111" t="s">
        <v>7260</v>
      </c>
      <c r="E2111">
        <v>24</v>
      </c>
      <c r="F2111" s="767">
        <v>2858.69</v>
      </c>
    </row>
    <row r="2112" spans="1:6">
      <c r="A2112" s="143">
        <v>11626</v>
      </c>
      <c r="B2112" t="s">
        <v>3469</v>
      </c>
      <c r="C2112" t="s">
        <v>3470</v>
      </c>
      <c r="D2112" t="s">
        <v>7261</v>
      </c>
      <c r="E2112">
        <v>24</v>
      </c>
      <c r="F2112" s="767">
        <v>2919.88</v>
      </c>
    </row>
    <row r="2113" spans="1:6">
      <c r="A2113" s="143">
        <v>11724</v>
      </c>
      <c r="B2113" t="s">
        <v>7168</v>
      </c>
      <c r="C2113" t="s">
        <v>7253</v>
      </c>
      <c r="D2113" t="s">
        <v>7262</v>
      </c>
      <c r="E2113">
        <v>24</v>
      </c>
      <c r="F2113" s="767">
        <v>17804.439999999999</v>
      </c>
    </row>
    <row r="2114" spans="1:6">
      <c r="A2114" s="143">
        <v>11724</v>
      </c>
      <c r="B2114" t="s">
        <v>7168</v>
      </c>
      <c r="C2114" t="s">
        <v>7253</v>
      </c>
      <c r="D2114" t="s">
        <v>7263</v>
      </c>
      <c r="E2114">
        <v>24</v>
      </c>
      <c r="F2114" s="767">
        <v>17804.439999999999</v>
      </c>
    </row>
    <row r="2115" spans="1:6">
      <c r="A2115" s="143">
        <v>11724</v>
      </c>
      <c r="B2115" t="s">
        <v>7168</v>
      </c>
      <c r="C2115" t="s">
        <v>7253</v>
      </c>
      <c r="D2115" t="s">
        <v>7264</v>
      </c>
      <c r="E2115">
        <v>24</v>
      </c>
      <c r="F2115" s="767">
        <v>17804.439999999999</v>
      </c>
    </row>
    <row r="2116" spans="1:6">
      <c r="A2116" s="143">
        <v>11724</v>
      </c>
      <c r="B2116" t="s">
        <v>7168</v>
      </c>
      <c r="C2116" t="s">
        <v>7253</v>
      </c>
      <c r="D2116" t="s">
        <v>7265</v>
      </c>
      <c r="E2116">
        <v>24</v>
      </c>
      <c r="F2116" s="767">
        <v>17804.439999999999</v>
      </c>
    </row>
    <row r="2117" spans="1:6">
      <c r="A2117" s="143">
        <v>11832</v>
      </c>
      <c r="B2117" t="s">
        <v>3431</v>
      </c>
      <c r="C2117" t="s">
        <v>3453</v>
      </c>
      <c r="D2117" t="s">
        <v>7266</v>
      </c>
      <c r="E2117">
        <v>24</v>
      </c>
      <c r="F2117" s="767">
        <v>70464.08</v>
      </c>
    </row>
    <row r="2118" spans="1:6">
      <c r="A2118" s="143">
        <v>11946</v>
      </c>
      <c r="B2118" t="s">
        <v>3425</v>
      </c>
      <c r="C2118" t="s">
        <v>3515</v>
      </c>
      <c r="D2118" t="s">
        <v>7267</v>
      </c>
      <c r="E2118">
        <v>24</v>
      </c>
      <c r="F2118">
        <v>716.66</v>
      </c>
    </row>
    <row r="2119" spans="1:6">
      <c r="A2119" s="143">
        <v>11981</v>
      </c>
      <c r="B2119" t="s">
        <v>5466</v>
      </c>
      <c r="C2119" t="s">
        <v>5497</v>
      </c>
      <c r="D2119" t="s">
        <v>7268</v>
      </c>
      <c r="E2119">
        <v>24</v>
      </c>
      <c r="F2119" s="767">
        <v>1153.8599999999999</v>
      </c>
    </row>
    <row r="2120" spans="1:6">
      <c r="A2120" s="143">
        <v>11992</v>
      </c>
      <c r="B2120" t="s">
        <v>3161</v>
      </c>
      <c r="C2120" t="s">
        <v>5501</v>
      </c>
      <c r="D2120" t="s">
        <v>7269</v>
      </c>
      <c r="E2120">
        <v>24</v>
      </c>
      <c r="F2120" s="767">
        <v>5910.07</v>
      </c>
    </row>
    <row r="2121" spans="1:6">
      <c r="A2121" s="143">
        <v>12013</v>
      </c>
      <c r="B2121" t="s">
        <v>3252</v>
      </c>
      <c r="C2121" t="s">
        <v>5906</v>
      </c>
      <c r="D2121" t="s">
        <v>7270</v>
      </c>
      <c r="E2121">
        <v>24</v>
      </c>
      <c r="F2121">
        <v>137.43</v>
      </c>
    </row>
    <row r="2122" spans="1:6">
      <c r="A2122" s="143">
        <v>12036</v>
      </c>
      <c r="B2122" t="s">
        <v>2113</v>
      </c>
      <c r="C2122" t="s">
        <v>3484</v>
      </c>
      <c r="D2122" t="s">
        <v>7271</v>
      </c>
      <c r="E2122">
        <v>24</v>
      </c>
      <c r="F2122" s="767">
        <v>21741.91</v>
      </c>
    </row>
    <row r="2123" spans="1:6">
      <c r="A2123" s="143">
        <v>12041</v>
      </c>
      <c r="B2123" t="s">
        <v>6142</v>
      </c>
      <c r="C2123" t="s">
        <v>6143</v>
      </c>
      <c r="D2123" t="s">
        <v>7272</v>
      </c>
      <c r="E2123">
        <v>24</v>
      </c>
      <c r="F2123">
        <v>734.08</v>
      </c>
    </row>
    <row r="2124" spans="1:6">
      <c r="A2124" s="143">
        <v>12046</v>
      </c>
      <c r="B2124" t="s">
        <v>5444</v>
      </c>
      <c r="C2124" t="s">
        <v>5569</v>
      </c>
      <c r="D2124" t="s">
        <v>7273</v>
      </c>
      <c r="E2124">
        <v>24</v>
      </c>
      <c r="F2124">
        <v>699.6</v>
      </c>
    </row>
    <row r="2125" spans="1:6">
      <c r="A2125" s="143">
        <v>12048</v>
      </c>
      <c r="B2125" t="s">
        <v>5446</v>
      </c>
      <c r="C2125" t="s">
        <v>5480</v>
      </c>
      <c r="D2125" t="s">
        <v>7274</v>
      </c>
      <c r="E2125">
        <v>24</v>
      </c>
      <c r="F2125" s="767">
        <v>1309.58</v>
      </c>
    </row>
    <row r="2126" spans="1:6">
      <c r="A2126" s="143">
        <v>12057</v>
      </c>
      <c r="B2126" t="s">
        <v>5969</v>
      </c>
      <c r="C2126" t="s">
        <v>6165</v>
      </c>
      <c r="D2126" t="s">
        <v>7275</v>
      </c>
      <c r="E2126">
        <v>24</v>
      </c>
      <c r="F2126">
        <v>122.1</v>
      </c>
    </row>
    <row r="2127" spans="1:6">
      <c r="A2127" s="143">
        <v>12060</v>
      </c>
      <c r="B2127" t="s">
        <v>5875</v>
      </c>
      <c r="C2127" t="s">
        <v>5879</v>
      </c>
      <c r="D2127" t="s">
        <v>7276</v>
      </c>
      <c r="E2127">
        <v>24</v>
      </c>
      <c r="F2127">
        <v>478.83</v>
      </c>
    </row>
    <row r="2128" spans="1:6">
      <c r="A2128" s="143">
        <v>12062</v>
      </c>
      <c r="B2128" t="s">
        <v>6382</v>
      </c>
      <c r="C2128" t="s">
        <v>6409</v>
      </c>
      <c r="D2128" t="s">
        <v>7277</v>
      </c>
      <c r="E2128">
        <v>24</v>
      </c>
      <c r="F2128" s="767">
        <v>1055.23</v>
      </c>
    </row>
    <row r="2129" spans="1:6">
      <c r="A2129" s="143">
        <v>12068</v>
      </c>
      <c r="B2129" t="s">
        <v>6215</v>
      </c>
      <c r="C2129" t="s">
        <v>6405</v>
      </c>
      <c r="D2129" t="s">
        <v>7278</v>
      </c>
      <c r="E2129">
        <v>24</v>
      </c>
      <c r="F2129" s="767">
        <v>11518.96</v>
      </c>
    </row>
    <row r="2130" spans="1:6">
      <c r="A2130" s="143">
        <v>12072</v>
      </c>
      <c r="B2130" t="s">
        <v>6499</v>
      </c>
      <c r="C2130" t="s">
        <v>6646</v>
      </c>
      <c r="D2130" t="s">
        <v>7279</v>
      </c>
      <c r="E2130">
        <v>24</v>
      </c>
      <c r="F2130">
        <v>225.15</v>
      </c>
    </row>
    <row r="2131" spans="1:6">
      <c r="A2131" s="143">
        <v>12072</v>
      </c>
      <c r="B2131" t="s">
        <v>6499</v>
      </c>
      <c r="C2131" t="s">
        <v>6646</v>
      </c>
      <c r="D2131" t="s">
        <v>7280</v>
      </c>
      <c r="E2131">
        <v>24</v>
      </c>
      <c r="F2131">
        <v>141.91999999999999</v>
      </c>
    </row>
    <row r="2132" spans="1:6">
      <c r="A2132" s="143">
        <v>21012</v>
      </c>
      <c r="B2132" t="s">
        <v>6110</v>
      </c>
      <c r="C2132" t="s">
        <v>6188</v>
      </c>
      <c r="D2132" t="s">
        <v>7281</v>
      </c>
      <c r="E2132">
        <v>24</v>
      </c>
      <c r="F2132" s="767">
        <v>1273.5</v>
      </c>
    </row>
    <row r="2133" spans="1:6">
      <c r="A2133" s="143">
        <v>21090</v>
      </c>
      <c r="B2133" t="s">
        <v>1195</v>
      </c>
      <c r="C2133" t="s">
        <v>3475</v>
      </c>
      <c r="D2133" t="s">
        <v>7282</v>
      </c>
      <c r="E2133">
        <v>24</v>
      </c>
      <c r="F2133" s="767">
        <v>5319.41</v>
      </c>
    </row>
    <row r="2134" spans="1:6">
      <c r="A2134" s="143">
        <v>21095</v>
      </c>
      <c r="B2134" t="s">
        <v>3112</v>
      </c>
      <c r="C2134" t="s">
        <v>3522</v>
      </c>
      <c r="D2134" t="s">
        <v>7283</v>
      </c>
      <c r="E2134">
        <v>24</v>
      </c>
      <c r="F2134" s="767">
        <v>1468.02</v>
      </c>
    </row>
    <row r="2135" spans="1:6">
      <c r="A2135" s="143">
        <v>31013</v>
      </c>
      <c r="B2135" t="s">
        <v>7284</v>
      </c>
      <c r="C2135" t="s">
        <v>7285</v>
      </c>
      <c r="D2135" t="s">
        <v>7286</v>
      </c>
      <c r="E2135">
        <v>24</v>
      </c>
      <c r="F2135" s="767">
        <v>7222.24</v>
      </c>
    </row>
    <row r="2136" spans="1:6">
      <c r="A2136" s="143">
        <v>11413</v>
      </c>
      <c r="B2136" t="s">
        <v>3396</v>
      </c>
      <c r="C2136" t="s">
        <v>3490</v>
      </c>
      <c r="D2136" t="s">
        <v>7287</v>
      </c>
      <c r="E2136">
        <v>25</v>
      </c>
      <c r="F2136" s="767">
        <v>6900.94</v>
      </c>
    </row>
    <row r="2137" spans="1:6">
      <c r="A2137" s="143">
        <v>11418</v>
      </c>
      <c r="B2137" t="s">
        <v>6106</v>
      </c>
      <c r="C2137" t="s">
        <v>6146</v>
      </c>
      <c r="D2137" t="s">
        <v>7288</v>
      </c>
      <c r="E2137">
        <v>25</v>
      </c>
      <c r="F2137" s="767">
        <v>12742.81</v>
      </c>
    </row>
    <row r="2138" spans="1:6">
      <c r="A2138" s="143">
        <v>11721</v>
      </c>
      <c r="B2138" t="s">
        <v>3433</v>
      </c>
      <c r="C2138" t="s">
        <v>3477</v>
      </c>
      <c r="D2138" t="s">
        <v>7289</v>
      </c>
      <c r="E2138">
        <v>25</v>
      </c>
      <c r="F2138" s="767">
        <v>27603.78</v>
      </c>
    </row>
    <row r="2139" spans="1:6">
      <c r="A2139" s="143">
        <v>11723</v>
      </c>
      <c r="B2139" t="s">
        <v>2849</v>
      </c>
      <c r="C2139" t="s">
        <v>3478</v>
      </c>
      <c r="D2139" t="s">
        <v>7290</v>
      </c>
      <c r="E2139">
        <v>25</v>
      </c>
      <c r="F2139" s="767">
        <v>4945.68</v>
      </c>
    </row>
    <row r="2140" spans="1:6">
      <c r="A2140" s="143">
        <v>51028</v>
      </c>
      <c r="B2140" t="s">
        <v>6771</v>
      </c>
      <c r="C2140" t="s">
        <v>7291</v>
      </c>
      <c r="D2140" t="s">
        <v>7292</v>
      </c>
      <c r="E2140">
        <v>25</v>
      </c>
      <c r="F2140" s="767">
        <v>2581.92</v>
      </c>
    </row>
    <row r="2141" spans="1:6">
      <c r="A2141" s="143">
        <v>51028</v>
      </c>
      <c r="B2141" t="s">
        <v>6771</v>
      </c>
      <c r="C2141" t="s">
        <v>7291</v>
      </c>
      <c r="D2141" t="s">
        <v>7293</v>
      </c>
      <c r="E2141">
        <v>25</v>
      </c>
      <c r="F2141" s="767">
        <v>1822.1</v>
      </c>
    </row>
    <row r="2142" spans="1:6">
      <c r="A2142" s="143">
        <v>51029</v>
      </c>
      <c r="B2142" t="s">
        <v>6773</v>
      </c>
      <c r="C2142" t="s">
        <v>7294</v>
      </c>
      <c r="D2142" t="s">
        <v>7295</v>
      </c>
      <c r="E2142">
        <v>25</v>
      </c>
      <c r="F2142" s="767">
        <v>1822.1</v>
      </c>
    </row>
    <row r="2143" spans="1:6">
      <c r="A2143" s="143">
        <v>51029</v>
      </c>
      <c r="B2143" t="s">
        <v>6773</v>
      </c>
      <c r="C2143" t="s">
        <v>7294</v>
      </c>
      <c r="D2143" t="s">
        <v>7296</v>
      </c>
      <c r="E2143">
        <v>25</v>
      </c>
      <c r="F2143" s="767">
        <v>2581.92</v>
      </c>
    </row>
    <row r="2144" spans="1:6">
      <c r="A2144" s="143">
        <v>11002</v>
      </c>
      <c r="B2144" t="s">
        <v>1127</v>
      </c>
      <c r="C2144" t="s">
        <v>3528</v>
      </c>
      <c r="D2144" t="s">
        <v>7297</v>
      </c>
      <c r="E2144">
        <v>29</v>
      </c>
      <c r="F2144" s="767">
        <v>141861.54</v>
      </c>
    </row>
    <row r="2145" spans="1:6">
      <c r="A2145" s="143">
        <v>11053</v>
      </c>
      <c r="B2145" t="s">
        <v>3380</v>
      </c>
      <c r="C2145" t="s">
        <v>3485</v>
      </c>
      <c r="D2145" t="s">
        <v>7298</v>
      </c>
      <c r="E2145">
        <v>29</v>
      </c>
      <c r="F2145" s="767">
        <v>11529.61</v>
      </c>
    </row>
    <row r="2146" spans="1:6">
      <c r="A2146" s="143">
        <v>11053</v>
      </c>
      <c r="B2146" t="s">
        <v>3380</v>
      </c>
      <c r="C2146" t="s">
        <v>3485</v>
      </c>
      <c r="D2146" t="s">
        <v>7299</v>
      </c>
      <c r="E2146">
        <v>29</v>
      </c>
      <c r="F2146" s="767">
        <v>1073.31</v>
      </c>
    </row>
    <row r="2147" spans="1:6">
      <c r="A2147" s="143">
        <v>11060</v>
      </c>
      <c r="B2147" t="s">
        <v>6524</v>
      </c>
      <c r="C2147" t="s">
        <v>6683</v>
      </c>
      <c r="D2147" t="s">
        <v>7300</v>
      </c>
      <c r="E2147">
        <v>29</v>
      </c>
      <c r="F2147" s="767">
        <v>7092.98</v>
      </c>
    </row>
    <row r="2148" spans="1:6">
      <c r="A2148" s="143">
        <v>11075</v>
      </c>
      <c r="B2148" t="s">
        <v>3381</v>
      </c>
      <c r="C2148" t="s">
        <v>3486</v>
      </c>
      <c r="D2148" t="s">
        <v>7301</v>
      </c>
      <c r="E2148">
        <v>29</v>
      </c>
      <c r="F2148" s="767">
        <v>1759.19</v>
      </c>
    </row>
    <row r="2149" spans="1:6">
      <c r="A2149" s="143">
        <v>11076</v>
      </c>
      <c r="B2149" t="s">
        <v>5385</v>
      </c>
      <c r="C2149" t="s">
        <v>5435</v>
      </c>
      <c r="D2149" t="s">
        <v>7302</v>
      </c>
      <c r="E2149">
        <v>29</v>
      </c>
      <c r="F2149" s="767">
        <v>6062.41</v>
      </c>
    </row>
    <row r="2150" spans="1:6">
      <c r="A2150" s="143">
        <v>11092</v>
      </c>
      <c r="B2150" t="s">
        <v>6053</v>
      </c>
      <c r="C2150" t="s">
        <v>6169</v>
      </c>
      <c r="D2150" t="s">
        <v>7303</v>
      </c>
      <c r="E2150">
        <v>29</v>
      </c>
      <c r="F2150" s="767">
        <v>12794.82</v>
      </c>
    </row>
    <row r="2151" spans="1:6">
      <c r="A2151" s="143">
        <v>11092</v>
      </c>
      <c r="B2151" t="s">
        <v>6053</v>
      </c>
      <c r="C2151" t="s">
        <v>6169</v>
      </c>
      <c r="D2151" t="s">
        <v>7304</v>
      </c>
      <c r="E2151">
        <v>29</v>
      </c>
      <c r="F2151" s="767">
        <v>2020.06</v>
      </c>
    </row>
    <row r="2152" spans="1:6">
      <c r="A2152" s="143">
        <v>11123</v>
      </c>
      <c r="B2152" t="s">
        <v>3385</v>
      </c>
      <c r="C2152" t="s">
        <v>3532</v>
      </c>
      <c r="D2152" t="s">
        <v>7305</v>
      </c>
      <c r="E2152">
        <v>29</v>
      </c>
      <c r="F2152" s="767">
        <v>2145.09</v>
      </c>
    </row>
    <row r="2153" spans="1:6">
      <c r="A2153" s="143">
        <v>11123</v>
      </c>
      <c r="B2153" t="s">
        <v>3385</v>
      </c>
      <c r="C2153" t="s">
        <v>3532</v>
      </c>
      <c r="D2153" t="s">
        <v>7306</v>
      </c>
      <c r="E2153">
        <v>29</v>
      </c>
      <c r="F2153">
        <v>302.36</v>
      </c>
    </row>
    <row r="2154" spans="1:6">
      <c r="A2154" s="143">
        <v>11123</v>
      </c>
      <c r="B2154" t="s">
        <v>3385</v>
      </c>
      <c r="C2154" t="s">
        <v>3532</v>
      </c>
      <c r="D2154" t="s">
        <v>7307</v>
      </c>
      <c r="E2154">
        <v>29</v>
      </c>
      <c r="F2154" s="767">
        <v>2557.21</v>
      </c>
    </row>
    <row r="2155" spans="1:6">
      <c r="A2155" s="143">
        <v>11123</v>
      </c>
      <c r="B2155" t="s">
        <v>3385</v>
      </c>
      <c r="C2155" t="s">
        <v>3532</v>
      </c>
      <c r="D2155" t="s">
        <v>7308</v>
      </c>
      <c r="E2155">
        <v>29</v>
      </c>
      <c r="F2155">
        <v>329.84</v>
      </c>
    </row>
    <row r="2156" spans="1:6">
      <c r="A2156" s="143">
        <v>11123</v>
      </c>
      <c r="B2156" t="s">
        <v>3385</v>
      </c>
      <c r="C2156" t="s">
        <v>3532</v>
      </c>
      <c r="D2156" t="s">
        <v>7309</v>
      </c>
      <c r="E2156">
        <v>29</v>
      </c>
      <c r="F2156">
        <v>494.77</v>
      </c>
    </row>
    <row r="2157" spans="1:6">
      <c r="A2157" s="143">
        <v>11123</v>
      </c>
      <c r="B2157" t="s">
        <v>3385</v>
      </c>
      <c r="C2157" t="s">
        <v>3532</v>
      </c>
      <c r="D2157" t="s">
        <v>7310</v>
      </c>
      <c r="E2157">
        <v>29</v>
      </c>
      <c r="F2157" s="767">
        <v>2781.24</v>
      </c>
    </row>
    <row r="2158" spans="1:6">
      <c r="A2158" s="143">
        <v>11123</v>
      </c>
      <c r="B2158" t="s">
        <v>3385</v>
      </c>
      <c r="C2158" t="s">
        <v>3532</v>
      </c>
      <c r="D2158" t="s">
        <v>7311</v>
      </c>
      <c r="E2158">
        <v>29</v>
      </c>
      <c r="F2158">
        <v>563.64</v>
      </c>
    </row>
    <row r="2159" spans="1:6">
      <c r="A2159" s="143">
        <v>11232</v>
      </c>
      <c r="B2159" t="s">
        <v>3388</v>
      </c>
      <c r="C2159" t="s">
        <v>3533</v>
      </c>
      <c r="D2159" t="s">
        <v>7312</v>
      </c>
      <c r="E2159">
        <v>29</v>
      </c>
      <c r="F2159" s="767">
        <v>1621.76</v>
      </c>
    </row>
    <row r="2160" spans="1:6">
      <c r="A2160" s="143">
        <v>11250</v>
      </c>
      <c r="B2160" t="s">
        <v>6983</v>
      </c>
      <c r="C2160" t="s">
        <v>7313</v>
      </c>
      <c r="D2160" t="s">
        <v>7314</v>
      </c>
      <c r="E2160">
        <v>29</v>
      </c>
      <c r="F2160" s="767">
        <v>24312.07</v>
      </c>
    </row>
    <row r="2161" spans="1:6">
      <c r="A2161" s="143">
        <v>11312</v>
      </c>
      <c r="B2161" t="s">
        <v>3390</v>
      </c>
      <c r="C2161" t="s">
        <v>3535</v>
      </c>
      <c r="D2161" t="s">
        <v>7315</v>
      </c>
      <c r="E2161">
        <v>29</v>
      </c>
      <c r="F2161" s="767">
        <v>108728.29</v>
      </c>
    </row>
    <row r="2162" spans="1:6">
      <c r="A2162" s="143">
        <v>11312</v>
      </c>
      <c r="B2162" t="s">
        <v>3390</v>
      </c>
      <c r="C2162" t="s">
        <v>3535</v>
      </c>
      <c r="D2162" t="s">
        <v>7316</v>
      </c>
      <c r="E2162">
        <v>29</v>
      </c>
      <c r="F2162" s="767">
        <v>14458.35</v>
      </c>
    </row>
    <row r="2163" spans="1:6">
      <c r="A2163" s="143">
        <v>11320</v>
      </c>
      <c r="B2163" t="s">
        <v>3388</v>
      </c>
      <c r="C2163" t="s">
        <v>3533</v>
      </c>
      <c r="D2163" t="s">
        <v>7317</v>
      </c>
      <c r="E2163">
        <v>29</v>
      </c>
      <c r="F2163" s="767">
        <v>11049.72</v>
      </c>
    </row>
    <row r="2164" spans="1:6">
      <c r="A2164" s="143">
        <v>11353</v>
      </c>
      <c r="B2164" t="s">
        <v>7318</v>
      </c>
      <c r="C2164" t="s">
        <v>7319</v>
      </c>
      <c r="D2164" t="s">
        <v>7320</v>
      </c>
      <c r="E2164">
        <v>29</v>
      </c>
      <c r="F2164" s="767">
        <v>4799.97</v>
      </c>
    </row>
    <row r="2165" spans="1:6">
      <c r="A2165" s="143">
        <v>11367</v>
      </c>
      <c r="B2165" t="s">
        <v>4185</v>
      </c>
      <c r="C2165" t="s">
        <v>4186</v>
      </c>
      <c r="D2165" t="s">
        <v>7321</v>
      </c>
      <c r="E2165">
        <v>29</v>
      </c>
      <c r="F2165" s="767">
        <v>3893.01</v>
      </c>
    </row>
    <row r="2166" spans="1:6">
      <c r="A2166" s="143">
        <v>11370</v>
      </c>
      <c r="B2166" t="s">
        <v>3394</v>
      </c>
      <c r="C2166" t="s">
        <v>3634</v>
      </c>
      <c r="D2166" t="s">
        <v>7322</v>
      </c>
      <c r="E2166">
        <v>29</v>
      </c>
      <c r="F2166">
        <v>410.7</v>
      </c>
    </row>
    <row r="2167" spans="1:6">
      <c r="A2167" s="143">
        <v>11404</v>
      </c>
      <c r="B2167" t="s">
        <v>3395</v>
      </c>
      <c r="C2167" t="s">
        <v>3533</v>
      </c>
      <c r="D2167" t="s">
        <v>7323</v>
      </c>
      <c r="E2167">
        <v>29</v>
      </c>
      <c r="F2167">
        <v>797.13</v>
      </c>
    </row>
    <row r="2168" spans="1:6">
      <c r="A2168" s="143">
        <v>11423</v>
      </c>
      <c r="B2168" t="s">
        <v>3397</v>
      </c>
      <c r="C2168" t="s">
        <v>3537</v>
      </c>
      <c r="D2168" t="s">
        <v>7324</v>
      </c>
      <c r="E2168">
        <v>29</v>
      </c>
      <c r="F2168" s="767">
        <v>18150.39</v>
      </c>
    </row>
    <row r="2169" spans="1:6">
      <c r="A2169" s="143">
        <v>11432</v>
      </c>
      <c r="B2169" t="s">
        <v>5436</v>
      </c>
      <c r="C2169" t="s">
        <v>5437</v>
      </c>
      <c r="D2169" t="s">
        <v>7325</v>
      </c>
      <c r="E2169">
        <v>29</v>
      </c>
      <c r="F2169" s="767">
        <v>4645.3599999999997</v>
      </c>
    </row>
    <row r="2170" spans="1:6">
      <c r="A2170" s="143">
        <v>11432</v>
      </c>
      <c r="B2170" t="s">
        <v>5436</v>
      </c>
      <c r="C2170" t="s">
        <v>5437</v>
      </c>
      <c r="D2170" t="s">
        <v>7326</v>
      </c>
      <c r="E2170">
        <v>29</v>
      </c>
      <c r="F2170" s="767">
        <v>288407.34000000003</v>
      </c>
    </row>
    <row r="2171" spans="1:6">
      <c r="A2171" s="143">
        <v>11432</v>
      </c>
      <c r="B2171" t="s">
        <v>5436</v>
      </c>
      <c r="C2171" t="s">
        <v>5437</v>
      </c>
      <c r="D2171" t="s">
        <v>7327</v>
      </c>
      <c r="E2171">
        <v>29</v>
      </c>
      <c r="F2171" s="767">
        <v>14277.86</v>
      </c>
    </row>
    <row r="2172" spans="1:6">
      <c r="A2172" s="143">
        <v>11432</v>
      </c>
      <c r="B2172" t="s">
        <v>5436</v>
      </c>
      <c r="C2172" t="s">
        <v>5437</v>
      </c>
      <c r="D2172" t="s">
        <v>7328</v>
      </c>
      <c r="E2172">
        <v>29</v>
      </c>
      <c r="F2172" s="767">
        <v>8888.58</v>
      </c>
    </row>
    <row r="2173" spans="1:6">
      <c r="A2173" s="143">
        <v>11434</v>
      </c>
      <c r="B2173" t="s">
        <v>1040</v>
      </c>
      <c r="C2173" t="s">
        <v>7329</v>
      </c>
      <c r="D2173" t="s">
        <v>7330</v>
      </c>
      <c r="E2173">
        <v>29</v>
      </c>
      <c r="F2173" s="767">
        <v>2211.9899999999998</v>
      </c>
    </row>
    <row r="2174" spans="1:6">
      <c r="A2174" s="143">
        <v>11435</v>
      </c>
      <c r="B2174" t="s">
        <v>6174</v>
      </c>
      <c r="C2174" t="s">
        <v>6175</v>
      </c>
      <c r="D2174" t="s">
        <v>7331</v>
      </c>
      <c r="E2174">
        <v>29</v>
      </c>
      <c r="F2174" s="767">
        <v>2936.87</v>
      </c>
    </row>
    <row r="2175" spans="1:6">
      <c r="A2175" s="143">
        <v>11438</v>
      </c>
      <c r="B2175" t="s">
        <v>3398</v>
      </c>
      <c r="C2175" t="s">
        <v>3491</v>
      </c>
      <c r="D2175" t="s">
        <v>7332</v>
      </c>
      <c r="E2175">
        <v>29</v>
      </c>
      <c r="F2175" s="767">
        <v>4591.97</v>
      </c>
    </row>
    <row r="2176" spans="1:6">
      <c r="A2176" s="143">
        <v>11439</v>
      </c>
      <c r="B2176" t="s">
        <v>1026</v>
      </c>
      <c r="C2176" t="s">
        <v>3492</v>
      </c>
      <c r="D2176" t="s">
        <v>7333</v>
      </c>
      <c r="E2176">
        <v>29</v>
      </c>
      <c r="F2176" s="767">
        <v>1594.26</v>
      </c>
    </row>
    <row r="2177" spans="1:6">
      <c r="A2177" s="143">
        <v>11441</v>
      </c>
      <c r="B2177" t="s">
        <v>3447</v>
      </c>
      <c r="C2177" t="s">
        <v>3448</v>
      </c>
      <c r="D2177" t="s">
        <v>7334</v>
      </c>
      <c r="E2177">
        <v>29</v>
      </c>
      <c r="F2177">
        <v>372</v>
      </c>
    </row>
    <row r="2178" spans="1:6">
      <c r="A2178" s="143">
        <v>11451</v>
      </c>
      <c r="B2178" t="s">
        <v>5530</v>
      </c>
      <c r="C2178" t="s">
        <v>5575</v>
      </c>
      <c r="D2178" t="s">
        <v>7335</v>
      </c>
      <c r="E2178">
        <v>29</v>
      </c>
      <c r="F2178" s="767">
        <v>133306.47</v>
      </c>
    </row>
    <row r="2179" spans="1:6">
      <c r="A2179" s="143">
        <v>11480</v>
      </c>
      <c r="B2179" t="s">
        <v>3403</v>
      </c>
      <c r="C2179" t="s">
        <v>3494</v>
      </c>
      <c r="D2179" t="s">
        <v>7336</v>
      </c>
      <c r="E2179">
        <v>29</v>
      </c>
      <c r="F2179">
        <v>867.26</v>
      </c>
    </row>
    <row r="2180" spans="1:6">
      <c r="A2180" s="143">
        <v>11505</v>
      </c>
      <c r="B2180" t="s">
        <v>3495</v>
      </c>
      <c r="C2180" t="s">
        <v>3496</v>
      </c>
      <c r="D2180" t="s">
        <v>7337</v>
      </c>
      <c r="E2180">
        <v>29</v>
      </c>
      <c r="F2180" s="767">
        <v>13452.08</v>
      </c>
    </row>
    <row r="2181" spans="1:6">
      <c r="A2181" s="143">
        <v>11541</v>
      </c>
      <c r="B2181" t="s">
        <v>3404</v>
      </c>
      <c r="C2181" t="s">
        <v>3541</v>
      </c>
      <c r="D2181" t="s">
        <v>7338</v>
      </c>
      <c r="E2181">
        <v>29</v>
      </c>
      <c r="F2181" s="767">
        <v>23926.35</v>
      </c>
    </row>
    <row r="2182" spans="1:6">
      <c r="A2182" s="143">
        <v>11546</v>
      </c>
      <c r="B2182" t="s">
        <v>6484</v>
      </c>
      <c r="C2182" t="s">
        <v>6485</v>
      </c>
      <c r="D2182" t="s">
        <v>7339</v>
      </c>
      <c r="E2182">
        <v>29</v>
      </c>
      <c r="F2182" s="767">
        <v>11153.52</v>
      </c>
    </row>
    <row r="2183" spans="1:6">
      <c r="A2183" s="143">
        <v>11552</v>
      </c>
      <c r="B2183" t="s">
        <v>6702</v>
      </c>
      <c r="C2183" t="s">
        <v>6703</v>
      </c>
      <c r="D2183" t="s">
        <v>7340</v>
      </c>
      <c r="E2183">
        <v>29</v>
      </c>
      <c r="F2183" s="767">
        <v>5057.66</v>
      </c>
    </row>
    <row r="2184" spans="1:6">
      <c r="A2184" s="143">
        <v>11552</v>
      </c>
      <c r="B2184" t="s">
        <v>6702</v>
      </c>
      <c r="C2184" t="s">
        <v>6703</v>
      </c>
      <c r="D2184" t="s">
        <v>7341</v>
      </c>
      <c r="E2184">
        <v>29</v>
      </c>
      <c r="F2184" s="767">
        <v>33205.67</v>
      </c>
    </row>
    <row r="2185" spans="1:6">
      <c r="A2185" s="143">
        <v>11561</v>
      </c>
      <c r="B2185" t="s">
        <v>6342</v>
      </c>
      <c r="C2185" t="s">
        <v>6447</v>
      </c>
      <c r="D2185" t="s">
        <v>7342</v>
      </c>
      <c r="E2185">
        <v>29</v>
      </c>
      <c r="F2185" s="767">
        <v>42671.03</v>
      </c>
    </row>
    <row r="2186" spans="1:6">
      <c r="A2186" s="143">
        <v>11561</v>
      </c>
      <c r="B2186" t="s">
        <v>6342</v>
      </c>
      <c r="C2186" t="s">
        <v>6447</v>
      </c>
      <c r="D2186" t="s">
        <v>7343</v>
      </c>
      <c r="E2186">
        <v>29</v>
      </c>
      <c r="F2186" s="767">
        <v>2128.38</v>
      </c>
    </row>
    <row r="2187" spans="1:6">
      <c r="A2187" s="143">
        <v>11561</v>
      </c>
      <c r="B2187" t="s">
        <v>6342</v>
      </c>
      <c r="C2187" t="s">
        <v>6447</v>
      </c>
      <c r="D2187" t="s">
        <v>7344</v>
      </c>
      <c r="E2187">
        <v>29</v>
      </c>
      <c r="F2187" s="767">
        <v>1142.6099999999999</v>
      </c>
    </row>
    <row r="2188" spans="1:6">
      <c r="A2188" s="143">
        <v>11561</v>
      </c>
      <c r="B2188" t="s">
        <v>6342</v>
      </c>
      <c r="C2188" t="s">
        <v>6447</v>
      </c>
      <c r="D2188" t="s">
        <v>7345</v>
      </c>
      <c r="E2188">
        <v>29</v>
      </c>
      <c r="F2188" s="767">
        <v>2986.89</v>
      </c>
    </row>
    <row r="2189" spans="1:6">
      <c r="A2189" s="143">
        <v>11561</v>
      </c>
      <c r="B2189" t="s">
        <v>6342</v>
      </c>
      <c r="C2189" t="s">
        <v>6447</v>
      </c>
      <c r="D2189" t="s">
        <v>7346</v>
      </c>
      <c r="E2189">
        <v>29</v>
      </c>
      <c r="F2189" s="767">
        <v>1603.5</v>
      </c>
    </row>
    <row r="2190" spans="1:6">
      <c r="A2190" s="143">
        <v>11573</v>
      </c>
      <c r="B2190" t="s">
        <v>3432</v>
      </c>
      <c r="C2190" t="s">
        <v>3476</v>
      </c>
      <c r="D2190" t="s">
        <v>7347</v>
      </c>
      <c r="E2190">
        <v>29</v>
      </c>
      <c r="F2190" s="767">
        <v>46006.29</v>
      </c>
    </row>
    <row r="2191" spans="1:6">
      <c r="A2191" s="143">
        <v>11605</v>
      </c>
      <c r="B2191" t="s">
        <v>6752</v>
      </c>
      <c r="C2191" t="s">
        <v>3542</v>
      </c>
      <c r="D2191" t="s">
        <v>7348</v>
      </c>
      <c r="E2191">
        <v>29</v>
      </c>
      <c r="F2191">
        <v>286.17</v>
      </c>
    </row>
    <row r="2192" spans="1:6">
      <c r="A2192" s="143">
        <v>11605</v>
      </c>
      <c r="B2192" t="s">
        <v>6752</v>
      </c>
      <c r="C2192" t="s">
        <v>3542</v>
      </c>
      <c r="D2192" t="s">
        <v>7349</v>
      </c>
      <c r="E2192">
        <v>29</v>
      </c>
      <c r="F2192">
        <v>153.63</v>
      </c>
    </row>
    <row r="2193" spans="1:6">
      <c r="A2193" s="143">
        <v>11606</v>
      </c>
      <c r="B2193" t="s">
        <v>3405</v>
      </c>
      <c r="C2193" t="s">
        <v>3500</v>
      </c>
      <c r="D2193" t="s">
        <v>7350</v>
      </c>
      <c r="E2193">
        <v>29</v>
      </c>
      <c r="F2193" s="767">
        <v>5805.66</v>
      </c>
    </row>
    <row r="2194" spans="1:6">
      <c r="A2194" s="143">
        <v>11671</v>
      </c>
      <c r="B2194" t="s">
        <v>7351</v>
      </c>
      <c r="C2194" t="s">
        <v>7352</v>
      </c>
      <c r="D2194" t="s">
        <v>7353</v>
      </c>
      <c r="E2194">
        <v>29</v>
      </c>
      <c r="F2194">
        <v>192.41</v>
      </c>
    </row>
    <row r="2195" spans="1:6">
      <c r="A2195" s="143">
        <v>11671</v>
      </c>
      <c r="B2195" t="s">
        <v>7351</v>
      </c>
      <c r="C2195" t="s">
        <v>7352</v>
      </c>
      <c r="D2195" t="s">
        <v>7354</v>
      </c>
      <c r="E2195">
        <v>29</v>
      </c>
      <c r="F2195">
        <v>164.92</v>
      </c>
    </row>
    <row r="2196" spans="1:6">
      <c r="A2196" s="143">
        <v>11671</v>
      </c>
      <c r="B2196" t="s">
        <v>7351</v>
      </c>
      <c r="C2196" t="s">
        <v>7352</v>
      </c>
      <c r="D2196" t="s">
        <v>7355</v>
      </c>
      <c r="E2196">
        <v>29</v>
      </c>
      <c r="F2196">
        <v>192.41</v>
      </c>
    </row>
    <row r="2197" spans="1:6">
      <c r="A2197" s="143">
        <v>11671</v>
      </c>
      <c r="B2197" t="s">
        <v>7351</v>
      </c>
      <c r="C2197" t="s">
        <v>7352</v>
      </c>
      <c r="D2197" t="s">
        <v>7356</v>
      </c>
      <c r="E2197">
        <v>29</v>
      </c>
      <c r="F2197" s="767">
        <v>1215.5999999999999</v>
      </c>
    </row>
    <row r="2198" spans="1:6">
      <c r="A2198" s="143">
        <v>11679</v>
      </c>
      <c r="B2198" t="s">
        <v>7054</v>
      </c>
      <c r="C2198" t="s">
        <v>7357</v>
      </c>
      <c r="D2198" t="s">
        <v>7358</v>
      </c>
      <c r="E2198">
        <v>29</v>
      </c>
      <c r="F2198" s="767">
        <v>35646.14</v>
      </c>
    </row>
    <row r="2199" spans="1:6">
      <c r="A2199" s="143">
        <v>11691</v>
      </c>
      <c r="B2199" t="s">
        <v>1842</v>
      </c>
      <c r="C2199" t="s">
        <v>5430</v>
      </c>
      <c r="D2199" t="s">
        <v>7359</v>
      </c>
      <c r="E2199">
        <v>29</v>
      </c>
      <c r="F2199">
        <v>936.63</v>
      </c>
    </row>
    <row r="2200" spans="1:6">
      <c r="A2200" s="143">
        <v>11691</v>
      </c>
      <c r="B2200" t="s">
        <v>1842</v>
      </c>
      <c r="C2200" t="s">
        <v>5430</v>
      </c>
      <c r="D2200" t="s">
        <v>7360</v>
      </c>
      <c r="E2200">
        <v>29</v>
      </c>
      <c r="F2200" s="767">
        <v>1044.5</v>
      </c>
    </row>
    <row r="2201" spans="1:6">
      <c r="A2201" s="143">
        <v>11702</v>
      </c>
      <c r="B2201" t="s">
        <v>3409</v>
      </c>
      <c r="C2201" t="s">
        <v>3774</v>
      </c>
      <c r="D2201" t="s">
        <v>7361</v>
      </c>
      <c r="E2201">
        <v>29</v>
      </c>
      <c r="F2201" s="767">
        <v>1533.31</v>
      </c>
    </row>
    <row r="2202" spans="1:6">
      <c r="A2202" s="143">
        <v>11736</v>
      </c>
      <c r="B2202" t="s">
        <v>1030</v>
      </c>
      <c r="C2202" t="s">
        <v>3503</v>
      </c>
      <c r="D2202" t="s">
        <v>7362</v>
      </c>
      <c r="E2202">
        <v>29</v>
      </c>
      <c r="F2202">
        <v>678.21</v>
      </c>
    </row>
    <row r="2203" spans="1:6">
      <c r="A2203" s="143">
        <v>11737</v>
      </c>
      <c r="B2203" t="s">
        <v>1030</v>
      </c>
      <c r="C2203" t="s">
        <v>3503</v>
      </c>
      <c r="D2203" t="s">
        <v>7363</v>
      </c>
      <c r="E2203">
        <v>29</v>
      </c>
      <c r="F2203" s="767">
        <v>2237.15</v>
      </c>
    </row>
    <row r="2204" spans="1:6">
      <c r="A2204" s="143">
        <v>11749</v>
      </c>
      <c r="B2204" t="s">
        <v>3613</v>
      </c>
      <c r="C2204" t="s">
        <v>3614</v>
      </c>
      <c r="D2204" t="s">
        <v>7364</v>
      </c>
      <c r="E2204">
        <v>29</v>
      </c>
      <c r="F2204">
        <v>0.39</v>
      </c>
    </row>
    <row r="2205" spans="1:6">
      <c r="A2205" s="143">
        <v>11749</v>
      </c>
      <c r="B2205" t="s">
        <v>3613</v>
      </c>
      <c r="C2205" t="s">
        <v>3614</v>
      </c>
      <c r="D2205" t="s">
        <v>7365</v>
      </c>
      <c r="E2205">
        <v>29</v>
      </c>
      <c r="F2205">
        <v>652.91999999999996</v>
      </c>
    </row>
    <row r="2206" spans="1:6">
      <c r="A2206" s="143">
        <v>11749</v>
      </c>
      <c r="B2206" t="s">
        <v>3613</v>
      </c>
      <c r="C2206" t="s">
        <v>3614</v>
      </c>
      <c r="D2206" t="s">
        <v>7366</v>
      </c>
      <c r="E2206">
        <v>29</v>
      </c>
      <c r="F2206" s="767">
        <v>1216.21</v>
      </c>
    </row>
    <row r="2207" spans="1:6">
      <c r="A2207" s="143">
        <v>11752</v>
      </c>
      <c r="B2207" t="s">
        <v>7367</v>
      </c>
      <c r="C2207" t="s">
        <v>7368</v>
      </c>
      <c r="D2207" t="s">
        <v>7369</v>
      </c>
      <c r="E2207">
        <v>29</v>
      </c>
      <c r="F2207" s="767">
        <v>4390.62</v>
      </c>
    </row>
    <row r="2208" spans="1:6">
      <c r="A2208" s="143">
        <v>11755</v>
      </c>
      <c r="B2208" t="s">
        <v>2064</v>
      </c>
      <c r="C2208" t="s">
        <v>3467</v>
      </c>
      <c r="D2208" t="s">
        <v>7370</v>
      </c>
      <c r="E2208">
        <v>29</v>
      </c>
      <c r="F2208">
        <v>411.22</v>
      </c>
    </row>
    <row r="2209" spans="1:6">
      <c r="A2209" s="143">
        <v>11764</v>
      </c>
      <c r="B2209" t="s">
        <v>5532</v>
      </c>
      <c r="C2209" t="s">
        <v>5576</v>
      </c>
      <c r="D2209" t="s">
        <v>7371</v>
      </c>
      <c r="E2209">
        <v>29</v>
      </c>
      <c r="F2209" s="767">
        <v>2717.4</v>
      </c>
    </row>
    <row r="2210" spans="1:6">
      <c r="A2210" s="143">
        <v>11767</v>
      </c>
      <c r="B2210" t="s">
        <v>3504</v>
      </c>
      <c r="C2210" t="s">
        <v>3505</v>
      </c>
      <c r="D2210" t="s">
        <v>7372</v>
      </c>
      <c r="E2210">
        <v>29</v>
      </c>
      <c r="F2210" s="767">
        <v>2025.27</v>
      </c>
    </row>
    <row r="2211" spans="1:6">
      <c r="A2211" s="143">
        <v>11769</v>
      </c>
      <c r="B2211" t="s">
        <v>5458</v>
      </c>
      <c r="C2211" t="s">
        <v>5493</v>
      </c>
      <c r="D2211" t="s">
        <v>7373</v>
      </c>
      <c r="E2211">
        <v>29</v>
      </c>
      <c r="F2211">
        <v>241.01</v>
      </c>
    </row>
    <row r="2212" spans="1:6">
      <c r="A2212" s="143">
        <v>11770</v>
      </c>
      <c r="B2212" t="s">
        <v>5459</v>
      </c>
      <c r="C2212" t="s">
        <v>5494</v>
      </c>
      <c r="D2212" t="s">
        <v>7374</v>
      </c>
      <c r="E2212">
        <v>29</v>
      </c>
      <c r="F2212">
        <v>161.72999999999999</v>
      </c>
    </row>
    <row r="2213" spans="1:6">
      <c r="A2213" s="143">
        <v>11773</v>
      </c>
      <c r="B2213" t="s">
        <v>7076</v>
      </c>
      <c r="C2213" t="s">
        <v>7375</v>
      </c>
      <c r="D2213" t="s">
        <v>7376</v>
      </c>
      <c r="E2213">
        <v>29</v>
      </c>
      <c r="F2213" s="767">
        <v>9881.39</v>
      </c>
    </row>
    <row r="2214" spans="1:6">
      <c r="A2214" s="143">
        <v>11776</v>
      </c>
      <c r="B2214" t="s">
        <v>2074</v>
      </c>
      <c r="C2214" t="s">
        <v>7377</v>
      </c>
      <c r="D2214" t="s">
        <v>7378</v>
      </c>
      <c r="E2214">
        <v>29</v>
      </c>
      <c r="F2214" s="767">
        <v>1649.24</v>
      </c>
    </row>
    <row r="2215" spans="1:6">
      <c r="A2215" s="143">
        <v>11776</v>
      </c>
      <c r="B2215" t="s">
        <v>2074</v>
      </c>
      <c r="C2215" t="s">
        <v>7377</v>
      </c>
      <c r="D2215" t="s">
        <v>7379</v>
      </c>
      <c r="E2215">
        <v>29</v>
      </c>
      <c r="F2215" s="767">
        <v>16433.32</v>
      </c>
    </row>
    <row r="2216" spans="1:6">
      <c r="A2216" s="143">
        <v>11784</v>
      </c>
      <c r="B2216" t="s">
        <v>2169</v>
      </c>
      <c r="C2216" t="s">
        <v>3712</v>
      </c>
      <c r="D2216" t="s">
        <v>7380</v>
      </c>
      <c r="E2216">
        <v>29</v>
      </c>
      <c r="F2216" s="767">
        <v>5565.88</v>
      </c>
    </row>
    <row r="2217" spans="1:6">
      <c r="A2217" s="143">
        <v>11790</v>
      </c>
      <c r="B2217" t="s">
        <v>1302</v>
      </c>
      <c r="C2217" t="s">
        <v>7381</v>
      </c>
      <c r="D2217" t="s">
        <v>7382</v>
      </c>
      <c r="E2217">
        <v>29</v>
      </c>
      <c r="F2217" s="767">
        <v>24544.57</v>
      </c>
    </row>
    <row r="2218" spans="1:6">
      <c r="A2218" s="143">
        <v>11802</v>
      </c>
      <c r="B2218" t="s">
        <v>3412</v>
      </c>
      <c r="C2218" t="s">
        <v>3545</v>
      </c>
      <c r="D2218" t="s">
        <v>7383</v>
      </c>
      <c r="E2218">
        <v>29</v>
      </c>
      <c r="F2218" s="767">
        <v>19389.080000000002</v>
      </c>
    </row>
    <row r="2219" spans="1:6">
      <c r="A2219" s="143">
        <v>11805</v>
      </c>
      <c r="B2219" t="s">
        <v>7384</v>
      </c>
      <c r="C2219" t="s">
        <v>7385</v>
      </c>
      <c r="D2219" t="s">
        <v>7386</v>
      </c>
      <c r="E2219">
        <v>29</v>
      </c>
      <c r="F2219">
        <v>697.22</v>
      </c>
    </row>
    <row r="2220" spans="1:6">
      <c r="A2220" s="143">
        <v>11805</v>
      </c>
      <c r="B2220" t="s">
        <v>7384</v>
      </c>
      <c r="C2220" t="s">
        <v>7385</v>
      </c>
      <c r="D2220" t="s">
        <v>7387</v>
      </c>
      <c r="E2220">
        <v>29</v>
      </c>
      <c r="F2220" s="767">
        <v>2941.15</v>
      </c>
    </row>
    <row r="2221" spans="1:6">
      <c r="A2221" s="143">
        <v>11811</v>
      </c>
      <c r="B2221" t="s">
        <v>3415</v>
      </c>
      <c r="C2221" t="s">
        <v>3987</v>
      </c>
      <c r="D2221" t="s">
        <v>7388</v>
      </c>
      <c r="E2221">
        <v>29</v>
      </c>
      <c r="F2221" s="767">
        <v>6951.07</v>
      </c>
    </row>
    <row r="2222" spans="1:6">
      <c r="A2222" s="143">
        <v>11814</v>
      </c>
      <c r="B2222" t="s">
        <v>3418</v>
      </c>
      <c r="C2222" t="s">
        <v>3546</v>
      </c>
      <c r="D2222" t="s">
        <v>7389</v>
      </c>
      <c r="E2222">
        <v>29</v>
      </c>
      <c r="F2222" s="767">
        <v>4650.26</v>
      </c>
    </row>
    <row r="2223" spans="1:6">
      <c r="A2223" s="143">
        <v>11816</v>
      </c>
      <c r="B2223" t="s">
        <v>6723</v>
      </c>
      <c r="C2223" t="s">
        <v>6724</v>
      </c>
      <c r="D2223" t="s">
        <v>7390</v>
      </c>
      <c r="E2223">
        <v>29</v>
      </c>
      <c r="F2223">
        <v>558.11</v>
      </c>
    </row>
    <row r="2224" spans="1:6">
      <c r="A2224" s="143">
        <v>11816</v>
      </c>
      <c r="B2224" t="s">
        <v>6723</v>
      </c>
      <c r="C2224" t="s">
        <v>6724</v>
      </c>
      <c r="D2224" t="s">
        <v>7391</v>
      </c>
      <c r="E2224">
        <v>29</v>
      </c>
      <c r="F2224">
        <v>359.92</v>
      </c>
    </row>
    <row r="2225" spans="1:6">
      <c r="A2225" s="143">
        <v>11816</v>
      </c>
      <c r="B2225" t="s">
        <v>6723</v>
      </c>
      <c r="C2225" t="s">
        <v>6724</v>
      </c>
      <c r="D2225" t="s">
        <v>7392</v>
      </c>
      <c r="E2225">
        <v>29</v>
      </c>
      <c r="F2225">
        <v>439.19</v>
      </c>
    </row>
    <row r="2226" spans="1:6">
      <c r="A2226" s="143">
        <v>11830</v>
      </c>
      <c r="B2226" t="s">
        <v>5858</v>
      </c>
      <c r="C2226" t="s">
        <v>5914</v>
      </c>
      <c r="D2226" t="s">
        <v>7393</v>
      </c>
      <c r="E2226">
        <v>29</v>
      </c>
      <c r="F2226">
        <v>156.04</v>
      </c>
    </row>
    <row r="2227" spans="1:6">
      <c r="A2227" s="143">
        <v>11846</v>
      </c>
      <c r="B2227" t="s">
        <v>2105</v>
      </c>
      <c r="C2227" t="s">
        <v>3513</v>
      </c>
      <c r="D2227" t="s">
        <v>7394</v>
      </c>
      <c r="E2227">
        <v>29</v>
      </c>
      <c r="F2227" s="767">
        <v>12710</v>
      </c>
    </row>
    <row r="2228" spans="1:6">
      <c r="A2228" s="143">
        <v>11847</v>
      </c>
      <c r="B2228" t="s">
        <v>3406</v>
      </c>
      <c r="C2228" t="s">
        <v>3543</v>
      </c>
      <c r="D2228" t="s">
        <v>7395</v>
      </c>
      <c r="E2228">
        <v>29</v>
      </c>
      <c r="F2228" s="767">
        <v>12100.07</v>
      </c>
    </row>
    <row r="2229" spans="1:6">
      <c r="A2229" s="143">
        <v>11852</v>
      </c>
      <c r="B2229" t="s">
        <v>1195</v>
      </c>
      <c r="C2229" t="s">
        <v>3475</v>
      </c>
      <c r="D2229" t="s">
        <v>7396</v>
      </c>
      <c r="E2229">
        <v>29</v>
      </c>
      <c r="F2229">
        <v>489.52</v>
      </c>
    </row>
    <row r="2230" spans="1:6">
      <c r="A2230" s="143">
        <v>11864</v>
      </c>
      <c r="B2230" t="s">
        <v>5860</v>
      </c>
      <c r="C2230" t="s">
        <v>5916</v>
      </c>
      <c r="D2230" t="s">
        <v>7397</v>
      </c>
      <c r="E2230">
        <v>29</v>
      </c>
      <c r="F2230" s="767">
        <v>7804.97</v>
      </c>
    </row>
    <row r="2231" spans="1:6">
      <c r="A2231" s="143">
        <v>11879</v>
      </c>
      <c r="B2231" t="s">
        <v>7099</v>
      </c>
      <c r="C2231" t="s">
        <v>7398</v>
      </c>
      <c r="D2231" t="s">
        <v>7399</v>
      </c>
      <c r="E2231">
        <v>29</v>
      </c>
      <c r="F2231" s="767">
        <v>9342.6200000000008</v>
      </c>
    </row>
    <row r="2232" spans="1:6">
      <c r="A2232" s="143">
        <v>11881</v>
      </c>
      <c r="B2232" t="s">
        <v>7101</v>
      </c>
      <c r="C2232" t="s">
        <v>7400</v>
      </c>
      <c r="D2232" t="s">
        <v>7401</v>
      </c>
      <c r="E2232">
        <v>29</v>
      </c>
      <c r="F2232" s="767">
        <v>1213.96</v>
      </c>
    </row>
    <row r="2233" spans="1:6">
      <c r="A2233" s="143">
        <v>11886</v>
      </c>
      <c r="B2233" t="s">
        <v>5917</v>
      </c>
      <c r="C2233" t="s">
        <v>5918</v>
      </c>
      <c r="D2233" t="s">
        <v>7402</v>
      </c>
      <c r="E2233">
        <v>29</v>
      </c>
      <c r="F2233" s="767">
        <v>2614.42</v>
      </c>
    </row>
    <row r="2234" spans="1:6">
      <c r="A2234" s="143">
        <v>11888</v>
      </c>
      <c r="B2234" t="s">
        <v>1709</v>
      </c>
      <c r="C2234" t="s">
        <v>5578</v>
      </c>
      <c r="D2234" t="s">
        <v>7403</v>
      </c>
      <c r="E2234">
        <v>29</v>
      </c>
      <c r="F2234" s="767">
        <v>3104.53</v>
      </c>
    </row>
    <row r="2235" spans="1:6">
      <c r="A2235" s="143">
        <v>11892</v>
      </c>
      <c r="B2235" t="s">
        <v>7105</v>
      </c>
      <c r="C2235" t="s">
        <v>7404</v>
      </c>
      <c r="D2235" t="s">
        <v>7405</v>
      </c>
      <c r="E2235">
        <v>29</v>
      </c>
      <c r="F2235" s="767">
        <v>60668.97</v>
      </c>
    </row>
    <row r="2236" spans="1:6">
      <c r="A2236" s="143">
        <v>11892</v>
      </c>
      <c r="B2236" t="s">
        <v>7105</v>
      </c>
      <c r="C2236" t="s">
        <v>7404</v>
      </c>
      <c r="D2236" t="s">
        <v>7406</v>
      </c>
      <c r="E2236">
        <v>29</v>
      </c>
      <c r="F2236" s="767">
        <v>28827.26</v>
      </c>
    </row>
    <row r="2237" spans="1:6">
      <c r="A2237" s="143">
        <v>11908</v>
      </c>
      <c r="B2237" t="s">
        <v>7108</v>
      </c>
      <c r="C2237" t="s">
        <v>7407</v>
      </c>
      <c r="D2237" t="s">
        <v>7408</v>
      </c>
      <c r="E2237">
        <v>29</v>
      </c>
      <c r="F2237">
        <v>103.72</v>
      </c>
    </row>
    <row r="2238" spans="1:6">
      <c r="A2238" s="143">
        <v>11909</v>
      </c>
      <c r="B2238" t="s">
        <v>2130</v>
      </c>
      <c r="C2238" t="s">
        <v>3514</v>
      </c>
      <c r="D2238" t="s">
        <v>7409</v>
      </c>
      <c r="E2238">
        <v>29</v>
      </c>
      <c r="F2238" s="767">
        <v>7089.52</v>
      </c>
    </row>
    <row r="2239" spans="1:6">
      <c r="A2239" s="143">
        <v>11916</v>
      </c>
      <c r="B2239" t="s">
        <v>5402</v>
      </c>
      <c r="C2239" t="s">
        <v>5433</v>
      </c>
      <c r="D2239" t="s">
        <v>7410</v>
      </c>
      <c r="E2239">
        <v>29</v>
      </c>
      <c r="F2239" s="767">
        <v>2086.0700000000002</v>
      </c>
    </row>
    <row r="2240" spans="1:6">
      <c r="A2240" s="143">
        <v>11918</v>
      </c>
      <c r="B2240" t="s">
        <v>2134</v>
      </c>
      <c r="C2240" t="s">
        <v>5416</v>
      </c>
      <c r="D2240" t="s">
        <v>7411</v>
      </c>
      <c r="E2240">
        <v>29</v>
      </c>
      <c r="F2240" s="767">
        <v>7024.85</v>
      </c>
    </row>
    <row r="2241" spans="1:6">
      <c r="A2241" s="143">
        <v>11925</v>
      </c>
      <c r="B2241" t="s">
        <v>6086</v>
      </c>
      <c r="C2241" t="s">
        <v>6185</v>
      </c>
      <c r="D2241" t="s">
        <v>7412</v>
      </c>
      <c r="E2241">
        <v>29</v>
      </c>
      <c r="F2241">
        <v>716.66</v>
      </c>
    </row>
    <row r="2242" spans="1:6">
      <c r="A2242" s="143">
        <v>11943</v>
      </c>
      <c r="B2242" t="s">
        <v>6087</v>
      </c>
      <c r="C2242" t="s">
        <v>6186</v>
      </c>
      <c r="D2242" t="s">
        <v>7413</v>
      </c>
      <c r="E2242">
        <v>29</v>
      </c>
      <c r="F2242" s="767">
        <v>2499.85</v>
      </c>
    </row>
    <row r="2243" spans="1:6">
      <c r="A2243" s="143">
        <v>11943</v>
      </c>
      <c r="B2243" t="s">
        <v>6087</v>
      </c>
      <c r="C2243" t="s">
        <v>6186</v>
      </c>
      <c r="D2243" t="s">
        <v>7414</v>
      </c>
      <c r="E2243">
        <v>29</v>
      </c>
      <c r="F2243" s="767">
        <v>2418.89</v>
      </c>
    </row>
    <row r="2244" spans="1:6">
      <c r="A2244" s="143">
        <v>11949</v>
      </c>
      <c r="B2244" t="s">
        <v>6597</v>
      </c>
      <c r="C2244" t="s">
        <v>6735</v>
      </c>
      <c r="D2244" t="s">
        <v>7415</v>
      </c>
      <c r="E2244">
        <v>29</v>
      </c>
      <c r="F2244" s="767">
        <v>1101.57</v>
      </c>
    </row>
    <row r="2245" spans="1:6">
      <c r="A2245" s="143">
        <v>11958</v>
      </c>
      <c r="B2245" t="s">
        <v>7120</v>
      </c>
      <c r="C2245" t="s">
        <v>7416</v>
      </c>
      <c r="D2245" t="s">
        <v>7417</v>
      </c>
      <c r="E2245">
        <v>29</v>
      </c>
      <c r="F2245" s="767">
        <v>3745.68</v>
      </c>
    </row>
    <row r="2246" spans="1:6">
      <c r="A2246" s="143">
        <v>11959</v>
      </c>
      <c r="B2246" t="s">
        <v>6148</v>
      </c>
      <c r="C2246" t="s">
        <v>6149</v>
      </c>
      <c r="D2246" t="s">
        <v>7418</v>
      </c>
      <c r="E2246">
        <v>29</v>
      </c>
      <c r="F2246" s="767">
        <v>2536.7800000000002</v>
      </c>
    </row>
    <row r="2247" spans="1:6">
      <c r="A2247" s="143">
        <v>11962</v>
      </c>
      <c r="B2247" t="s">
        <v>4172</v>
      </c>
      <c r="C2247" t="s">
        <v>3456</v>
      </c>
      <c r="D2247" t="s">
        <v>7419</v>
      </c>
      <c r="E2247">
        <v>29</v>
      </c>
      <c r="F2247" s="767">
        <v>2153.37</v>
      </c>
    </row>
    <row r="2248" spans="1:6">
      <c r="A2248" s="143">
        <v>11962</v>
      </c>
      <c r="B2248" t="s">
        <v>4172</v>
      </c>
      <c r="C2248" t="s">
        <v>3456</v>
      </c>
      <c r="D2248" t="s">
        <v>7420</v>
      </c>
      <c r="E2248">
        <v>29</v>
      </c>
      <c r="F2248">
        <v>167.16</v>
      </c>
    </row>
    <row r="2249" spans="1:6">
      <c r="A2249" s="143">
        <v>11972</v>
      </c>
      <c r="B2249" t="s">
        <v>7125</v>
      </c>
      <c r="C2249" t="s">
        <v>7421</v>
      </c>
      <c r="D2249" t="s">
        <v>7422</v>
      </c>
      <c r="E2249">
        <v>29</v>
      </c>
      <c r="F2249">
        <v>917.48</v>
      </c>
    </row>
    <row r="2250" spans="1:6">
      <c r="A2250" s="143">
        <v>11974</v>
      </c>
      <c r="B2250" t="s">
        <v>3548</v>
      </c>
      <c r="C2250" t="s">
        <v>3549</v>
      </c>
      <c r="D2250" t="s">
        <v>7423</v>
      </c>
      <c r="E2250">
        <v>29</v>
      </c>
      <c r="F2250" s="767">
        <v>1670.69</v>
      </c>
    </row>
    <row r="2251" spans="1:6">
      <c r="A2251" s="143">
        <v>11989</v>
      </c>
      <c r="B2251" t="s">
        <v>3471</v>
      </c>
      <c r="C2251" t="s">
        <v>3472</v>
      </c>
      <c r="D2251" t="s">
        <v>7424</v>
      </c>
      <c r="E2251">
        <v>29</v>
      </c>
      <c r="F2251" s="767">
        <v>3864.66</v>
      </c>
    </row>
    <row r="2252" spans="1:6">
      <c r="A2252" s="143">
        <v>11989</v>
      </c>
      <c r="B2252" t="s">
        <v>3471</v>
      </c>
      <c r="C2252" t="s">
        <v>3472</v>
      </c>
      <c r="D2252" t="s">
        <v>7425</v>
      </c>
      <c r="E2252">
        <v>29</v>
      </c>
      <c r="F2252" s="767">
        <v>1110.1199999999999</v>
      </c>
    </row>
    <row r="2253" spans="1:6">
      <c r="A2253" s="143">
        <v>11992</v>
      </c>
      <c r="B2253" t="s">
        <v>3161</v>
      </c>
      <c r="C2253" t="s">
        <v>5501</v>
      </c>
      <c r="D2253" t="s">
        <v>7426</v>
      </c>
      <c r="E2253">
        <v>29</v>
      </c>
      <c r="F2253" s="767">
        <v>9333.8799999999992</v>
      </c>
    </row>
    <row r="2254" spans="1:6">
      <c r="A2254" s="143">
        <v>11998</v>
      </c>
      <c r="B2254" t="s">
        <v>3360</v>
      </c>
      <c r="C2254" t="s">
        <v>7427</v>
      </c>
      <c r="D2254" t="s">
        <v>7428</v>
      </c>
      <c r="E2254">
        <v>29</v>
      </c>
      <c r="F2254" s="767">
        <v>1222.73</v>
      </c>
    </row>
    <row r="2255" spans="1:6">
      <c r="A2255" s="143">
        <v>12000</v>
      </c>
      <c r="B2255" t="s">
        <v>5865</v>
      </c>
      <c r="C2255" t="s">
        <v>5902</v>
      </c>
      <c r="D2255" t="s">
        <v>7429</v>
      </c>
      <c r="E2255">
        <v>29</v>
      </c>
      <c r="F2255" s="767">
        <v>1566.78</v>
      </c>
    </row>
    <row r="2256" spans="1:6">
      <c r="A2256" s="143">
        <v>12002</v>
      </c>
      <c r="B2256" t="s">
        <v>3479</v>
      </c>
      <c r="C2256" t="s">
        <v>3480</v>
      </c>
      <c r="D2256" t="s">
        <v>7430</v>
      </c>
      <c r="E2256">
        <v>29</v>
      </c>
      <c r="F2256" s="767">
        <v>4600.63</v>
      </c>
    </row>
    <row r="2257" spans="1:6">
      <c r="A2257" s="143">
        <v>12011</v>
      </c>
      <c r="B2257" t="s">
        <v>3301</v>
      </c>
      <c r="C2257" t="s">
        <v>3458</v>
      </c>
      <c r="D2257" t="s">
        <v>7431</v>
      </c>
      <c r="E2257">
        <v>29</v>
      </c>
      <c r="F2257">
        <v>533.79999999999995</v>
      </c>
    </row>
    <row r="2258" spans="1:6">
      <c r="A2258" s="143">
        <v>12019</v>
      </c>
      <c r="B2258" t="s">
        <v>7138</v>
      </c>
      <c r="C2258" t="s">
        <v>7432</v>
      </c>
      <c r="D2258" t="s">
        <v>7433</v>
      </c>
      <c r="E2258">
        <v>29</v>
      </c>
      <c r="F2258">
        <v>98.57</v>
      </c>
    </row>
    <row r="2259" spans="1:6">
      <c r="A2259" s="143">
        <v>12020</v>
      </c>
      <c r="B2259" t="s">
        <v>7140</v>
      </c>
      <c r="C2259" t="s">
        <v>7434</v>
      </c>
      <c r="D2259" t="s">
        <v>7435</v>
      </c>
      <c r="E2259">
        <v>29</v>
      </c>
      <c r="F2259">
        <v>118.91</v>
      </c>
    </row>
    <row r="2260" spans="1:6">
      <c r="A2260" s="143">
        <v>12023</v>
      </c>
      <c r="B2260" t="s">
        <v>7142</v>
      </c>
      <c r="C2260" t="s">
        <v>7436</v>
      </c>
      <c r="D2260" t="s">
        <v>7437</v>
      </c>
      <c r="E2260">
        <v>29</v>
      </c>
      <c r="F2260">
        <v>397.96</v>
      </c>
    </row>
    <row r="2261" spans="1:6">
      <c r="A2261" s="143">
        <v>12025</v>
      </c>
      <c r="B2261" t="s">
        <v>3368</v>
      </c>
      <c r="C2261" t="s">
        <v>6426</v>
      </c>
      <c r="D2261" t="s">
        <v>7438</v>
      </c>
      <c r="E2261">
        <v>29</v>
      </c>
      <c r="F2261">
        <v>839.12</v>
      </c>
    </row>
    <row r="2262" spans="1:6">
      <c r="A2262" s="143">
        <v>12026</v>
      </c>
      <c r="B2262" t="s">
        <v>4088</v>
      </c>
      <c r="C2262" t="s">
        <v>4090</v>
      </c>
      <c r="D2262" t="s">
        <v>7439</v>
      </c>
      <c r="E2262">
        <v>29</v>
      </c>
      <c r="F2262">
        <v>524.33000000000004</v>
      </c>
    </row>
    <row r="2263" spans="1:6">
      <c r="A2263" s="143">
        <v>12027</v>
      </c>
      <c r="B2263" t="s">
        <v>3370</v>
      </c>
      <c r="C2263" t="s">
        <v>7440</v>
      </c>
      <c r="D2263" t="s">
        <v>7441</v>
      </c>
      <c r="E2263">
        <v>29</v>
      </c>
      <c r="F2263" s="767">
        <v>1386.9</v>
      </c>
    </row>
    <row r="2264" spans="1:6">
      <c r="A2264" s="143">
        <v>12032</v>
      </c>
      <c r="B2264" t="s">
        <v>4077</v>
      </c>
      <c r="C2264" t="s">
        <v>7442</v>
      </c>
      <c r="D2264" t="s">
        <v>7443</v>
      </c>
      <c r="E2264">
        <v>29</v>
      </c>
      <c r="F2264" s="767">
        <v>9095.59</v>
      </c>
    </row>
    <row r="2265" spans="1:6">
      <c r="A2265" s="143">
        <v>12047</v>
      </c>
      <c r="B2265" t="s">
        <v>6613</v>
      </c>
      <c r="C2265" t="s">
        <v>6673</v>
      </c>
      <c r="D2265" t="s">
        <v>7444</v>
      </c>
      <c r="E2265">
        <v>29</v>
      </c>
      <c r="F2265" s="767">
        <v>3989.41</v>
      </c>
    </row>
    <row r="2266" spans="1:6">
      <c r="A2266" s="143">
        <v>21077</v>
      </c>
      <c r="B2266" t="s">
        <v>7179</v>
      </c>
      <c r="C2266" t="s">
        <v>7445</v>
      </c>
      <c r="D2266" t="s">
        <v>7446</v>
      </c>
      <c r="E2266">
        <v>29</v>
      </c>
      <c r="F2266" s="767">
        <v>3884.33</v>
      </c>
    </row>
    <row r="2267" spans="1:6">
      <c r="A2267" s="143">
        <v>21098</v>
      </c>
      <c r="B2267" t="s">
        <v>2979</v>
      </c>
      <c r="C2267" t="s">
        <v>5883</v>
      </c>
      <c r="D2267" t="s">
        <v>7447</v>
      </c>
      <c r="E2267">
        <v>29</v>
      </c>
      <c r="F2267" s="767">
        <v>40429.94</v>
      </c>
    </row>
    <row r="2268" spans="1:6">
      <c r="A2268" s="143">
        <v>21098</v>
      </c>
      <c r="B2268" t="s">
        <v>2979</v>
      </c>
      <c r="C2268" t="s">
        <v>5883</v>
      </c>
      <c r="D2268" t="s">
        <v>7448</v>
      </c>
      <c r="E2268">
        <v>29</v>
      </c>
      <c r="F2268" s="767">
        <v>41181.1</v>
      </c>
    </row>
    <row r="2269" spans="1:6">
      <c r="A2269" s="143">
        <v>21098</v>
      </c>
      <c r="B2269" t="s">
        <v>2979</v>
      </c>
      <c r="C2269" t="s">
        <v>5883</v>
      </c>
      <c r="D2269" t="s">
        <v>7449</v>
      </c>
      <c r="E2269">
        <v>29</v>
      </c>
      <c r="F2269" s="767">
        <v>22586.67</v>
      </c>
    </row>
    <row r="2270" spans="1:6">
      <c r="A2270" s="143">
        <v>31007</v>
      </c>
      <c r="B2270" t="s">
        <v>7187</v>
      </c>
      <c r="C2270" t="s">
        <v>7450</v>
      </c>
      <c r="D2270" t="s">
        <v>7451</v>
      </c>
      <c r="E2270">
        <v>29</v>
      </c>
      <c r="F2270">
        <v>863.91</v>
      </c>
    </row>
    <row r="2271" spans="1:6">
      <c r="A2271" s="143">
        <v>31027</v>
      </c>
      <c r="B2271" t="s">
        <v>1037</v>
      </c>
      <c r="C2271" t="s">
        <v>3498</v>
      </c>
      <c r="D2271" t="s">
        <v>7452</v>
      </c>
      <c r="E2271">
        <v>29</v>
      </c>
      <c r="F2271" s="767">
        <v>1508.52</v>
      </c>
    </row>
    <row r="2272" spans="1:6">
      <c r="A2272" s="143">
        <v>31027</v>
      </c>
      <c r="B2272" t="s">
        <v>1037</v>
      </c>
      <c r="C2272" t="s">
        <v>3498</v>
      </c>
      <c r="D2272" t="s">
        <v>7453</v>
      </c>
      <c r="E2272">
        <v>29</v>
      </c>
      <c r="F2272" s="767">
        <v>4112.3599999999997</v>
      </c>
    </row>
    <row r="2273" spans="1:6">
      <c r="A2273" s="143">
        <v>31027</v>
      </c>
      <c r="B2273" t="s">
        <v>1037</v>
      </c>
      <c r="C2273" t="s">
        <v>3498</v>
      </c>
      <c r="D2273" t="s">
        <v>7454</v>
      </c>
      <c r="E2273">
        <v>29</v>
      </c>
      <c r="F2273" s="767">
        <v>1727.81</v>
      </c>
    </row>
    <row r="2274" spans="1:6">
      <c r="A2274" s="143">
        <v>31030</v>
      </c>
      <c r="B2274" t="s">
        <v>3439</v>
      </c>
      <c r="C2274" t="s">
        <v>3525</v>
      </c>
      <c r="D2274" t="s">
        <v>7455</v>
      </c>
      <c r="E2274">
        <v>29</v>
      </c>
      <c r="F2274" s="767">
        <v>4834.4799999999996</v>
      </c>
    </row>
    <row r="2275" spans="1:6">
      <c r="A2275" s="143">
        <v>51019</v>
      </c>
      <c r="B2275" t="s">
        <v>3441</v>
      </c>
      <c r="C2275" t="s">
        <v>3712</v>
      </c>
      <c r="D2275" t="s">
        <v>7456</v>
      </c>
      <c r="E2275">
        <v>29</v>
      </c>
      <c r="F2275" s="767">
        <v>1229.8399999999999</v>
      </c>
    </row>
    <row r="2276" spans="1:6">
      <c r="A2276" s="143">
        <v>51027</v>
      </c>
      <c r="B2276" t="s">
        <v>6397</v>
      </c>
      <c r="C2276" t="s">
        <v>6436</v>
      </c>
      <c r="D2276" t="s">
        <v>7457</v>
      </c>
      <c r="E2276">
        <v>29</v>
      </c>
      <c r="F2276" s="767">
        <v>34455.040000000001</v>
      </c>
    </row>
    <row r="2277" spans="1:6">
      <c r="A2277" s="143">
        <v>11092</v>
      </c>
      <c r="B2277" t="s">
        <v>6053</v>
      </c>
      <c r="C2277" t="s">
        <v>6169</v>
      </c>
      <c r="D2277" t="s">
        <v>6637</v>
      </c>
      <c r="E2277">
        <v>35</v>
      </c>
      <c r="F2277" s="767">
        <v>2010.94</v>
      </c>
    </row>
    <row r="2278" spans="1:6">
      <c r="A2278" s="143">
        <v>11092</v>
      </c>
      <c r="B2278" t="s">
        <v>6053</v>
      </c>
      <c r="C2278" t="s">
        <v>6169</v>
      </c>
      <c r="D2278" t="s">
        <v>6638</v>
      </c>
      <c r="E2278">
        <v>35</v>
      </c>
      <c r="F2278" s="767">
        <v>11808.25</v>
      </c>
    </row>
    <row r="2279" spans="1:6">
      <c r="A2279" s="143">
        <v>11146</v>
      </c>
      <c r="B2279" t="s">
        <v>6118</v>
      </c>
      <c r="C2279" t="s">
        <v>6119</v>
      </c>
      <c r="D2279" t="s">
        <v>6639</v>
      </c>
      <c r="E2279">
        <v>36</v>
      </c>
      <c r="F2279" s="767">
        <v>2089.0300000000002</v>
      </c>
    </row>
    <row r="2280" spans="1:6">
      <c r="A2280" s="143">
        <v>11241</v>
      </c>
      <c r="B2280" t="s">
        <v>6058</v>
      </c>
      <c r="C2280" t="s">
        <v>6121</v>
      </c>
      <c r="D2280" t="s">
        <v>6640</v>
      </c>
      <c r="E2280">
        <v>36</v>
      </c>
      <c r="F2280" s="767">
        <v>16653.84</v>
      </c>
    </row>
    <row r="2281" spans="1:6">
      <c r="A2281" s="143">
        <v>11241</v>
      </c>
      <c r="B2281" t="s">
        <v>6058</v>
      </c>
      <c r="C2281" t="s">
        <v>6121</v>
      </c>
      <c r="D2281" t="s">
        <v>6641</v>
      </c>
      <c r="E2281">
        <v>36</v>
      </c>
      <c r="F2281" s="767">
        <v>7915.35</v>
      </c>
    </row>
    <row r="2282" spans="1:6">
      <c r="A2282" s="143">
        <v>11259</v>
      </c>
      <c r="B2282" t="s">
        <v>6058</v>
      </c>
      <c r="C2282" t="s">
        <v>6121</v>
      </c>
      <c r="D2282" t="s">
        <v>6642</v>
      </c>
      <c r="E2282">
        <v>36</v>
      </c>
      <c r="F2282" s="767">
        <v>40471.35</v>
      </c>
    </row>
    <row r="2283" spans="1:6">
      <c r="A2283" s="143">
        <v>11259</v>
      </c>
      <c r="B2283" t="s">
        <v>6058</v>
      </c>
      <c r="C2283" t="s">
        <v>6121</v>
      </c>
      <c r="D2283" t="s">
        <v>6643</v>
      </c>
      <c r="E2283">
        <v>36</v>
      </c>
      <c r="F2283" s="767">
        <v>2886.17</v>
      </c>
    </row>
    <row r="2284" spans="1:6">
      <c r="A2284" s="143">
        <v>11381</v>
      </c>
      <c r="B2284" t="s">
        <v>6064</v>
      </c>
      <c r="C2284" t="s">
        <v>6124</v>
      </c>
      <c r="D2284" t="s">
        <v>6644</v>
      </c>
      <c r="E2284">
        <v>36</v>
      </c>
      <c r="F2284" s="767">
        <v>22526.94</v>
      </c>
    </row>
    <row r="2285" spans="1:6">
      <c r="A2285" s="143">
        <v>21097</v>
      </c>
      <c r="B2285" t="s">
        <v>6113</v>
      </c>
      <c r="C2285" t="s">
        <v>6130</v>
      </c>
      <c r="D2285" t="s">
        <v>6645</v>
      </c>
      <c r="E2285">
        <v>36</v>
      </c>
      <c r="F2285" s="767">
        <v>19062</v>
      </c>
    </row>
    <row r="2286" spans="1:6">
      <c r="A2286" s="143">
        <v>12072</v>
      </c>
      <c r="B2286" t="s">
        <v>6499</v>
      </c>
      <c r="C2286" t="s">
        <v>6646</v>
      </c>
      <c r="D2286" t="s">
        <v>6647</v>
      </c>
      <c r="E2286">
        <v>37</v>
      </c>
      <c r="F2286">
        <v>141.91999999999999</v>
      </c>
    </row>
    <row r="2287" spans="1:6">
      <c r="A2287" s="143">
        <v>12072</v>
      </c>
      <c r="B2287" t="s">
        <v>6499</v>
      </c>
      <c r="C2287" t="s">
        <v>6646</v>
      </c>
      <c r="D2287" t="s">
        <v>6648</v>
      </c>
      <c r="E2287">
        <v>37</v>
      </c>
      <c r="F2287">
        <v>352.39</v>
      </c>
    </row>
    <row r="2288" spans="1:6">
      <c r="A2288" s="143">
        <v>12072</v>
      </c>
      <c r="B2288" t="s">
        <v>6499</v>
      </c>
      <c r="C2288" t="s">
        <v>6646</v>
      </c>
      <c r="D2288" t="s">
        <v>6649</v>
      </c>
      <c r="E2288">
        <v>37</v>
      </c>
      <c r="F2288">
        <v>168.87</v>
      </c>
    </row>
    <row r="2289" spans="1:6">
      <c r="A2289" s="143">
        <v>12072</v>
      </c>
      <c r="B2289" t="s">
        <v>6499</v>
      </c>
      <c r="C2289" t="s">
        <v>6646</v>
      </c>
      <c r="D2289" t="s">
        <v>6650</v>
      </c>
      <c r="E2289">
        <v>37</v>
      </c>
      <c r="F2289">
        <v>892.24</v>
      </c>
    </row>
    <row r="2290" spans="1:6">
      <c r="A2290" s="143">
        <v>12072</v>
      </c>
      <c r="B2290" t="s">
        <v>6499</v>
      </c>
      <c r="C2290" t="s">
        <v>6646</v>
      </c>
      <c r="D2290" t="s">
        <v>6651</v>
      </c>
      <c r="E2290">
        <v>37</v>
      </c>
      <c r="F2290">
        <v>202.57</v>
      </c>
    </row>
    <row r="2291" spans="1:6">
      <c r="A2291" s="143">
        <v>12072</v>
      </c>
      <c r="B2291" t="s">
        <v>6499</v>
      </c>
      <c r="C2291" t="s">
        <v>6646</v>
      </c>
      <c r="D2291" t="s">
        <v>6652</v>
      </c>
      <c r="E2291">
        <v>37</v>
      </c>
      <c r="F2291" s="767">
        <v>2239.12</v>
      </c>
    </row>
    <row r="2292" spans="1:6">
      <c r="A2292" s="143">
        <v>11321</v>
      </c>
      <c r="B2292" t="s">
        <v>3391</v>
      </c>
      <c r="C2292" t="s">
        <v>3466</v>
      </c>
      <c r="D2292" t="s">
        <v>6653</v>
      </c>
      <c r="E2292">
        <v>45</v>
      </c>
      <c r="F2292" s="767">
        <v>5520.81</v>
      </c>
    </row>
    <row r="2293" spans="1:6">
      <c r="A2293" s="143">
        <v>12036</v>
      </c>
      <c r="B2293" t="s">
        <v>2113</v>
      </c>
      <c r="C2293" t="s">
        <v>3484</v>
      </c>
      <c r="D2293" t="s">
        <v>6654</v>
      </c>
      <c r="E2293">
        <v>51</v>
      </c>
      <c r="F2293" s="767">
        <v>21316.99</v>
      </c>
    </row>
    <row r="2294" spans="1:6">
      <c r="A2294" s="143">
        <v>12057</v>
      </c>
      <c r="B2294" t="s">
        <v>5969</v>
      </c>
      <c r="C2294" t="s">
        <v>6165</v>
      </c>
      <c r="D2294" t="s">
        <v>6655</v>
      </c>
      <c r="E2294">
        <v>51</v>
      </c>
      <c r="F2294">
        <v>399.56</v>
      </c>
    </row>
    <row r="2295" spans="1:6">
      <c r="A2295" s="143">
        <v>11439</v>
      </c>
      <c r="B2295" t="s">
        <v>1026</v>
      </c>
      <c r="C2295" t="s">
        <v>3492</v>
      </c>
      <c r="D2295" t="s">
        <v>6656</v>
      </c>
      <c r="E2295">
        <v>52</v>
      </c>
      <c r="F2295" s="767">
        <v>1594.26</v>
      </c>
    </row>
    <row r="2296" spans="1:6">
      <c r="A2296" s="143">
        <v>11444</v>
      </c>
      <c r="B2296" t="s">
        <v>3399</v>
      </c>
      <c r="C2296" t="s">
        <v>3460</v>
      </c>
      <c r="D2296" t="s">
        <v>6657</v>
      </c>
      <c r="E2296">
        <v>52</v>
      </c>
      <c r="F2296" s="767">
        <v>5497.48</v>
      </c>
    </row>
    <row r="2297" spans="1:6">
      <c r="A2297" s="143">
        <v>11444</v>
      </c>
      <c r="B2297" t="s">
        <v>3399</v>
      </c>
      <c r="C2297" t="s">
        <v>3460</v>
      </c>
      <c r="D2297" t="s">
        <v>6658</v>
      </c>
      <c r="E2297">
        <v>52</v>
      </c>
      <c r="F2297" s="767">
        <v>13450.18</v>
      </c>
    </row>
    <row r="2298" spans="1:6">
      <c r="A2298" s="143">
        <v>11444</v>
      </c>
      <c r="B2298" t="s">
        <v>3399</v>
      </c>
      <c r="C2298" t="s">
        <v>3460</v>
      </c>
      <c r="D2298" t="s">
        <v>6659</v>
      </c>
      <c r="E2298">
        <v>52</v>
      </c>
      <c r="F2298" s="767">
        <v>21451.65</v>
      </c>
    </row>
    <row r="2299" spans="1:6">
      <c r="A2299" s="143">
        <v>11444</v>
      </c>
      <c r="B2299" t="s">
        <v>3399</v>
      </c>
      <c r="C2299" t="s">
        <v>3460</v>
      </c>
      <c r="D2299" t="s">
        <v>6660</v>
      </c>
      <c r="E2299">
        <v>52</v>
      </c>
      <c r="F2299" s="767">
        <v>64995.93</v>
      </c>
    </row>
    <row r="2300" spans="1:6">
      <c r="A2300" s="143">
        <v>11444</v>
      </c>
      <c r="B2300" t="s">
        <v>3399</v>
      </c>
      <c r="C2300" t="s">
        <v>3460</v>
      </c>
      <c r="D2300" t="s">
        <v>6661</v>
      </c>
      <c r="E2300">
        <v>52</v>
      </c>
      <c r="F2300" s="767">
        <v>44522.48</v>
      </c>
    </row>
    <row r="2301" spans="1:6">
      <c r="A2301" s="143">
        <v>11832</v>
      </c>
      <c r="B2301" t="s">
        <v>3431</v>
      </c>
      <c r="C2301" t="s">
        <v>3453</v>
      </c>
      <c r="D2301" t="s">
        <v>6662</v>
      </c>
      <c r="E2301">
        <v>52</v>
      </c>
      <c r="F2301" s="767">
        <v>73996.98</v>
      </c>
    </row>
    <row r="2302" spans="1:6">
      <c r="A2302" s="143">
        <v>11925</v>
      </c>
      <c r="B2302" t="s">
        <v>6086</v>
      </c>
      <c r="C2302" t="s">
        <v>6185</v>
      </c>
      <c r="D2302" t="s">
        <v>6663</v>
      </c>
      <c r="E2302">
        <v>52</v>
      </c>
      <c r="F2302">
        <v>122.1</v>
      </c>
    </row>
    <row r="2303" spans="1:6">
      <c r="A2303" s="143">
        <v>12029</v>
      </c>
      <c r="B2303" t="s">
        <v>4114</v>
      </c>
      <c r="C2303" t="s">
        <v>6162</v>
      </c>
      <c r="D2303" t="s">
        <v>6664</v>
      </c>
      <c r="E2303">
        <v>52</v>
      </c>
      <c r="F2303">
        <v>329.84</v>
      </c>
    </row>
    <row r="2304" spans="1:6">
      <c r="A2304" s="143">
        <v>12029</v>
      </c>
      <c r="B2304" t="s">
        <v>4114</v>
      </c>
      <c r="C2304" t="s">
        <v>6162</v>
      </c>
      <c r="D2304" t="s">
        <v>6665</v>
      </c>
      <c r="E2304">
        <v>52</v>
      </c>
      <c r="F2304">
        <v>329.84</v>
      </c>
    </row>
    <row r="2305" spans="1:6">
      <c r="A2305" s="143">
        <v>21090</v>
      </c>
      <c r="B2305" t="s">
        <v>1195</v>
      </c>
      <c r="C2305" t="s">
        <v>3475</v>
      </c>
      <c r="D2305" t="s">
        <v>6666</v>
      </c>
      <c r="E2305">
        <v>52</v>
      </c>
      <c r="F2305" s="767">
        <v>25811.84</v>
      </c>
    </row>
    <row r="2306" spans="1:6">
      <c r="A2306" s="143">
        <v>31024</v>
      </c>
      <c r="B2306" t="s">
        <v>3399</v>
      </c>
      <c r="C2306" t="s">
        <v>3460</v>
      </c>
      <c r="D2306" t="s">
        <v>6667</v>
      </c>
      <c r="E2306">
        <v>52</v>
      </c>
      <c r="F2306" s="767">
        <v>1903.62</v>
      </c>
    </row>
    <row r="2307" spans="1:6">
      <c r="A2307" s="143">
        <v>11946</v>
      </c>
      <c r="B2307" t="s">
        <v>3425</v>
      </c>
      <c r="C2307" t="s">
        <v>3515</v>
      </c>
      <c r="D2307" t="s">
        <v>6668</v>
      </c>
      <c r="E2307">
        <v>57</v>
      </c>
      <c r="F2307">
        <v>756.29</v>
      </c>
    </row>
    <row r="2308" spans="1:6">
      <c r="A2308" s="143">
        <v>12026</v>
      </c>
      <c r="B2308" t="s">
        <v>4088</v>
      </c>
      <c r="C2308" t="s">
        <v>4090</v>
      </c>
      <c r="D2308" t="s">
        <v>6669</v>
      </c>
      <c r="E2308">
        <v>57</v>
      </c>
      <c r="F2308">
        <v>422.46</v>
      </c>
    </row>
    <row r="2309" spans="1:6">
      <c r="A2309" s="143">
        <v>12002</v>
      </c>
      <c r="B2309" t="s">
        <v>3479</v>
      </c>
      <c r="C2309" t="s">
        <v>3480</v>
      </c>
      <c r="D2309" t="s">
        <v>6670</v>
      </c>
      <c r="E2309">
        <v>58</v>
      </c>
      <c r="F2309" s="767">
        <v>4600.63</v>
      </c>
    </row>
    <row r="2310" spans="1:6">
      <c r="A2310" s="143">
        <v>12011</v>
      </c>
      <c r="B2310" t="s">
        <v>3301</v>
      </c>
      <c r="C2310" t="s">
        <v>3458</v>
      </c>
      <c r="D2310" t="s">
        <v>6671</v>
      </c>
      <c r="E2310">
        <v>58</v>
      </c>
      <c r="F2310">
        <v>137.43</v>
      </c>
    </row>
    <row r="2311" spans="1:6">
      <c r="A2311" s="143">
        <v>12013</v>
      </c>
      <c r="B2311" t="s">
        <v>3252</v>
      </c>
      <c r="C2311" t="s">
        <v>5906</v>
      </c>
      <c r="D2311" t="s">
        <v>6672</v>
      </c>
      <c r="E2311">
        <v>58</v>
      </c>
      <c r="F2311">
        <v>137.43</v>
      </c>
    </row>
    <row r="2312" spans="1:6">
      <c r="A2312" s="143">
        <v>12060</v>
      </c>
      <c r="B2312" t="s">
        <v>5875</v>
      </c>
      <c r="C2312" t="s">
        <v>5879</v>
      </c>
      <c r="D2312" t="s">
        <v>6674</v>
      </c>
      <c r="E2312">
        <v>58</v>
      </c>
      <c r="F2312">
        <v>439.19</v>
      </c>
    </row>
    <row r="2313" spans="1:6">
      <c r="A2313" s="143">
        <v>12062</v>
      </c>
      <c r="B2313" t="s">
        <v>6382</v>
      </c>
      <c r="C2313" t="s">
        <v>6409</v>
      </c>
      <c r="D2313" t="s">
        <v>6675</v>
      </c>
      <c r="E2313">
        <v>58</v>
      </c>
      <c r="F2313" s="767">
        <v>1084.95</v>
      </c>
    </row>
    <row r="2314" spans="1:6">
      <c r="A2314" s="143">
        <v>21012</v>
      </c>
      <c r="B2314" t="s">
        <v>6110</v>
      </c>
      <c r="C2314" t="s">
        <v>6188</v>
      </c>
      <c r="D2314" t="s">
        <v>6676</v>
      </c>
      <c r="E2314">
        <v>58</v>
      </c>
      <c r="F2314" s="767">
        <v>1243.77</v>
      </c>
    </row>
    <row r="2315" spans="1:6">
      <c r="A2315" s="143">
        <v>21095</v>
      </c>
      <c r="B2315" t="s">
        <v>3112</v>
      </c>
      <c r="C2315" t="s">
        <v>3522</v>
      </c>
      <c r="D2315" t="s">
        <v>6677</v>
      </c>
      <c r="E2315">
        <v>58</v>
      </c>
      <c r="F2315" s="767">
        <v>2314.67</v>
      </c>
    </row>
    <row r="2316" spans="1:6">
      <c r="A2316" s="143">
        <v>31011</v>
      </c>
      <c r="B2316" t="s">
        <v>6115</v>
      </c>
      <c r="C2316" t="s">
        <v>6191</v>
      </c>
      <c r="D2316" t="s">
        <v>6678</v>
      </c>
      <c r="E2316">
        <v>58</v>
      </c>
      <c r="F2316" s="767">
        <v>46988.41</v>
      </c>
    </row>
    <row r="2317" spans="1:6">
      <c r="A2317" s="143">
        <v>31011</v>
      </c>
      <c r="B2317" t="s">
        <v>6115</v>
      </c>
      <c r="C2317" t="s">
        <v>6191</v>
      </c>
      <c r="D2317" t="s">
        <v>6679</v>
      </c>
      <c r="E2317">
        <v>58</v>
      </c>
      <c r="F2317" s="767">
        <v>41128.42</v>
      </c>
    </row>
    <row r="2318" spans="1:6">
      <c r="A2318" s="143">
        <v>31027</v>
      </c>
      <c r="B2318" t="s">
        <v>1037</v>
      </c>
      <c r="C2318" t="s">
        <v>3498</v>
      </c>
      <c r="D2318" t="s">
        <v>6680</v>
      </c>
      <c r="E2318">
        <v>58</v>
      </c>
      <c r="F2318" s="767">
        <v>6001.07</v>
      </c>
    </row>
    <row r="2319" spans="1:6">
      <c r="A2319" s="143">
        <v>31030</v>
      </c>
      <c r="B2319" t="s">
        <v>3439</v>
      </c>
      <c r="C2319" t="s">
        <v>3525</v>
      </c>
      <c r="D2319" t="s">
        <v>6681</v>
      </c>
      <c r="E2319">
        <v>58</v>
      </c>
      <c r="F2319" s="767">
        <v>6379.93</v>
      </c>
    </row>
    <row r="2320" spans="1:6">
      <c r="A2320" s="143">
        <v>11002</v>
      </c>
      <c r="B2320" t="s">
        <v>1127</v>
      </c>
      <c r="C2320" t="s">
        <v>3528</v>
      </c>
      <c r="D2320" t="s">
        <v>6682</v>
      </c>
      <c r="E2320">
        <v>59</v>
      </c>
      <c r="F2320" s="767">
        <v>291096.78999999998</v>
      </c>
    </row>
    <row r="2321" spans="1:6">
      <c r="A2321" s="143">
        <v>11076</v>
      </c>
      <c r="B2321" t="s">
        <v>5385</v>
      </c>
      <c r="C2321" t="s">
        <v>5435</v>
      </c>
      <c r="D2321" t="s">
        <v>6684</v>
      </c>
      <c r="E2321">
        <v>59</v>
      </c>
      <c r="F2321" s="767">
        <v>6896.38</v>
      </c>
    </row>
    <row r="2322" spans="1:6">
      <c r="A2322" s="143">
        <v>11123</v>
      </c>
      <c r="B2322" t="s">
        <v>3385</v>
      </c>
      <c r="C2322" t="s">
        <v>3532</v>
      </c>
      <c r="D2322" t="s">
        <v>6686</v>
      </c>
      <c r="E2322">
        <v>59</v>
      </c>
      <c r="F2322">
        <v>632.54</v>
      </c>
    </row>
    <row r="2323" spans="1:6">
      <c r="A2323" s="143">
        <v>11123</v>
      </c>
      <c r="B2323" t="s">
        <v>3385</v>
      </c>
      <c r="C2323" t="s">
        <v>3532</v>
      </c>
      <c r="D2323" t="s">
        <v>6687</v>
      </c>
      <c r="E2323">
        <v>59</v>
      </c>
      <c r="F2323">
        <v>302.36</v>
      </c>
    </row>
    <row r="2324" spans="1:6">
      <c r="A2324" s="143">
        <v>11123</v>
      </c>
      <c r="B2324" t="s">
        <v>3385</v>
      </c>
      <c r="C2324" t="s">
        <v>3532</v>
      </c>
      <c r="D2324" t="s">
        <v>6688</v>
      </c>
      <c r="E2324">
        <v>59</v>
      </c>
      <c r="F2324" s="767">
        <v>3095.47</v>
      </c>
    </row>
    <row r="2325" spans="1:6">
      <c r="A2325" s="143">
        <v>11123</v>
      </c>
      <c r="B2325" t="s">
        <v>3385</v>
      </c>
      <c r="C2325" t="s">
        <v>3532</v>
      </c>
      <c r="D2325" t="s">
        <v>6689</v>
      </c>
      <c r="E2325">
        <v>59</v>
      </c>
      <c r="F2325">
        <v>329.84</v>
      </c>
    </row>
    <row r="2326" spans="1:6">
      <c r="A2326" s="143">
        <v>11123</v>
      </c>
      <c r="B2326" t="s">
        <v>3385</v>
      </c>
      <c r="C2326" t="s">
        <v>3532</v>
      </c>
      <c r="D2326" t="s">
        <v>6690</v>
      </c>
      <c r="E2326">
        <v>59</v>
      </c>
      <c r="F2326">
        <v>494.77</v>
      </c>
    </row>
    <row r="2327" spans="1:6">
      <c r="A2327" s="143">
        <v>11123</v>
      </c>
      <c r="B2327" t="s">
        <v>3385</v>
      </c>
      <c r="C2327" t="s">
        <v>3532</v>
      </c>
      <c r="D2327" t="s">
        <v>6691</v>
      </c>
      <c r="E2327">
        <v>59</v>
      </c>
      <c r="F2327" s="767">
        <v>2751.91</v>
      </c>
    </row>
    <row r="2328" spans="1:6">
      <c r="A2328" s="143">
        <v>11123</v>
      </c>
      <c r="B2328" t="s">
        <v>3385</v>
      </c>
      <c r="C2328" t="s">
        <v>3532</v>
      </c>
      <c r="D2328" t="s">
        <v>6685</v>
      </c>
      <c r="E2328">
        <v>59</v>
      </c>
      <c r="F2328">
        <v>460.98</v>
      </c>
    </row>
    <row r="2329" spans="1:6">
      <c r="A2329" s="143">
        <v>11367</v>
      </c>
      <c r="B2329" t="s">
        <v>4185</v>
      </c>
      <c r="C2329" t="s">
        <v>4186</v>
      </c>
      <c r="D2329" t="s">
        <v>6692</v>
      </c>
      <c r="E2329">
        <v>59</v>
      </c>
      <c r="F2329" s="767">
        <v>4812.1899999999996</v>
      </c>
    </row>
    <row r="2330" spans="1:6">
      <c r="A2330" s="143">
        <v>11413</v>
      </c>
      <c r="B2330" t="s">
        <v>3396</v>
      </c>
      <c r="C2330" t="s">
        <v>3490</v>
      </c>
      <c r="D2330" t="s">
        <v>6693</v>
      </c>
      <c r="E2330">
        <v>59</v>
      </c>
      <c r="F2330" s="767">
        <v>11064.7</v>
      </c>
    </row>
    <row r="2331" spans="1:6">
      <c r="A2331" s="143">
        <v>11413</v>
      </c>
      <c r="B2331" t="s">
        <v>3396</v>
      </c>
      <c r="C2331" t="s">
        <v>3490</v>
      </c>
      <c r="D2331" t="s">
        <v>6694</v>
      </c>
      <c r="E2331">
        <v>59</v>
      </c>
      <c r="F2331" s="767">
        <v>6900.94</v>
      </c>
    </row>
    <row r="2332" spans="1:6">
      <c r="A2332" s="143">
        <v>11418</v>
      </c>
      <c r="B2332" t="s">
        <v>6106</v>
      </c>
      <c r="C2332" t="s">
        <v>6146</v>
      </c>
      <c r="D2332" t="s">
        <v>6695</v>
      </c>
      <c r="E2332">
        <v>59</v>
      </c>
      <c r="F2332" s="767">
        <v>9890.69</v>
      </c>
    </row>
    <row r="2333" spans="1:6">
      <c r="A2333" s="143">
        <v>11480</v>
      </c>
      <c r="B2333" t="s">
        <v>3403</v>
      </c>
      <c r="C2333" t="s">
        <v>3494</v>
      </c>
      <c r="D2333" t="s">
        <v>6696</v>
      </c>
      <c r="E2333">
        <v>59</v>
      </c>
      <c r="F2333" s="767">
        <v>1198.23</v>
      </c>
    </row>
    <row r="2334" spans="1:6">
      <c r="A2334" s="143">
        <v>11522</v>
      </c>
      <c r="B2334" t="s">
        <v>6697</v>
      </c>
      <c r="C2334" t="s">
        <v>6698</v>
      </c>
      <c r="D2334" t="s">
        <v>6700</v>
      </c>
      <c r="E2334">
        <v>59</v>
      </c>
      <c r="F2334" s="767">
        <v>1704.21</v>
      </c>
    </row>
    <row r="2335" spans="1:6">
      <c r="A2335" s="143">
        <v>11522</v>
      </c>
      <c r="B2335" t="s">
        <v>6697</v>
      </c>
      <c r="C2335" t="s">
        <v>6698</v>
      </c>
      <c r="D2335" t="s">
        <v>6701</v>
      </c>
      <c r="E2335">
        <v>59</v>
      </c>
      <c r="F2335" s="767">
        <v>71424.240000000005</v>
      </c>
    </row>
    <row r="2336" spans="1:6">
      <c r="A2336" s="143">
        <v>11522</v>
      </c>
      <c r="B2336" t="s">
        <v>6697</v>
      </c>
      <c r="C2336" t="s">
        <v>6698</v>
      </c>
      <c r="D2336" t="s">
        <v>6699</v>
      </c>
      <c r="E2336">
        <v>59</v>
      </c>
      <c r="F2336" s="767">
        <v>1484.32</v>
      </c>
    </row>
    <row r="2337" spans="1:6">
      <c r="A2337" s="143">
        <v>11561</v>
      </c>
      <c r="B2337" t="s">
        <v>6342</v>
      </c>
      <c r="C2337" t="s">
        <v>6447</v>
      </c>
      <c r="D2337" t="s">
        <v>6704</v>
      </c>
      <c r="E2337">
        <v>59</v>
      </c>
      <c r="F2337" s="767">
        <v>48623.74</v>
      </c>
    </row>
    <row r="2338" spans="1:6">
      <c r="A2338" s="143">
        <v>11561</v>
      </c>
      <c r="B2338" t="s">
        <v>6342</v>
      </c>
      <c r="C2338" t="s">
        <v>6447</v>
      </c>
      <c r="D2338" t="s">
        <v>6705</v>
      </c>
      <c r="E2338">
        <v>59</v>
      </c>
      <c r="F2338" s="767">
        <v>2128.38</v>
      </c>
    </row>
    <row r="2339" spans="1:6">
      <c r="A2339" s="143">
        <v>11561</v>
      </c>
      <c r="B2339" t="s">
        <v>6342</v>
      </c>
      <c r="C2339" t="s">
        <v>6447</v>
      </c>
      <c r="D2339" t="s">
        <v>6706</v>
      </c>
      <c r="E2339">
        <v>59</v>
      </c>
      <c r="F2339" s="767">
        <v>1142.6099999999999</v>
      </c>
    </row>
    <row r="2340" spans="1:6">
      <c r="A2340" s="143">
        <v>11561</v>
      </c>
      <c r="B2340" t="s">
        <v>6342</v>
      </c>
      <c r="C2340" t="s">
        <v>6447</v>
      </c>
      <c r="D2340" t="s">
        <v>6707</v>
      </c>
      <c r="E2340">
        <v>59</v>
      </c>
      <c r="F2340" s="767">
        <v>2986.89</v>
      </c>
    </row>
    <row r="2341" spans="1:6">
      <c r="A2341" s="143">
        <v>11561</v>
      </c>
      <c r="B2341" t="s">
        <v>6342</v>
      </c>
      <c r="C2341" t="s">
        <v>6447</v>
      </c>
      <c r="D2341" t="s">
        <v>6708</v>
      </c>
      <c r="E2341">
        <v>59</v>
      </c>
      <c r="F2341" s="767">
        <v>1603.5</v>
      </c>
    </row>
    <row r="2342" spans="1:6">
      <c r="A2342" s="143">
        <v>11604</v>
      </c>
      <c r="B2342" t="s">
        <v>3497</v>
      </c>
      <c r="C2342" t="s">
        <v>3498</v>
      </c>
      <c r="D2342" t="s">
        <v>6709</v>
      </c>
      <c r="E2342">
        <v>59</v>
      </c>
      <c r="F2342" s="767">
        <v>1648.51</v>
      </c>
    </row>
    <row r="2343" spans="1:6">
      <c r="A2343" s="143">
        <v>11606</v>
      </c>
      <c r="B2343" t="s">
        <v>3405</v>
      </c>
      <c r="C2343" t="s">
        <v>3500</v>
      </c>
      <c r="D2343" t="s">
        <v>6710</v>
      </c>
      <c r="E2343">
        <v>59</v>
      </c>
      <c r="F2343" s="767">
        <v>6108.1</v>
      </c>
    </row>
    <row r="2344" spans="1:6">
      <c r="A2344" s="143">
        <v>11606</v>
      </c>
      <c r="B2344" t="s">
        <v>3405</v>
      </c>
      <c r="C2344" t="s">
        <v>3500</v>
      </c>
      <c r="D2344" t="s">
        <v>6711</v>
      </c>
      <c r="E2344">
        <v>59</v>
      </c>
      <c r="F2344" s="767">
        <v>2879.57</v>
      </c>
    </row>
    <row r="2345" spans="1:6">
      <c r="A2345" s="143">
        <v>11606</v>
      </c>
      <c r="B2345" t="s">
        <v>3405</v>
      </c>
      <c r="C2345" t="s">
        <v>3500</v>
      </c>
      <c r="D2345" t="s">
        <v>6712</v>
      </c>
      <c r="E2345">
        <v>59</v>
      </c>
      <c r="F2345" s="767">
        <v>1545.89</v>
      </c>
    </row>
    <row r="2346" spans="1:6">
      <c r="A2346" s="143">
        <v>11736</v>
      </c>
      <c r="B2346" t="s">
        <v>1030</v>
      </c>
      <c r="C2346" t="s">
        <v>3503</v>
      </c>
      <c r="D2346" t="s">
        <v>6713</v>
      </c>
      <c r="E2346">
        <v>59</v>
      </c>
      <c r="F2346">
        <v>723</v>
      </c>
    </row>
    <row r="2347" spans="1:6">
      <c r="A2347" s="143">
        <v>11737</v>
      </c>
      <c r="B2347" t="s">
        <v>1030</v>
      </c>
      <c r="C2347" t="s">
        <v>3503</v>
      </c>
      <c r="D2347" t="s">
        <v>6714</v>
      </c>
      <c r="E2347">
        <v>59</v>
      </c>
      <c r="F2347" s="767">
        <v>2677.92</v>
      </c>
    </row>
    <row r="2348" spans="1:6">
      <c r="A2348" s="143">
        <v>11764</v>
      </c>
      <c r="B2348" t="s">
        <v>5532</v>
      </c>
      <c r="C2348" t="s">
        <v>5576</v>
      </c>
      <c r="D2348" t="s">
        <v>6715</v>
      </c>
      <c r="E2348">
        <v>59</v>
      </c>
      <c r="F2348" s="767">
        <v>20510.54</v>
      </c>
    </row>
    <row r="2349" spans="1:6">
      <c r="A2349" s="143">
        <v>11767</v>
      </c>
      <c r="B2349" t="s">
        <v>3504</v>
      </c>
      <c r="C2349" t="s">
        <v>3505</v>
      </c>
      <c r="D2349" t="s">
        <v>6716</v>
      </c>
      <c r="E2349">
        <v>59</v>
      </c>
      <c r="F2349" s="767">
        <v>2321.36</v>
      </c>
    </row>
    <row r="2350" spans="1:6">
      <c r="A2350" s="143">
        <v>11770</v>
      </c>
      <c r="B2350" t="s">
        <v>5459</v>
      </c>
      <c r="C2350" t="s">
        <v>5494</v>
      </c>
      <c r="D2350" t="s">
        <v>6717</v>
      </c>
      <c r="E2350">
        <v>59</v>
      </c>
      <c r="F2350">
        <v>122.1</v>
      </c>
    </row>
    <row r="2351" spans="1:6">
      <c r="A2351" s="143">
        <v>11797</v>
      </c>
      <c r="B2351" t="s">
        <v>6079</v>
      </c>
      <c r="C2351" t="s">
        <v>6141</v>
      </c>
      <c r="D2351" t="s">
        <v>6718</v>
      </c>
      <c r="E2351">
        <v>59</v>
      </c>
      <c r="F2351">
        <v>995.5</v>
      </c>
    </row>
    <row r="2352" spans="1:6">
      <c r="A2352" s="143">
        <v>11802</v>
      </c>
      <c r="B2352" t="s">
        <v>3412</v>
      </c>
      <c r="C2352" t="s">
        <v>3545</v>
      </c>
      <c r="D2352" t="s">
        <v>6719</v>
      </c>
      <c r="E2352">
        <v>59</v>
      </c>
      <c r="F2352" s="767">
        <v>18344.64</v>
      </c>
    </row>
    <row r="2353" spans="1:6">
      <c r="A2353" s="143">
        <v>11811</v>
      </c>
      <c r="B2353" t="s">
        <v>3415</v>
      </c>
      <c r="C2353" t="s">
        <v>3987</v>
      </c>
      <c r="D2353" t="s">
        <v>6720</v>
      </c>
      <c r="E2353">
        <v>59</v>
      </c>
      <c r="F2353" s="767">
        <v>7596.76</v>
      </c>
    </row>
    <row r="2354" spans="1:6">
      <c r="A2354" s="143">
        <v>11812</v>
      </c>
      <c r="B2354" t="s">
        <v>3416</v>
      </c>
      <c r="C2354" t="s">
        <v>3616</v>
      </c>
      <c r="D2354" t="s">
        <v>6721</v>
      </c>
      <c r="E2354">
        <v>59</v>
      </c>
      <c r="F2354" s="767">
        <v>3324.99</v>
      </c>
    </row>
    <row r="2355" spans="1:6">
      <c r="A2355" s="143">
        <v>11814</v>
      </c>
      <c r="B2355" t="s">
        <v>3418</v>
      </c>
      <c r="C2355" t="s">
        <v>3546</v>
      </c>
      <c r="D2355" t="s">
        <v>6722</v>
      </c>
      <c r="E2355">
        <v>59</v>
      </c>
      <c r="F2355" s="767">
        <v>4830.62</v>
      </c>
    </row>
    <row r="2356" spans="1:6">
      <c r="A2356" s="143">
        <v>11816</v>
      </c>
      <c r="B2356" t="s">
        <v>6723</v>
      </c>
      <c r="C2356" t="s">
        <v>6724</v>
      </c>
      <c r="D2356" t="s">
        <v>6725</v>
      </c>
      <c r="E2356">
        <v>59</v>
      </c>
      <c r="F2356">
        <v>399.56</v>
      </c>
    </row>
    <row r="2357" spans="1:6">
      <c r="A2357" s="143">
        <v>11816</v>
      </c>
      <c r="B2357" t="s">
        <v>6723</v>
      </c>
      <c r="C2357" t="s">
        <v>6724</v>
      </c>
      <c r="D2357" t="s">
        <v>6726</v>
      </c>
      <c r="E2357">
        <v>59</v>
      </c>
      <c r="F2357" s="767">
        <v>2183.23</v>
      </c>
    </row>
    <row r="2358" spans="1:6">
      <c r="A2358" s="143">
        <v>11816</v>
      </c>
      <c r="B2358" t="s">
        <v>6723</v>
      </c>
      <c r="C2358" t="s">
        <v>6724</v>
      </c>
      <c r="D2358" t="s">
        <v>6727</v>
      </c>
      <c r="E2358">
        <v>59</v>
      </c>
      <c r="F2358">
        <v>241.01</v>
      </c>
    </row>
    <row r="2359" spans="1:6">
      <c r="A2359" s="143">
        <v>11830</v>
      </c>
      <c r="B2359" t="s">
        <v>5858</v>
      </c>
      <c r="C2359" t="s">
        <v>5914</v>
      </c>
      <c r="D2359" t="s">
        <v>6728</v>
      </c>
      <c r="E2359">
        <v>59</v>
      </c>
      <c r="F2359">
        <v>194.49</v>
      </c>
    </row>
    <row r="2360" spans="1:6">
      <c r="A2360" s="143">
        <v>11834</v>
      </c>
      <c r="B2360" t="s">
        <v>6082</v>
      </c>
      <c r="C2360" t="s">
        <v>6181</v>
      </c>
      <c r="D2360" t="s">
        <v>6729</v>
      </c>
      <c r="E2360">
        <v>59</v>
      </c>
      <c r="F2360" s="767">
        <v>1611.25</v>
      </c>
    </row>
    <row r="2361" spans="1:6">
      <c r="A2361" s="143">
        <v>11834</v>
      </c>
      <c r="B2361" t="s">
        <v>6082</v>
      </c>
      <c r="C2361" t="s">
        <v>6181</v>
      </c>
      <c r="D2361" t="s">
        <v>6730</v>
      </c>
      <c r="E2361">
        <v>59</v>
      </c>
      <c r="F2361">
        <v>514.49</v>
      </c>
    </row>
    <row r="2362" spans="1:6">
      <c r="A2362" s="143">
        <v>11888</v>
      </c>
      <c r="B2362" t="s">
        <v>1709</v>
      </c>
      <c r="C2362" t="s">
        <v>5578</v>
      </c>
      <c r="D2362" t="s">
        <v>6731</v>
      </c>
      <c r="E2362">
        <v>59</v>
      </c>
      <c r="F2362" s="767">
        <v>2957.48</v>
      </c>
    </row>
    <row r="2363" spans="1:6">
      <c r="A2363" s="143">
        <v>11909</v>
      </c>
      <c r="B2363" t="s">
        <v>2130</v>
      </c>
      <c r="C2363" t="s">
        <v>3514</v>
      </c>
      <c r="D2363" t="s">
        <v>6732</v>
      </c>
      <c r="E2363">
        <v>59</v>
      </c>
      <c r="F2363" s="767">
        <v>6930.97</v>
      </c>
    </row>
    <row r="2364" spans="1:6">
      <c r="A2364" s="143">
        <v>11916</v>
      </c>
      <c r="B2364" t="s">
        <v>5402</v>
      </c>
      <c r="C2364" t="s">
        <v>5433</v>
      </c>
      <c r="D2364" t="s">
        <v>6733</v>
      </c>
      <c r="E2364">
        <v>59</v>
      </c>
      <c r="F2364" s="767">
        <v>1280.6500000000001</v>
      </c>
    </row>
    <row r="2365" spans="1:6">
      <c r="A2365" s="143">
        <v>11941</v>
      </c>
      <c r="B2365" t="s">
        <v>6364</v>
      </c>
      <c r="C2365" t="s">
        <v>6463</v>
      </c>
      <c r="D2365" t="s">
        <v>6734</v>
      </c>
      <c r="E2365">
        <v>59</v>
      </c>
      <c r="F2365" s="767">
        <v>15029.11</v>
      </c>
    </row>
    <row r="2366" spans="1:6">
      <c r="A2366" s="143">
        <v>11949</v>
      </c>
      <c r="B2366" t="s">
        <v>6597</v>
      </c>
      <c r="C2366" t="s">
        <v>6735</v>
      </c>
      <c r="D2366" t="s">
        <v>6736</v>
      </c>
      <c r="E2366">
        <v>59</v>
      </c>
      <c r="F2366" s="767">
        <v>1405.2</v>
      </c>
    </row>
    <row r="2367" spans="1:6">
      <c r="A2367" s="143">
        <v>11959</v>
      </c>
      <c r="B2367" t="s">
        <v>6148</v>
      </c>
      <c r="C2367" t="s">
        <v>6149</v>
      </c>
      <c r="D2367" t="s">
        <v>6737</v>
      </c>
      <c r="E2367">
        <v>59</v>
      </c>
      <c r="F2367" s="767">
        <v>3646.63</v>
      </c>
    </row>
    <row r="2368" spans="1:6">
      <c r="A2368" s="143">
        <v>11962</v>
      </c>
      <c r="B2368" t="s">
        <v>4172</v>
      </c>
      <c r="C2368" t="s">
        <v>3456</v>
      </c>
      <c r="D2368" t="s">
        <v>6738</v>
      </c>
      <c r="E2368">
        <v>59</v>
      </c>
      <c r="F2368" s="767">
        <v>1862.43</v>
      </c>
    </row>
    <row r="2369" spans="1:6">
      <c r="A2369" s="143">
        <v>11962</v>
      </c>
      <c r="B2369" t="s">
        <v>4172</v>
      </c>
      <c r="C2369" t="s">
        <v>3456</v>
      </c>
      <c r="D2369" t="s">
        <v>6739</v>
      </c>
      <c r="E2369">
        <v>59</v>
      </c>
      <c r="F2369">
        <v>517.95000000000005</v>
      </c>
    </row>
    <row r="2370" spans="1:6">
      <c r="A2370" s="143">
        <v>11974</v>
      </c>
      <c r="B2370" t="s">
        <v>3548</v>
      </c>
      <c r="C2370" t="s">
        <v>3549</v>
      </c>
      <c r="D2370" t="s">
        <v>6740</v>
      </c>
      <c r="E2370">
        <v>59</v>
      </c>
      <c r="F2370" s="767">
        <v>1670.69</v>
      </c>
    </row>
    <row r="2371" spans="1:6">
      <c r="A2371" s="143">
        <v>11981</v>
      </c>
      <c r="B2371" t="s">
        <v>5466</v>
      </c>
      <c r="C2371" t="s">
        <v>5497</v>
      </c>
      <c r="D2371" t="s">
        <v>6741</v>
      </c>
      <c r="E2371">
        <v>59</v>
      </c>
      <c r="F2371" s="767">
        <v>1510.6</v>
      </c>
    </row>
    <row r="2372" spans="1:6">
      <c r="A2372" s="143">
        <v>11989</v>
      </c>
      <c r="B2372" t="s">
        <v>3471</v>
      </c>
      <c r="C2372" t="s">
        <v>3472</v>
      </c>
      <c r="D2372" t="s">
        <v>6742</v>
      </c>
      <c r="E2372">
        <v>59</v>
      </c>
      <c r="F2372" s="767">
        <v>1250.44</v>
      </c>
    </row>
    <row r="2373" spans="1:6">
      <c r="A2373" s="143">
        <v>11989</v>
      </c>
      <c r="B2373" t="s">
        <v>3471</v>
      </c>
      <c r="C2373" t="s">
        <v>3472</v>
      </c>
      <c r="D2373" t="s">
        <v>6743</v>
      </c>
      <c r="E2373">
        <v>59</v>
      </c>
      <c r="F2373" s="767">
        <v>4557.5200000000004</v>
      </c>
    </row>
    <row r="2374" spans="1:6">
      <c r="A2374" s="143">
        <v>12000</v>
      </c>
      <c r="B2374" t="s">
        <v>5865</v>
      </c>
      <c r="C2374" t="s">
        <v>5902</v>
      </c>
      <c r="D2374" t="s">
        <v>7458</v>
      </c>
      <c r="E2374">
        <v>59</v>
      </c>
      <c r="F2374" s="767">
        <v>1566.78</v>
      </c>
    </row>
    <row r="2375" spans="1:6">
      <c r="A2375" s="143">
        <v>12025</v>
      </c>
      <c r="B2375" t="s">
        <v>3368</v>
      </c>
      <c r="C2375" t="s">
        <v>6426</v>
      </c>
      <c r="D2375" t="s">
        <v>6744</v>
      </c>
      <c r="E2375">
        <v>59</v>
      </c>
      <c r="F2375" s="767">
        <v>1128.08</v>
      </c>
    </row>
    <row r="2376" spans="1:6">
      <c r="A2376" s="143">
        <v>11023</v>
      </c>
      <c r="B2376" t="s">
        <v>3379</v>
      </c>
      <c r="C2376" t="s">
        <v>3484</v>
      </c>
      <c r="D2376" t="s">
        <v>6745</v>
      </c>
      <c r="E2376">
        <v>60</v>
      </c>
      <c r="F2376">
        <v>17.43</v>
      </c>
    </row>
    <row r="2377" spans="1:6">
      <c r="A2377" s="143">
        <v>11232</v>
      </c>
      <c r="B2377" t="s">
        <v>3388</v>
      </c>
      <c r="C2377" t="s">
        <v>3533</v>
      </c>
      <c r="D2377" t="s">
        <v>6746</v>
      </c>
      <c r="E2377">
        <v>60</v>
      </c>
      <c r="F2377" s="767">
        <v>1621.76</v>
      </c>
    </row>
    <row r="2378" spans="1:6">
      <c r="A2378" s="143">
        <v>11320</v>
      </c>
      <c r="B2378" t="s">
        <v>3388</v>
      </c>
      <c r="C2378" t="s">
        <v>3533</v>
      </c>
      <c r="D2378" t="s">
        <v>6747</v>
      </c>
      <c r="E2378">
        <v>60</v>
      </c>
      <c r="F2378" s="767">
        <v>26809.85</v>
      </c>
    </row>
    <row r="2379" spans="1:6">
      <c r="A2379" s="143">
        <v>11404</v>
      </c>
      <c r="B2379" t="s">
        <v>3395</v>
      </c>
      <c r="C2379" t="s">
        <v>3533</v>
      </c>
      <c r="D2379" t="s">
        <v>6748</v>
      </c>
      <c r="E2379">
        <v>60</v>
      </c>
      <c r="F2379">
        <v>797.13</v>
      </c>
    </row>
    <row r="2380" spans="1:6">
      <c r="A2380" s="143">
        <v>11546</v>
      </c>
      <c r="B2380" t="s">
        <v>6484</v>
      </c>
      <c r="C2380" t="s">
        <v>6485</v>
      </c>
      <c r="D2380" t="s">
        <v>6749</v>
      </c>
      <c r="E2380">
        <v>60</v>
      </c>
      <c r="F2380" s="767">
        <v>11557.02</v>
      </c>
    </row>
    <row r="2381" spans="1:6">
      <c r="A2381" s="143">
        <v>11918</v>
      </c>
      <c r="B2381" t="s">
        <v>2134</v>
      </c>
      <c r="C2381" t="s">
        <v>5416</v>
      </c>
      <c r="D2381" t="s">
        <v>6750</v>
      </c>
      <c r="E2381">
        <v>60</v>
      </c>
      <c r="F2381" s="767">
        <v>8325.74</v>
      </c>
    </row>
    <row r="2382" spans="1:6">
      <c r="A2382" s="143">
        <v>11918</v>
      </c>
      <c r="B2382" t="s">
        <v>2134</v>
      </c>
      <c r="C2382" t="s">
        <v>5416</v>
      </c>
      <c r="D2382" t="s">
        <v>6751</v>
      </c>
      <c r="E2382">
        <v>60</v>
      </c>
      <c r="F2382" s="767">
        <v>9731.89</v>
      </c>
    </row>
    <row r="2383" spans="1:6">
      <c r="A2383" s="143">
        <v>11146</v>
      </c>
      <c r="B2383" t="s">
        <v>6118</v>
      </c>
      <c r="C2383" t="s">
        <v>6119</v>
      </c>
      <c r="D2383" t="s">
        <v>6399</v>
      </c>
      <c r="E2383">
        <v>64</v>
      </c>
      <c r="F2383" s="767">
        <v>16189.57</v>
      </c>
    </row>
    <row r="2384" spans="1:6">
      <c r="A2384" s="143">
        <v>11381</v>
      </c>
      <c r="B2384" t="s">
        <v>6064</v>
      </c>
      <c r="C2384" t="s">
        <v>6124</v>
      </c>
      <c r="D2384" t="s">
        <v>6400</v>
      </c>
      <c r="E2384">
        <v>64</v>
      </c>
      <c r="F2384" s="767">
        <v>25043.9</v>
      </c>
    </row>
    <row r="2385" spans="1:6">
      <c r="A2385" s="143">
        <v>12014</v>
      </c>
      <c r="B2385" t="s">
        <v>3242</v>
      </c>
      <c r="C2385" t="s">
        <v>6129</v>
      </c>
      <c r="D2385" t="s">
        <v>6401</v>
      </c>
      <c r="E2385">
        <v>64</v>
      </c>
      <c r="F2385" s="767">
        <v>2556.33</v>
      </c>
    </row>
    <row r="2386" spans="1:6">
      <c r="A2386" s="143">
        <v>21097</v>
      </c>
      <c r="B2386" t="s">
        <v>6113</v>
      </c>
      <c r="C2386" t="s">
        <v>6130</v>
      </c>
      <c r="D2386" t="s">
        <v>6402</v>
      </c>
      <c r="E2386">
        <v>64</v>
      </c>
      <c r="F2386" s="767">
        <v>19062</v>
      </c>
    </row>
    <row r="2387" spans="1:6">
      <c r="A2387" s="143">
        <v>11952</v>
      </c>
      <c r="B2387" t="s">
        <v>3426</v>
      </c>
      <c r="C2387" t="s">
        <v>3461</v>
      </c>
      <c r="D2387" t="s">
        <v>6403</v>
      </c>
      <c r="E2387">
        <v>66</v>
      </c>
      <c r="F2387" s="767">
        <v>2693.89</v>
      </c>
    </row>
    <row r="2388" spans="1:6">
      <c r="A2388" s="143">
        <v>11764</v>
      </c>
      <c r="B2388" t="s">
        <v>5532</v>
      </c>
      <c r="C2388" t="s">
        <v>5576</v>
      </c>
      <c r="D2388" t="s">
        <v>6404</v>
      </c>
      <c r="E2388">
        <v>72</v>
      </c>
      <c r="F2388" s="767">
        <v>24042.22</v>
      </c>
    </row>
    <row r="2389" spans="1:6">
      <c r="A2389" s="143">
        <v>12068</v>
      </c>
      <c r="B2389" t="s">
        <v>6215</v>
      </c>
      <c r="C2389" t="s">
        <v>6405</v>
      </c>
      <c r="D2389" t="s">
        <v>6406</v>
      </c>
      <c r="E2389">
        <v>72</v>
      </c>
      <c r="F2389">
        <v>792.74</v>
      </c>
    </row>
    <row r="2390" spans="1:6">
      <c r="A2390" s="143">
        <v>12013</v>
      </c>
      <c r="B2390" t="s">
        <v>3252</v>
      </c>
      <c r="C2390" t="s">
        <v>5906</v>
      </c>
      <c r="D2390" t="s">
        <v>6407</v>
      </c>
      <c r="E2390">
        <v>73</v>
      </c>
      <c r="F2390">
        <v>137.43</v>
      </c>
    </row>
    <row r="2391" spans="1:6">
      <c r="A2391" s="143">
        <v>12060</v>
      </c>
      <c r="B2391" t="s">
        <v>5875</v>
      </c>
      <c r="C2391" t="s">
        <v>5879</v>
      </c>
      <c r="D2391" t="s">
        <v>6408</v>
      </c>
      <c r="E2391">
        <v>77</v>
      </c>
      <c r="F2391">
        <v>359.92</v>
      </c>
    </row>
    <row r="2392" spans="1:6">
      <c r="A2392" s="143">
        <v>12062</v>
      </c>
      <c r="B2392" t="s">
        <v>6382</v>
      </c>
      <c r="C2392" t="s">
        <v>6409</v>
      </c>
      <c r="D2392" t="s">
        <v>6410</v>
      </c>
      <c r="E2392">
        <v>77</v>
      </c>
      <c r="F2392" s="767">
        <v>1607.77</v>
      </c>
    </row>
    <row r="2393" spans="1:6">
      <c r="A2393" s="143">
        <v>11444</v>
      </c>
      <c r="B2393" t="s">
        <v>3399</v>
      </c>
      <c r="C2393" t="s">
        <v>3460</v>
      </c>
      <c r="D2393" t="s">
        <v>6414</v>
      </c>
      <c r="E2393">
        <v>80</v>
      </c>
      <c r="F2393" s="767">
        <v>5497.48</v>
      </c>
    </row>
    <row r="2394" spans="1:6">
      <c r="A2394" s="143">
        <v>11444</v>
      </c>
      <c r="B2394" t="s">
        <v>3399</v>
      </c>
      <c r="C2394" t="s">
        <v>3460</v>
      </c>
      <c r="D2394" t="s">
        <v>6415</v>
      </c>
      <c r="E2394">
        <v>80</v>
      </c>
      <c r="F2394" s="767">
        <v>31377.599999999999</v>
      </c>
    </row>
    <row r="2395" spans="1:6">
      <c r="A2395" s="143">
        <v>11444</v>
      </c>
      <c r="B2395" t="s">
        <v>3399</v>
      </c>
      <c r="C2395" t="s">
        <v>3460</v>
      </c>
      <c r="D2395" t="s">
        <v>6411</v>
      </c>
      <c r="E2395">
        <v>80</v>
      </c>
      <c r="F2395" s="767">
        <v>52283.49</v>
      </c>
    </row>
    <row r="2396" spans="1:6">
      <c r="A2396" s="143">
        <v>11444</v>
      </c>
      <c r="B2396" t="s">
        <v>3399</v>
      </c>
      <c r="C2396" t="s">
        <v>3460</v>
      </c>
      <c r="D2396" t="s">
        <v>6412</v>
      </c>
      <c r="E2396">
        <v>80</v>
      </c>
      <c r="F2396" s="767">
        <v>22061.27</v>
      </c>
    </row>
    <row r="2397" spans="1:6">
      <c r="A2397" s="143">
        <v>11444</v>
      </c>
      <c r="B2397" t="s">
        <v>3399</v>
      </c>
      <c r="C2397" t="s">
        <v>3460</v>
      </c>
      <c r="D2397" t="s">
        <v>6413</v>
      </c>
      <c r="E2397">
        <v>80</v>
      </c>
      <c r="F2397" s="767">
        <v>12240.46</v>
      </c>
    </row>
    <row r="2398" spans="1:6">
      <c r="A2398" s="143">
        <v>11832</v>
      </c>
      <c r="B2398" t="s">
        <v>3431</v>
      </c>
      <c r="C2398" t="s">
        <v>3453</v>
      </c>
      <c r="D2398" t="s">
        <v>6416</v>
      </c>
      <c r="E2398">
        <v>80</v>
      </c>
      <c r="F2398" s="767">
        <v>70083.02</v>
      </c>
    </row>
    <row r="2399" spans="1:6">
      <c r="A2399" s="143">
        <v>31024</v>
      </c>
      <c r="B2399" t="s">
        <v>3399</v>
      </c>
      <c r="C2399" t="s">
        <v>3460</v>
      </c>
      <c r="D2399" t="s">
        <v>6417</v>
      </c>
      <c r="E2399">
        <v>80</v>
      </c>
      <c r="F2399" s="767">
        <v>1973.38</v>
      </c>
    </row>
    <row r="2400" spans="1:6">
      <c r="A2400" s="143">
        <v>11953</v>
      </c>
      <c r="B2400" t="s">
        <v>3644</v>
      </c>
      <c r="C2400" t="s">
        <v>3645</v>
      </c>
      <c r="D2400" t="s">
        <v>6418</v>
      </c>
      <c r="E2400">
        <v>81</v>
      </c>
      <c r="F2400">
        <v>329.84</v>
      </c>
    </row>
    <row r="2401" spans="1:6">
      <c r="A2401" s="143">
        <v>11953</v>
      </c>
      <c r="B2401" t="s">
        <v>3644</v>
      </c>
      <c r="C2401" t="s">
        <v>3645</v>
      </c>
      <c r="D2401" t="s">
        <v>6419</v>
      </c>
      <c r="E2401">
        <v>81</v>
      </c>
      <c r="F2401">
        <v>664.44</v>
      </c>
    </row>
    <row r="2402" spans="1:6">
      <c r="A2402" s="143">
        <v>11413</v>
      </c>
      <c r="B2402" t="s">
        <v>3396</v>
      </c>
      <c r="C2402" t="s">
        <v>3490</v>
      </c>
      <c r="D2402" t="s">
        <v>6420</v>
      </c>
      <c r="E2402">
        <v>84</v>
      </c>
      <c r="F2402" s="767">
        <v>6900.94</v>
      </c>
    </row>
    <row r="2403" spans="1:6">
      <c r="A2403" s="143">
        <v>11606</v>
      </c>
      <c r="B2403" t="s">
        <v>3405</v>
      </c>
      <c r="C2403" t="s">
        <v>3500</v>
      </c>
      <c r="D2403" t="s">
        <v>6421</v>
      </c>
      <c r="E2403">
        <v>84</v>
      </c>
      <c r="F2403" s="767">
        <v>4425.46</v>
      </c>
    </row>
    <row r="2404" spans="1:6">
      <c r="A2404" s="143">
        <v>11606</v>
      </c>
      <c r="B2404" t="s">
        <v>3405</v>
      </c>
      <c r="C2404" t="s">
        <v>3500</v>
      </c>
      <c r="D2404" t="s">
        <v>6422</v>
      </c>
      <c r="E2404">
        <v>84</v>
      </c>
      <c r="F2404" s="767">
        <v>5634.03</v>
      </c>
    </row>
    <row r="2405" spans="1:6">
      <c r="A2405" s="143">
        <v>11916</v>
      </c>
      <c r="B2405" t="s">
        <v>5402</v>
      </c>
      <c r="C2405" t="s">
        <v>5433</v>
      </c>
      <c r="D2405" t="s">
        <v>6423</v>
      </c>
      <c r="E2405">
        <v>84</v>
      </c>
      <c r="F2405" s="767">
        <v>1264.79</v>
      </c>
    </row>
    <row r="2406" spans="1:6">
      <c r="A2406" s="143">
        <v>12002</v>
      </c>
      <c r="B2406" t="s">
        <v>3479</v>
      </c>
      <c r="C2406" t="s">
        <v>3480</v>
      </c>
      <c r="D2406" t="s">
        <v>6424</v>
      </c>
      <c r="E2406">
        <v>84</v>
      </c>
      <c r="F2406" s="767">
        <v>4600.63</v>
      </c>
    </row>
    <row r="2407" spans="1:6">
      <c r="A2407" s="143">
        <v>12011</v>
      </c>
      <c r="B2407" t="s">
        <v>3301</v>
      </c>
      <c r="C2407" t="s">
        <v>3458</v>
      </c>
      <c r="D2407" t="s">
        <v>6425</v>
      </c>
      <c r="E2407">
        <v>84</v>
      </c>
      <c r="F2407">
        <v>533.79999999999995</v>
      </c>
    </row>
    <row r="2408" spans="1:6">
      <c r="A2408" s="143">
        <v>12025</v>
      </c>
      <c r="B2408" t="s">
        <v>3368</v>
      </c>
      <c r="C2408" t="s">
        <v>6426</v>
      </c>
      <c r="D2408" t="s">
        <v>6427</v>
      </c>
      <c r="E2408">
        <v>84</v>
      </c>
      <c r="F2408" s="767">
        <v>4618.93</v>
      </c>
    </row>
    <row r="2409" spans="1:6">
      <c r="A2409" s="143">
        <v>12064</v>
      </c>
      <c r="B2409" t="s">
        <v>6105</v>
      </c>
      <c r="C2409" t="s">
        <v>6151</v>
      </c>
      <c r="D2409" t="s">
        <v>6428</v>
      </c>
      <c r="E2409">
        <v>84</v>
      </c>
      <c r="F2409">
        <v>956.84</v>
      </c>
    </row>
    <row r="2410" spans="1:6">
      <c r="A2410" s="143">
        <v>21012</v>
      </c>
      <c r="B2410" t="s">
        <v>6110</v>
      </c>
      <c r="C2410" t="s">
        <v>6188</v>
      </c>
      <c r="D2410" t="s">
        <v>6429</v>
      </c>
      <c r="E2410">
        <v>84</v>
      </c>
      <c r="F2410" s="767">
        <v>1224.3499999999999</v>
      </c>
    </row>
    <row r="2411" spans="1:6">
      <c r="A2411" s="143">
        <v>21090</v>
      </c>
      <c r="B2411" t="s">
        <v>1195</v>
      </c>
      <c r="C2411" t="s">
        <v>3475</v>
      </c>
      <c r="D2411" t="s">
        <v>6430</v>
      </c>
      <c r="E2411">
        <v>84</v>
      </c>
      <c r="F2411" s="767">
        <v>2339.88</v>
      </c>
    </row>
    <row r="2412" spans="1:6">
      <c r="A2412" s="143">
        <v>31027</v>
      </c>
      <c r="B2412" t="s">
        <v>1037</v>
      </c>
      <c r="C2412" t="s">
        <v>3498</v>
      </c>
      <c r="D2412" t="s">
        <v>6432</v>
      </c>
      <c r="E2412">
        <v>84</v>
      </c>
      <c r="F2412" s="767">
        <v>1727.81</v>
      </c>
    </row>
    <row r="2413" spans="1:6">
      <c r="A2413" s="143">
        <v>31027</v>
      </c>
      <c r="B2413" t="s">
        <v>1037</v>
      </c>
      <c r="C2413" t="s">
        <v>3498</v>
      </c>
      <c r="D2413" t="s">
        <v>6433</v>
      </c>
      <c r="E2413">
        <v>84</v>
      </c>
      <c r="F2413" s="767">
        <v>1508.52</v>
      </c>
    </row>
    <row r="2414" spans="1:6">
      <c r="A2414" s="143">
        <v>31027</v>
      </c>
      <c r="B2414" t="s">
        <v>1037</v>
      </c>
      <c r="C2414" t="s">
        <v>3498</v>
      </c>
      <c r="D2414" t="s">
        <v>6431</v>
      </c>
      <c r="E2414">
        <v>84</v>
      </c>
      <c r="F2414" s="767">
        <v>10107.49</v>
      </c>
    </row>
    <row r="2415" spans="1:6">
      <c r="A2415" s="143">
        <v>31030</v>
      </c>
      <c r="B2415" t="s">
        <v>3439</v>
      </c>
      <c r="C2415" t="s">
        <v>3525</v>
      </c>
      <c r="D2415" t="s">
        <v>6434</v>
      </c>
      <c r="E2415">
        <v>84</v>
      </c>
      <c r="F2415" s="767">
        <v>6790.18</v>
      </c>
    </row>
    <row r="2416" spans="1:6">
      <c r="A2416" s="143">
        <v>51019</v>
      </c>
      <c r="B2416" t="s">
        <v>3441</v>
      </c>
      <c r="C2416" t="s">
        <v>3712</v>
      </c>
      <c r="D2416" t="s">
        <v>6435</v>
      </c>
      <c r="E2416">
        <v>84</v>
      </c>
      <c r="F2416">
        <v>501.98</v>
      </c>
    </row>
    <row r="2417" spans="1:6">
      <c r="A2417" s="143">
        <v>51027</v>
      </c>
      <c r="B2417" t="s">
        <v>6397</v>
      </c>
      <c r="C2417" t="s">
        <v>6436</v>
      </c>
      <c r="D2417" t="s">
        <v>6437</v>
      </c>
      <c r="E2417">
        <v>84</v>
      </c>
      <c r="F2417" s="767">
        <v>28591.02</v>
      </c>
    </row>
    <row r="2418" spans="1:6">
      <c r="A2418" s="143">
        <v>11153</v>
      </c>
      <c r="B2418" t="s">
        <v>6324</v>
      </c>
      <c r="C2418" t="s">
        <v>6438</v>
      </c>
      <c r="D2418" t="s">
        <v>6439</v>
      </c>
      <c r="E2418">
        <v>85</v>
      </c>
      <c r="F2418" s="767">
        <v>2549.61</v>
      </c>
    </row>
    <row r="2419" spans="1:6">
      <c r="A2419" s="143">
        <v>11295</v>
      </c>
      <c r="B2419" t="s">
        <v>3389</v>
      </c>
      <c r="C2419" t="s">
        <v>3534</v>
      </c>
      <c r="D2419" t="s">
        <v>6440</v>
      </c>
      <c r="E2419">
        <v>85</v>
      </c>
      <c r="F2419" s="767">
        <v>5187.38</v>
      </c>
    </row>
    <row r="2420" spans="1:6">
      <c r="A2420" s="143">
        <v>11295</v>
      </c>
      <c r="B2420" t="s">
        <v>3389</v>
      </c>
      <c r="C2420" t="s">
        <v>3534</v>
      </c>
      <c r="D2420" t="s">
        <v>6441</v>
      </c>
      <c r="E2420">
        <v>85</v>
      </c>
      <c r="F2420" s="767">
        <v>6070.74</v>
      </c>
    </row>
    <row r="2421" spans="1:6">
      <c r="A2421" s="143">
        <v>11367</v>
      </c>
      <c r="B2421" t="s">
        <v>4185</v>
      </c>
      <c r="C2421" t="s">
        <v>4186</v>
      </c>
      <c r="D2421" t="s">
        <v>6442</v>
      </c>
      <c r="E2421">
        <v>85</v>
      </c>
      <c r="F2421" s="767">
        <v>4440</v>
      </c>
    </row>
    <row r="2422" spans="1:6">
      <c r="A2422" s="143">
        <v>11413</v>
      </c>
      <c r="B2422" t="s">
        <v>3396</v>
      </c>
      <c r="C2422" t="s">
        <v>3490</v>
      </c>
      <c r="D2422" t="s">
        <v>6443</v>
      </c>
      <c r="E2422">
        <v>85</v>
      </c>
      <c r="F2422" s="767">
        <v>8600.85</v>
      </c>
    </row>
    <row r="2423" spans="1:6">
      <c r="A2423" s="143">
        <v>11413</v>
      </c>
      <c r="B2423" t="s">
        <v>3396</v>
      </c>
      <c r="C2423" t="s">
        <v>3490</v>
      </c>
      <c r="D2423" t="s">
        <v>6444</v>
      </c>
      <c r="E2423">
        <v>85</v>
      </c>
      <c r="F2423">
        <v>649.25</v>
      </c>
    </row>
    <row r="2424" spans="1:6">
      <c r="A2424" s="143">
        <v>11439</v>
      </c>
      <c r="B2424" t="s">
        <v>1026</v>
      </c>
      <c r="C2424" t="s">
        <v>3492</v>
      </c>
      <c r="D2424" t="s">
        <v>6445</v>
      </c>
      <c r="E2424">
        <v>85</v>
      </c>
      <c r="F2424" s="767">
        <v>1594.26</v>
      </c>
    </row>
    <row r="2425" spans="1:6">
      <c r="A2425" s="143">
        <v>11524</v>
      </c>
      <c r="B2425" t="s">
        <v>3703</v>
      </c>
      <c r="C2425" t="s">
        <v>3704</v>
      </c>
      <c r="D2425" t="s">
        <v>6446</v>
      </c>
      <c r="E2425">
        <v>85</v>
      </c>
      <c r="F2425" s="767">
        <v>1283.45</v>
      </c>
    </row>
    <row r="2426" spans="1:6">
      <c r="A2426" s="143">
        <v>11561</v>
      </c>
      <c r="B2426" t="s">
        <v>6342</v>
      </c>
      <c r="C2426" t="s">
        <v>6447</v>
      </c>
      <c r="D2426" t="s">
        <v>6448</v>
      </c>
      <c r="E2426">
        <v>85</v>
      </c>
      <c r="F2426" s="767">
        <v>34098.29</v>
      </c>
    </row>
    <row r="2427" spans="1:6">
      <c r="A2427" s="143">
        <v>11561</v>
      </c>
      <c r="B2427" t="s">
        <v>6342</v>
      </c>
      <c r="C2427" t="s">
        <v>6447</v>
      </c>
      <c r="D2427" t="s">
        <v>6449</v>
      </c>
      <c r="E2427">
        <v>85</v>
      </c>
      <c r="F2427" s="767">
        <v>2128.38</v>
      </c>
    </row>
    <row r="2428" spans="1:6">
      <c r="A2428" s="143">
        <v>11561</v>
      </c>
      <c r="B2428" t="s">
        <v>6342</v>
      </c>
      <c r="C2428" t="s">
        <v>6447</v>
      </c>
      <c r="D2428" t="s">
        <v>6450</v>
      </c>
      <c r="E2428">
        <v>85</v>
      </c>
      <c r="F2428" s="767">
        <v>1142.6099999999999</v>
      </c>
    </row>
    <row r="2429" spans="1:6">
      <c r="A2429" s="143">
        <v>11561</v>
      </c>
      <c r="B2429" t="s">
        <v>6342</v>
      </c>
      <c r="C2429" t="s">
        <v>6447</v>
      </c>
      <c r="D2429" t="s">
        <v>6451</v>
      </c>
      <c r="E2429">
        <v>85</v>
      </c>
      <c r="F2429" s="767">
        <v>2986.89</v>
      </c>
    </row>
    <row r="2430" spans="1:6">
      <c r="A2430" s="143">
        <v>11561</v>
      </c>
      <c r="B2430" t="s">
        <v>6342</v>
      </c>
      <c r="C2430" t="s">
        <v>6447</v>
      </c>
      <c r="D2430" t="s">
        <v>6452</v>
      </c>
      <c r="E2430">
        <v>85</v>
      </c>
      <c r="F2430" s="767">
        <v>1603.5</v>
      </c>
    </row>
    <row r="2431" spans="1:6">
      <c r="A2431" s="143">
        <v>11604</v>
      </c>
      <c r="B2431" t="s">
        <v>3497</v>
      </c>
      <c r="C2431" t="s">
        <v>3498</v>
      </c>
      <c r="D2431" t="s">
        <v>6453</v>
      </c>
      <c r="E2431">
        <v>85</v>
      </c>
      <c r="F2431" s="767">
        <v>3985.57</v>
      </c>
    </row>
    <row r="2432" spans="1:6">
      <c r="A2432" s="143">
        <v>11621</v>
      </c>
      <c r="B2432" t="s">
        <v>6351</v>
      </c>
      <c r="C2432" t="s">
        <v>6454</v>
      </c>
      <c r="D2432" t="s">
        <v>6455</v>
      </c>
      <c r="E2432">
        <v>85</v>
      </c>
      <c r="F2432">
        <v>446.25</v>
      </c>
    </row>
    <row r="2433" spans="1:6">
      <c r="A2433" s="143">
        <v>11736</v>
      </c>
      <c r="B2433" t="s">
        <v>1030</v>
      </c>
      <c r="C2433" t="s">
        <v>3503</v>
      </c>
      <c r="D2433" t="s">
        <v>6456</v>
      </c>
      <c r="E2433">
        <v>85</v>
      </c>
      <c r="F2433">
        <v>471.7</v>
      </c>
    </row>
    <row r="2434" spans="1:6">
      <c r="A2434" s="143">
        <v>11737</v>
      </c>
      <c r="B2434" t="s">
        <v>1030</v>
      </c>
      <c r="C2434" t="s">
        <v>3503</v>
      </c>
      <c r="D2434" t="s">
        <v>6457</v>
      </c>
      <c r="E2434">
        <v>85</v>
      </c>
      <c r="F2434" s="767">
        <v>4702.58</v>
      </c>
    </row>
    <row r="2435" spans="1:6">
      <c r="A2435" s="143">
        <v>11767</v>
      </c>
      <c r="B2435" t="s">
        <v>3504</v>
      </c>
      <c r="C2435" t="s">
        <v>3505</v>
      </c>
      <c r="D2435" t="s">
        <v>6458</v>
      </c>
      <c r="E2435">
        <v>85</v>
      </c>
      <c r="F2435" s="767">
        <v>1667.35</v>
      </c>
    </row>
    <row r="2436" spans="1:6">
      <c r="A2436" s="143">
        <v>11802</v>
      </c>
      <c r="B2436" t="s">
        <v>3412</v>
      </c>
      <c r="C2436" t="s">
        <v>3545</v>
      </c>
      <c r="D2436" t="s">
        <v>6459</v>
      </c>
      <c r="E2436">
        <v>85</v>
      </c>
      <c r="F2436" s="767">
        <v>8667.61</v>
      </c>
    </row>
    <row r="2437" spans="1:6">
      <c r="A2437" s="143">
        <v>11811</v>
      </c>
      <c r="B2437" t="s">
        <v>3415</v>
      </c>
      <c r="C2437" t="s">
        <v>3987</v>
      </c>
      <c r="D2437" t="s">
        <v>6460</v>
      </c>
      <c r="E2437">
        <v>85</v>
      </c>
      <c r="F2437" s="767">
        <v>6504.37</v>
      </c>
    </row>
    <row r="2438" spans="1:6">
      <c r="A2438" s="143">
        <v>11830</v>
      </c>
      <c r="B2438" t="s">
        <v>5858</v>
      </c>
      <c r="C2438" t="s">
        <v>5914</v>
      </c>
      <c r="D2438" t="s">
        <v>6461</v>
      </c>
      <c r="E2438">
        <v>85</v>
      </c>
      <c r="F2438">
        <v>190.13</v>
      </c>
    </row>
    <row r="2439" spans="1:6">
      <c r="A2439" s="143">
        <v>11925</v>
      </c>
      <c r="B2439" t="s">
        <v>6086</v>
      </c>
      <c r="C2439" t="s">
        <v>6185</v>
      </c>
      <c r="D2439" t="s">
        <v>6462</v>
      </c>
      <c r="E2439">
        <v>85</v>
      </c>
      <c r="F2439">
        <v>399.56</v>
      </c>
    </row>
    <row r="2440" spans="1:6">
      <c r="A2440" s="143">
        <v>11989</v>
      </c>
      <c r="B2440" t="s">
        <v>3471</v>
      </c>
      <c r="C2440" t="s">
        <v>3472</v>
      </c>
      <c r="D2440" t="s">
        <v>6464</v>
      </c>
      <c r="E2440">
        <v>85</v>
      </c>
      <c r="F2440" s="767">
        <v>1110.52</v>
      </c>
    </row>
    <row r="2441" spans="1:6">
      <c r="A2441" s="143">
        <v>11989</v>
      </c>
      <c r="B2441" t="s">
        <v>3471</v>
      </c>
      <c r="C2441" t="s">
        <v>3472</v>
      </c>
      <c r="D2441" t="s">
        <v>6465</v>
      </c>
      <c r="E2441">
        <v>85</v>
      </c>
      <c r="F2441" s="767">
        <v>3296.67</v>
      </c>
    </row>
    <row r="2442" spans="1:6">
      <c r="A2442" s="143">
        <v>12000</v>
      </c>
      <c r="B2442" t="s">
        <v>5865</v>
      </c>
      <c r="C2442" t="s">
        <v>5902</v>
      </c>
      <c r="D2442" t="s">
        <v>6466</v>
      </c>
      <c r="E2442">
        <v>85</v>
      </c>
      <c r="F2442" s="767">
        <v>1566.78</v>
      </c>
    </row>
    <row r="2443" spans="1:6">
      <c r="A2443" s="143">
        <v>12026</v>
      </c>
      <c r="B2443" t="s">
        <v>4088</v>
      </c>
      <c r="C2443" t="s">
        <v>4090</v>
      </c>
      <c r="D2443" t="s">
        <v>6467</v>
      </c>
      <c r="E2443">
        <v>85</v>
      </c>
      <c r="F2443">
        <v>397.88</v>
      </c>
    </row>
    <row r="2444" spans="1:6">
      <c r="A2444" s="143">
        <v>12036</v>
      </c>
      <c r="B2444" t="s">
        <v>2113</v>
      </c>
      <c r="C2444" t="s">
        <v>3484</v>
      </c>
      <c r="D2444" t="s">
        <v>6468</v>
      </c>
      <c r="E2444">
        <v>85</v>
      </c>
      <c r="F2444" s="767">
        <v>13772.45</v>
      </c>
    </row>
    <row r="2445" spans="1:6">
      <c r="A2445" s="143">
        <v>12046</v>
      </c>
      <c r="B2445" t="s">
        <v>5444</v>
      </c>
      <c r="C2445" t="s">
        <v>5569</v>
      </c>
      <c r="D2445" t="s">
        <v>6469</v>
      </c>
      <c r="E2445">
        <v>85</v>
      </c>
      <c r="F2445">
        <v>780.46</v>
      </c>
    </row>
    <row r="2446" spans="1:6">
      <c r="A2446" s="143">
        <v>12057</v>
      </c>
      <c r="B2446" t="s">
        <v>5969</v>
      </c>
      <c r="C2446" t="s">
        <v>6165</v>
      </c>
      <c r="D2446" t="s">
        <v>6470</v>
      </c>
      <c r="E2446">
        <v>85</v>
      </c>
      <c r="F2446">
        <v>280.64999999999998</v>
      </c>
    </row>
    <row r="2447" spans="1:6">
      <c r="A2447" s="143">
        <v>11123</v>
      </c>
      <c r="B2447" t="s">
        <v>3385</v>
      </c>
      <c r="C2447" t="s">
        <v>3532</v>
      </c>
      <c r="D2447" t="s">
        <v>6471</v>
      </c>
      <c r="E2447">
        <v>86</v>
      </c>
      <c r="F2447">
        <v>593.69000000000005</v>
      </c>
    </row>
    <row r="2448" spans="1:6">
      <c r="A2448" s="143">
        <v>11123</v>
      </c>
      <c r="B2448" t="s">
        <v>3385</v>
      </c>
      <c r="C2448" t="s">
        <v>3532</v>
      </c>
      <c r="D2448" t="s">
        <v>6472</v>
      </c>
      <c r="E2448">
        <v>86</v>
      </c>
      <c r="F2448">
        <v>302.36</v>
      </c>
    </row>
    <row r="2449" spans="1:7">
      <c r="A2449" s="143">
        <v>11123</v>
      </c>
      <c r="B2449" t="s">
        <v>3385</v>
      </c>
      <c r="C2449" t="s">
        <v>3532</v>
      </c>
      <c r="D2449" t="s">
        <v>6473</v>
      </c>
      <c r="E2449">
        <v>86</v>
      </c>
      <c r="F2449" s="767">
        <v>3712.23</v>
      </c>
    </row>
    <row r="2450" spans="1:7">
      <c r="A2450" s="143">
        <v>11123</v>
      </c>
      <c r="B2450" t="s">
        <v>3385</v>
      </c>
      <c r="C2450" t="s">
        <v>3532</v>
      </c>
      <c r="D2450" t="s">
        <v>6474</v>
      </c>
      <c r="E2450">
        <v>86</v>
      </c>
      <c r="F2450">
        <v>329.84</v>
      </c>
    </row>
    <row r="2451" spans="1:7">
      <c r="A2451" s="143">
        <v>11123</v>
      </c>
      <c r="B2451" t="s">
        <v>3385</v>
      </c>
      <c r="C2451" t="s">
        <v>3532</v>
      </c>
      <c r="D2451" t="s">
        <v>6475</v>
      </c>
      <c r="E2451">
        <v>86</v>
      </c>
      <c r="F2451">
        <v>494.77</v>
      </c>
    </row>
    <row r="2452" spans="1:7">
      <c r="A2452" s="143">
        <v>11123</v>
      </c>
      <c r="B2452" t="s">
        <v>3385</v>
      </c>
      <c r="C2452" t="s">
        <v>3532</v>
      </c>
      <c r="D2452" t="s">
        <v>6476</v>
      </c>
      <c r="E2452">
        <v>86</v>
      </c>
      <c r="F2452" s="767">
        <v>2751.12</v>
      </c>
    </row>
    <row r="2453" spans="1:7">
      <c r="A2453" s="143">
        <v>11123</v>
      </c>
      <c r="B2453" t="s">
        <v>3385</v>
      </c>
      <c r="C2453" t="s">
        <v>3532</v>
      </c>
      <c r="D2453" t="s">
        <v>6477</v>
      </c>
      <c r="E2453">
        <v>86</v>
      </c>
      <c r="F2453">
        <v>310.75</v>
      </c>
    </row>
    <row r="2454" spans="1:7">
      <c r="A2454" s="143">
        <v>11918</v>
      </c>
      <c r="B2454" t="s">
        <v>2134</v>
      </c>
      <c r="C2454" t="s">
        <v>5416</v>
      </c>
      <c r="D2454" t="s">
        <v>6478</v>
      </c>
      <c r="E2454">
        <v>86</v>
      </c>
      <c r="F2454" s="767">
        <v>8998.39</v>
      </c>
    </row>
    <row r="2455" spans="1:7">
      <c r="A2455" s="143">
        <v>11918</v>
      </c>
      <c r="B2455" t="s">
        <v>2134</v>
      </c>
      <c r="C2455" t="s">
        <v>5416</v>
      </c>
      <c r="D2455" t="s">
        <v>6479</v>
      </c>
      <c r="E2455">
        <v>86</v>
      </c>
      <c r="F2455" s="767">
        <v>4835.95</v>
      </c>
    </row>
    <row r="2456" spans="1:7">
      <c r="A2456" s="143">
        <v>11953</v>
      </c>
      <c r="B2456" t="s">
        <v>3644</v>
      </c>
      <c r="C2456" t="s">
        <v>3645</v>
      </c>
      <c r="D2456" t="s">
        <v>6480</v>
      </c>
      <c r="E2456">
        <v>86</v>
      </c>
      <c r="F2456" s="767">
        <v>1374.37</v>
      </c>
    </row>
    <row r="2457" spans="1:7">
      <c r="A2457" s="143">
        <v>11002</v>
      </c>
      <c r="B2457" t="s">
        <v>1127</v>
      </c>
      <c r="C2457" t="s">
        <v>3528</v>
      </c>
      <c r="D2457" t="s">
        <v>6481</v>
      </c>
      <c r="E2457">
        <v>87</v>
      </c>
      <c r="F2457" s="767">
        <v>90411.26</v>
      </c>
    </row>
    <row r="2458" spans="1:7">
      <c r="A2458" s="143">
        <v>11023</v>
      </c>
      <c r="B2458" t="s">
        <v>3379</v>
      </c>
      <c r="C2458" t="s">
        <v>3484</v>
      </c>
      <c r="D2458" t="s">
        <v>6482</v>
      </c>
      <c r="E2458">
        <v>87</v>
      </c>
      <c r="F2458">
        <v>17.420000000000002</v>
      </c>
    </row>
    <row r="2459" spans="1:7">
      <c r="A2459" s="143">
        <v>11441</v>
      </c>
      <c r="B2459" t="s">
        <v>3447</v>
      </c>
      <c r="C2459" t="s">
        <v>3448</v>
      </c>
      <c r="D2459" t="s">
        <v>6483</v>
      </c>
      <c r="E2459">
        <v>87</v>
      </c>
      <c r="F2459" s="767">
        <v>28502.14</v>
      </c>
    </row>
    <row r="2460" spans="1:7" ht="15">
      <c r="A2460" s="1546"/>
      <c r="B2460" s="1546" t="s">
        <v>7459</v>
      </c>
      <c r="C2460" s="1546"/>
      <c r="D2460" s="1546"/>
      <c r="E2460" s="1546"/>
      <c r="F2460" s="1547"/>
      <c r="G2460" s="1548">
        <f>SUM(F2058:F2459)</f>
        <v>5393449.2599999988</v>
      </c>
    </row>
    <row r="2461" spans="1:7">
      <c r="A2461" s="143">
        <v>11146</v>
      </c>
      <c r="B2461" t="s">
        <v>6118</v>
      </c>
      <c r="C2461" t="s">
        <v>6119</v>
      </c>
      <c r="D2461" t="s">
        <v>6120</v>
      </c>
      <c r="E2461">
        <v>95</v>
      </c>
      <c r="F2461" s="767">
        <v>14650.45</v>
      </c>
    </row>
    <row r="2462" spans="1:7">
      <c r="A2462" s="143">
        <v>11381</v>
      </c>
      <c r="B2462" t="s">
        <v>6064</v>
      </c>
      <c r="C2462" t="s">
        <v>6124</v>
      </c>
      <c r="D2462" t="s">
        <v>6125</v>
      </c>
      <c r="E2462">
        <v>95</v>
      </c>
      <c r="F2462" s="767">
        <v>22751.29</v>
      </c>
    </row>
    <row r="2463" spans="1:7">
      <c r="A2463" s="143">
        <v>21097</v>
      </c>
      <c r="B2463" t="s">
        <v>6113</v>
      </c>
      <c r="C2463" t="s">
        <v>6130</v>
      </c>
      <c r="D2463" t="s">
        <v>6131</v>
      </c>
      <c r="E2463">
        <v>95</v>
      </c>
      <c r="F2463" s="767">
        <v>19062</v>
      </c>
    </row>
    <row r="2464" spans="1:7">
      <c r="A2464" s="143">
        <v>11952</v>
      </c>
      <c r="B2464" t="s">
        <v>3426</v>
      </c>
      <c r="C2464" t="s">
        <v>3461</v>
      </c>
      <c r="D2464" t="s">
        <v>6132</v>
      </c>
      <c r="E2464">
        <v>101</v>
      </c>
      <c r="F2464" s="767">
        <v>3132.34</v>
      </c>
    </row>
    <row r="2465" spans="1:6">
      <c r="A2465" s="143">
        <v>11444</v>
      </c>
      <c r="B2465" t="s">
        <v>3399</v>
      </c>
      <c r="C2465" t="s">
        <v>3460</v>
      </c>
      <c r="D2465" t="s">
        <v>6135</v>
      </c>
      <c r="E2465">
        <v>108</v>
      </c>
      <c r="F2465" s="767">
        <v>74028.23</v>
      </c>
    </row>
    <row r="2466" spans="1:6">
      <c r="A2466" s="143">
        <v>11444</v>
      </c>
      <c r="B2466" t="s">
        <v>3399</v>
      </c>
      <c r="C2466" t="s">
        <v>3460</v>
      </c>
      <c r="D2466" t="s">
        <v>6136</v>
      </c>
      <c r="E2466">
        <v>108</v>
      </c>
      <c r="F2466" s="767">
        <v>19847.810000000001</v>
      </c>
    </row>
    <row r="2467" spans="1:6">
      <c r="A2467" s="143">
        <v>11444</v>
      </c>
      <c r="B2467" t="s">
        <v>3399</v>
      </c>
      <c r="C2467" t="s">
        <v>3460</v>
      </c>
      <c r="D2467" t="s">
        <v>6137</v>
      </c>
      <c r="E2467">
        <v>108</v>
      </c>
      <c r="F2467" s="767">
        <v>16158.48</v>
      </c>
    </row>
    <row r="2468" spans="1:6">
      <c r="A2468" s="143">
        <v>11444</v>
      </c>
      <c r="B2468" t="s">
        <v>3399</v>
      </c>
      <c r="C2468" t="s">
        <v>3460</v>
      </c>
      <c r="D2468" t="s">
        <v>6133</v>
      </c>
      <c r="E2468">
        <v>108</v>
      </c>
      <c r="F2468" s="767">
        <v>5278.99</v>
      </c>
    </row>
    <row r="2469" spans="1:6">
      <c r="A2469" s="143">
        <v>11444</v>
      </c>
      <c r="B2469" t="s">
        <v>3399</v>
      </c>
      <c r="C2469" t="s">
        <v>3460</v>
      </c>
      <c r="D2469" t="s">
        <v>6134</v>
      </c>
      <c r="E2469">
        <v>108</v>
      </c>
      <c r="F2469" s="767">
        <v>11073.01</v>
      </c>
    </row>
    <row r="2470" spans="1:6">
      <c r="A2470" s="143">
        <v>31024</v>
      </c>
      <c r="B2470" t="s">
        <v>3399</v>
      </c>
      <c r="C2470" t="s">
        <v>3460</v>
      </c>
      <c r="D2470" t="s">
        <v>6138</v>
      </c>
      <c r="E2470">
        <v>108</v>
      </c>
      <c r="F2470" s="767">
        <v>1798.63</v>
      </c>
    </row>
    <row r="2471" spans="1:6">
      <c r="A2471" s="143">
        <v>11439</v>
      </c>
      <c r="B2471" t="s">
        <v>1026</v>
      </c>
      <c r="C2471" t="s">
        <v>3492</v>
      </c>
      <c r="D2471" t="s">
        <v>6140</v>
      </c>
      <c r="E2471">
        <v>112</v>
      </c>
      <c r="F2471" s="767">
        <v>1530.91</v>
      </c>
    </row>
    <row r="2472" spans="1:6">
      <c r="A2472" s="143">
        <v>12041</v>
      </c>
      <c r="B2472" t="s">
        <v>6142</v>
      </c>
      <c r="C2472" t="s">
        <v>6143</v>
      </c>
      <c r="D2472" t="s">
        <v>6144</v>
      </c>
      <c r="E2472">
        <v>112</v>
      </c>
      <c r="F2472">
        <v>375.58</v>
      </c>
    </row>
    <row r="2473" spans="1:6">
      <c r="A2473" s="143">
        <v>11073</v>
      </c>
      <c r="B2473" t="s">
        <v>4239</v>
      </c>
      <c r="C2473" t="s">
        <v>4873</v>
      </c>
      <c r="D2473" t="s">
        <v>6145</v>
      </c>
      <c r="E2473">
        <v>113</v>
      </c>
      <c r="F2473" s="767">
        <v>4259.18</v>
      </c>
    </row>
    <row r="2474" spans="1:6">
      <c r="A2474" s="143">
        <v>11418</v>
      </c>
      <c r="B2474" t="s">
        <v>6106</v>
      </c>
      <c r="C2474" t="s">
        <v>6146</v>
      </c>
      <c r="D2474" t="s">
        <v>6147</v>
      </c>
      <c r="E2474">
        <v>113</v>
      </c>
      <c r="F2474" s="767">
        <v>6410.09</v>
      </c>
    </row>
    <row r="2475" spans="1:6">
      <c r="A2475" s="143">
        <v>11959</v>
      </c>
      <c r="B2475" t="s">
        <v>6148</v>
      </c>
      <c r="C2475" t="s">
        <v>6149</v>
      </c>
      <c r="D2475" t="s">
        <v>6150</v>
      </c>
      <c r="E2475">
        <v>113</v>
      </c>
      <c r="F2475" s="767">
        <v>6416.89</v>
      </c>
    </row>
    <row r="2476" spans="1:6">
      <c r="A2476" s="143">
        <v>11295</v>
      </c>
      <c r="B2476" t="s">
        <v>3389</v>
      </c>
      <c r="C2476" t="s">
        <v>3534</v>
      </c>
      <c r="D2476" t="s">
        <v>6152</v>
      </c>
      <c r="E2476">
        <v>114</v>
      </c>
      <c r="F2476" s="767">
        <v>4843.0200000000004</v>
      </c>
    </row>
    <row r="2477" spans="1:6">
      <c r="A2477" s="143">
        <v>11295</v>
      </c>
      <c r="B2477" t="s">
        <v>3389</v>
      </c>
      <c r="C2477" t="s">
        <v>3534</v>
      </c>
      <c r="D2477" t="s">
        <v>6153</v>
      </c>
      <c r="E2477">
        <v>114</v>
      </c>
      <c r="F2477" s="767">
        <v>6178.98</v>
      </c>
    </row>
    <row r="2478" spans="1:6">
      <c r="A2478" s="143">
        <v>11367</v>
      </c>
      <c r="B2478" t="s">
        <v>4185</v>
      </c>
      <c r="C2478" t="s">
        <v>4186</v>
      </c>
      <c r="D2478" t="s">
        <v>6154</v>
      </c>
      <c r="E2478">
        <v>114</v>
      </c>
      <c r="F2478" s="767">
        <v>5313.21</v>
      </c>
    </row>
    <row r="2479" spans="1:6">
      <c r="A2479" s="143">
        <v>11977</v>
      </c>
      <c r="B2479" t="s">
        <v>3145</v>
      </c>
      <c r="C2479" t="s">
        <v>5485</v>
      </c>
      <c r="D2479" t="s">
        <v>6155</v>
      </c>
      <c r="E2479">
        <v>114</v>
      </c>
      <c r="F2479">
        <v>100.37</v>
      </c>
    </row>
    <row r="2480" spans="1:6">
      <c r="A2480" s="143">
        <v>11989</v>
      </c>
      <c r="B2480" t="s">
        <v>3471</v>
      </c>
      <c r="C2480" t="s">
        <v>3472</v>
      </c>
      <c r="D2480" t="s">
        <v>6156</v>
      </c>
      <c r="E2480">
        <v>114</v>
      </c>
      <c r="F2480" s="767">
        <v>1162.6600000000001</v>
      </c>
    </row>
    <row r="2481" spans="1:6">
      <c r="A2481" s="143">
        <v>11989</v>
      </c>
      <c r="B2481" t="s">
        <v>3471</v>
      </c>
      <c r="C2481" t="s">
        <v>3472</v>
      </c>
      <c r="D2481" t="s">
        <v>6157</v>
      </c>
      <c r="E2481">
        <v>114</v>
      </c>
      <c r="F2481" s="767">
        <v>6260.62</v>
      </c>
    </row>
    <row r="2482" spans="1:6">
      <c r="A2482" s="143">
        <v>11991</v>
      </c>
      <c r="B2482" t="s">
        <v>3429</v>
      </c>
      <c r="C2482" t="s">
        <v>3457</v>
      </c>
      <c r="D2482" t="s">
        <v>6158</v>
      </c>
      <c r="E2482">
        <v>114</v>
      </c>
      <c r="F2482" s="767">
        <v>1051.6199999999999</v>
      </c>
    </row>
    <row r="2483" spans="1:6">
      <c r="A2483" s="143">
        <v>12000</v>
      </c>
      <c r="B2483" t="s">
        <v>5865</v>
      </c>
      <c r="C2483" t="s">
        <v>5902</v>
      </c>
      <c r="D2483" t="s">
        <v>6159</v>
      </c>
      <c r="E2483">
        <v>114</v>
      </c>
      <c r="F2483" s="767">
        <v>1504.51</v>
      </c>
    </row>
    <row r="2484" spans="1:6">
      <c r="A2484" s="143">
        <v>12011</v>
      </c>
      <c r="B2484" t="s">
        <v>3301</v>
      </c>
      <c r="C2484" t="s">
        <v>3458</v>
      </c>
      <c r="D2484" t="s">
        <v>6160</v>
      </c>
      <c r="E2484">
        <v>114</v>
      </c>
      <c r="F2484">
        <v>509.43</v>
      </c>
    </row>
    <row r="2485" spans="1:6">
      <c r="A2485" s="143">
        <v>12013</v>
      </c>
      <c r="B2485" t="s">
        <v>3252</v>
      </c>
      <c r="C2485" t="s">
        <v>5906</v>
      </c>
      <c r="D2485" t="s">
        <v>6161</v>
      </c>
      <c r="E2485">
        <v>114</v>
      </c>
      <c r="F2485">
        <v>131.97</v>
      </c>
    </row>
    <row r="2486" spans="1:6">
      <c r="A2486" s="143">
        <v>12029</v>
      </c>
      <c r="B2486" t="s">
        <v>4114</v>
      </c>
      <c r="C2486" t="s">
        <v>6162</v>
      </c>
      <c r="D2486" t="s">
        <v>6163</v>
      </c>
      <c r="E2486">
        <v>114</v>
      </c>
      <c r="F2486" s="767">
        <v>1019.2</v>
      </c>
    </row>
    <row r="2487" spans="1:6">
      <c r="A2487" s="143">
        <v>12050</v>
      </c>
      <c r="B2487" t="s">
        <v>5571</v>
      </c>
      <c r="C2487" t="s">
        <v>5572</v>
      </c>
      <c r="D2487" t="s">
        <v>6164</v>
      </c>
      <c r="E2487">
        <v>114</v>
      </c>
      <c r="F2487">
        <v>437.11</v>
      </c>
    </row>
    <row r="2488" spans="1:6">
      <c r="A2488" s="143">
        <v>12057</v>
      </c>
      <c r="B2488" t="s">
        <v>5969</v>
      </c>
      <c r="C2488" t="s">
        <v>6165</v>
      </c>
      <c r="D2488" t="s">
        <v>6166</v>
      </c>
      <c r="E2488">
        <v>114</v>
      </c>
      <c r="F2488" s="767">
        <v>20801.95</v>
      </c>
    </row>
    <row r="2489" spans="1:6">
      <c r="A2489" s="143">
        <v>12060</v>
      </c>
      <c r="B2489" t="s">
        <v>5875</v>
      </c>
      <c r="C2489" t="s">
        <v>5879</v>
      </c>
      <c r="D2489" t="s">
        <v>6167</v>
      </c>
      <c r="E2489">
        <v>114</v>
      </c>
      <c r="F2489">
        <v>569.88</v>
      </c>
    </row>
    <row r="2490" spans="1:6">
      <c r="A2490" s="143">
        <v>11023</v>
      </c>
      <c r="B2490" t="s">
        <v>3379</v>
      </c>
      <c r="C2490" t="s">
        <v>3484</v>
      </c>
      <c r="D2490" t="s">
        <v>6168</v>
      </c>
      <c r="E2490">
        <v>115</v>
      </c>
      <c r="F2490">
        <v>17.420000000000002</v>
      </c>
    </row>
    <row r="2491" spans="1:6">
      <c r="A2491" s="143">
        <v>11326</v>
      </c>
      <c r="B2491" t="s">
        <v>3392</v>
      </c>
      <c r="C2491" t="s">
        <v>3489</v>
      </c>
      <c r="D2491" t="s">
        <v>6170</v>
      </c>
      <c r="E2491">
        <v>115</v>
      </c>
      <c r="F2491" s="767">
        <v>2428.33</v>
      </c>
    </row>
    <row r="2492" spans="1:6">
      <c r="A2492" s="143">
        <v>11413</v>
      </c>
      <c r="B2492" t="s">
        <v>3396</v>
      </c>
      <c r="C2492" t="s">
        <v>3490</v>
      </c>
      <c r="D2492" t="s">
        <v>6171</v>
      </c>
      <c r="E2492">
        <v>115</v>
      </c>
      <c r="F2492" s="767">
        <v>6889.52</v>
      </c>
    </row>
    <row r="2493" spans="1:6">
      <c r="A2493" s="143">
        <v>11413</v>
      </c>
      <c r="B2493" t="s">
        <v>3396</v>
      </c>
      <c r="C2493" t="s">
        <v>3490</v>
      </c>
      <c r="D2493" t="s">
        <v>6172</v>
      </c>
      <c r="E2493">
        <v>115</v>
      </c>
      <c r="F2493" s="767">
        <v>6452.03</v>
      </c>
    </row>
    <row r="2494" spans="1:6">
      <c r="A2494" s="143">
        <v>11413</v>
      </c>
      <c r="B2494" t="s">
        <v>3396</v>
      </c>
      <c r="C2494" t="s">
        <v>3490</v>
      </c>
      <c r="D2494" t="s">
        <v>6173</v>
      </c>
      <c r="E2494">
        <v>115</v>
      </c>
      <c r="F2494" s="767">
        <v>1057.28</v>
      </c>
    </row>
    <row r="2495" spans="1:6">
      <c r="A2495" s="143">
        <v>11438</v>
      </c>
      <c r="B2495" t="s">
        <v>3398</v>
      </c>
      <c r="C2495" t="s">
        <v>3491</v>
      </c>
      <c r="D2495" t="s">
        <v>6176</v>
      </c>
      <c r="E2495">
        <v>115</v>
      </c>
      <c r="F2495" s="767">
        <v>10155.67</v>
      </c>
    </row>
    <row r="2496" spans="1:6">
      <c r="A2496" s="143">
        <v>11606</v>
      </c>
      <c r="B2496" t="s">
        <v>3405</v>
      </c>
      <c r="C2496" t="s">
        <v>3500</v>
      </c>
      <c r="D2496" t="s">
        <v>6177</v>
      </c>
      <c r="E2496">
        <v>115</v>
      </c>
      <c r="F2496" s="767">
        <v>5364.51</v>
      </c>
    </row>
    <row r="2497" spans="1:6">
      <c r="A2497" s="143">
        <v>11764</v>
      </c>
      <c r="B2497" t="s">
        <v>5532</v>
      </c>
      <c r="C2497" t="s">
        <v>5576</v>
      </c>
      <c r="D2497" t="s">
        <v>6178</v>
      </c>
      <c r="E2497">
        <v>115</v>
      </c>
      <c r="F2497" s="767">
        <v>16644.96</v>
      </c>
    </row>
    <row r="2498" spans="1:6">
      <c r="A2498" s="143">
        <v>11811</v>
      </c>
      <c r="B2498" t="s">
        <v>3415</v>
      </c>
      <c r="C2498" t="s">
        <v>3987</v>
      </c>
      <c r="D2498" t="s">
        <v>6179</v>
      </c>
      <c r="E2498">
        <v>115</v>
      </c>
      <c r="F2498" s="767">
        <v>5906.45</v>
      </c>
    </row>
    <row r="2499" spans="1:6">
      <c r="A2499" s="143">
        <v>11830</v>
      </c>
      <c r="B2499" t="s">
        <v>5858</v>
      </c>
      <c r="C2499" t="s">
        <v>5914</v>
      </c>
      <c r="D2499" t="s">
        <v>6180</v>
      </c>
      <c r="E2499">
        <v>115</v>
      </c>
      <c r="F2499">
        <v>165.65</v>
      </c>
    </row>
    <row r="2500" spans="1:6">
      <c r="A2500" s="143">
        <v>11916</v>
      </c>
      <c r="B2500" t="s">
        <v>5402</v>
      </c>
      <c r="C2500" t="s">
        <v>5433</v>
      </c>
      <c r="D2500" t="s">
        <v>6182</v>
      </c>
      <c r="E2500">
        <v>115</v>
      </c>
      <c r="F2500" s="767">
        <v>1219.24</v>
      </c>
    </row>
    <row r="2501" spans="1:6">
      <c r="A2501" s="143">
        <v>11918</v>
      </c>
      <c r="B2501" t="s">
        <v>2134</v>
      </c>
      <c r="C2501" t="s">
        <v>5416</v>
      </c>
      <c r="D2501" t="s">
        <v>6183</v>
      </c>
      <c r="E2501">
        <v>115</v>
      </c>
      <c r="F2501" s="767">
        <v>8142.46</v>
      </c>
    </row>
    <row r="2502" spans="1:6">
      <c r="A2502" s="143">
        <v>11918</v>
      </c>
      <c r="B2502" t="s">
        <v>2134</v>
      </c>
      <c r="C2502" t="s">
        <v>5416</v>
      </c>
      <c r="D2502" t="s">
        <v>6184</v>
      </c>
      <c r="E2502">
        <v>115</v>
      </c>
      <c r="F2502" s="767">
        <v>9107.9500000000007</v>
      </c>
    </row>
    <row r="2503" spans="1:6">
      <c r="A2503" s="143">
        <v>12002</v>
      </c>
      <c r="B2503" t="s">
        <v>3479</v>
      </c>
      <c r="C2503" t="s">
        <v>3480</v>
      </c>
      <c r="D2503" t="s">
        <v>6187</v>
      </c>
      <c r="E2503">
        <v>115</v>
      </c>
      <c r="F2503" s="767">
        <v>4301.3500000000004</v>
      </c>
    </row>
    <row r="2504" spans="1:6">
      <c r="A2504" s="143">
        <v>21012</v>
      </c>
      <c r="B2504" t="s">
        <v>6110</v>
      </c>
      <c r="C2504" t="s">
        <v>6188</v>
      </c>
      <c r="D2504" t="s">
        <v>6189</v>
      </c>
      <c r="E2504">
        <v>115</v>
      </c>
      <c r="F2504" s="767">
        <v>1050.1300000000001</v>
      </c>
    </row>
    <row r="2505" spans="1:6">
      <c r="A2505" s="143">
        <v>21090</v>
      </c>
      <c r="B2505" t="s">
        <v>1195</v>
      </c>
      <c r="C2505" t="s">
        <v>3475</v>
      </c>
      <c r="D2505" t="s">
        <v>6190</v>
      </c>
      <c r="E2505">
        <v>115</v>
      </c>
      <c r="F2505" s="767">
        <v>3100.05</v>
      </c>
    </row>
    <row r="2506" spans="1:6">
      <c r="A2506" s="143">
        <v>31027</v>
      </c>
      <c r="B2506" t="s">
        <v>1037</v>
      </c>
      <c r="C2506" t="s">
        <v>3498</v>
      </c>
      <c r="D2506" t="s">
        <v>6192</v>
      </c>
      <c r="E2506">
        <v>115</v>
      </c>
      <c r="F2506" s="767">
        <v>10881.53</v>
      </c>
    </row>
    <row r="2507" spans="1:6">
      <c r="A2507" s="143">
        <v>11146</v>
      </c>
      <c r="B2507" t="s">
        <v>6118</v>
      </c>
      <c r="C2507" t="s">
        <v>6119</v>
      </c>
      <c r="D2507" t="s">
        <v>6193</v>
      </c>
      <c r="E2507">
        <v>116</v>
      </c>
      <c r="F2507" s="767">
        <v>9674.19</v>
      </c>
    </row>
    <row r="2508" spans="1:6">
      <c r="A2508" s="143">
        <v>12060</v>
      </c>
      <c r="B2508" t="s">
        <v>5875</v>
      </c>
      <c r="C2508" t="s">
        <v>5879</v>
      </c>
      <c r="D2508" t="s">
        <v>5880</v>
      </c>
      <c r="E2508">
        <v>134</v>
      </c>
      <c r="F2508">
        <v>343.4</v>
      </c>
    </row>
    <row r="2509" spans="1:6">
      <c r="A2509" s="143">
        <v>12056</v>
      </c>
      <c r="B2509" t="s">
        <v>5821</v>
      </c>
      <c r="C2509" t="s">
        <v>5881</v>
      </c>
      <c r="D2509" t="s">
        <v>5882</v>
      </c>
      <c r="E2509">
        <v>137</v>
      </c>
      <c r="F2509" s="767">
        <v>1148.54</v>
      </c>
    </row>
    <row r="2510" spans="1:6">
      <c r="A2510" s="143">
        <v>12036</v>
      </c>
      <c r="B2510" t="s">
        <v>2113</v>
      </c>
      <c r="C2510" t="s">
        <v>3484</v>
      </c>
      <c r="D2510" t="s">
        <v>5884</v>
      </c>
      <c r="E2510">
        <v>142</v>
      </c>
      <c r="F2510" s="767">
        <v>11109.42</v>
      </c>
    </row>
    <row r="2511" spans="1:6">
      <c r="A2511" s="143">
        <v>11606</v>
      </c>
      <c r="B2511" t="s">
        <v>3405</v>
      </c>
      <c r="C2511" t="s">
        <v>3500</v>
      </c>
      <c r="D2511" t="s">
        <v>5885</v>
      </c>
      <c r="E2511">
        <v>148</v>
      </c>
      <c r="F2511" s="767">
        <v>2689.25</v>
      </c>
    </row>
    <row r="2512" spans="1:6">
      <c r="A2512" s="143">
        <v>11606</v>
      </c>
      <c r="B2512" t="s">
        <v>3405</v>
      </c>
      <c r="C2512" t="s">
        <v>3500</v>
      </c>
      <c r="D2512" t="s">
        <v>5886</v>
      </c>
      <c r="E2512">
        <v>148</v>
      </c>
      <c r="F2512" s="767">
        <v>1560.34</v>
      </c>
    </row>
    <row r="2513" spans="1:6">
      <c r="A2513" s="143">
        <v>11606</v>
      </c>
      <c r="B2513" t="s">
        <v>3405</v>
      </c>
      <c r="C2513" t="s">
        <v>3500</v>
      </c>
      <c r="D2513" t="s">
        <v>5887</v>
      </c>
      <c r="E2513">
        <v>148</v>
      </c>
      <c r="F2513" s="767">
        <v>2689.25</v>
      </c>
    </row>
    <row r="2514" spans="1:6">
      <c r="A2514" s="143">
        <v>11606</v>
      </c>
      <c r="B2514" t="s">
        <v>3405</v>
      </c>
      <c r="C2514" t="s">
        <v>3500</v>
      </c>
      <c r="D2514" t="s">
        <v>5888</v>
      </c>
      <c r="E2514">
        <v>148</v>
      </c>
      <c r="F2514" s="767">
        <v>1560.34</v>
      </c>
    </row>
    <row r="2515" spans="1:6">
      <c r="A2515" s="143">
        <v>11606</v>
      </c>
      <c r="B2515" t="s">
        <v>3405</v>
      </c>
      <c r="C2515" t="s">
        <v>3500</v>
      </c>
      <c r="D2515" t="s">
        <v>5889</v>
      </c>
      <c r="E2515">
        <v>148</v>
      </c>
      <c r="F2515" s="767">
        <v>2689.25</v>
      </c>
    </row>
    <row r="2516" spans="1:6">
      <c r="A2516" s="143">
        <v>11606</v>
      </c>
      <c r="B2516" t="s">
        <v>3405</v>
      </c>
      <c r="C2516" t="s">
        <v>3500</v>
      </c>
      <c r="D2516" t="s">
        <v>5890</v>
      </c>
      <c r="E2516">
        <v>148</v>
      </c>
      <c r="F2516" s="767">
        <v>1560.34</v>
      </c>
    </row>
    <row r="2517" spans="1:6">
      <c r="A2517" s="143">
        <v>11606</v>
      </c>
      <c r="B2517" t="s">
        <v>3405</v>
      </c>
      <c r="C2517" t="s">
        <v>3500</v>
      </c>
      <c r="D2517" t="s">
        <v>5891</v>
      </c>
      <c r="E2517">
        <v>148</v>
      </c>
      <c r="F2517" s="767">
        <v>2689.25</v>
      </c>
    </row>
    <row r="2518" spans="1:6">
      <c r="A2518" s="143">
        <v>11606</v>
      </c>
      <c r="B2518" t="s">
        <v>3405</v>
      </c>
      <c r="C2518" t="s">
        <v>3500</v>
      </c>
      <c r="D2518" t="s">
        <v>5892</v>
      </c>
      <c r="E2518">
        <v>148</v>
      </c>
      <c r="F2518" s="767">
        <v>1560.34</v>
      </c>
    </row>
    <row r="2519" spans="1:6">
      <c r="A2519" s="143">
        <v>11606</v>
      </c>
      <c r="B2519" t="s">
        <v>3405</v>
      </c>
      <c r="C2519" t="s">
        <v>3500</v>
      </c>
      <c r="D2519" t="s">
        <v>5893</v>
      </c>
      <c r="E2519">
        <v>148</v>
      </c>
      <c r="F2519" s="767">
        <v>2689.25</v>
      </c>
    </row>
    <row r="2520" spans="1:6">
      <c r="A2520" s="143">
        <v>11606</v>
      </c>
      <c r="B2520" t="s">
        <v>3405</v>
      </c>
      <c r="C2520" t="s">
        <v>3500</v>
      </c>
      <c r="D2520" t="s">
        <v>5894</v>
      </c>
      <c r="E2520">
        <v>148</v>
      </c>
      <c r="F2520" s="767">
        <v>1560.34</v>
      </c>
    </row>
    <row r="2521" spans="1:6">
      <c r="A2521" s="143">
        <v>11606</v>
      </c>
      <c r="B2521" t="s">
        <v>3405</v>
      </c>
      <c r="C2521" t="s">
        <v>3500</v>
      </c>
      <c r="D2521" t="s">
        <v>5895</v>
      </c>
      <c r="E2521">
        <v>148</v>
      </c>
      <c r="F2521" s="767">
        <v>2689.25</v>
      </c>
    </row>
    <row r="2522" spans="1:6">
      <c r="A2522" s="143">
        <v>11606</v>
      </c>
      <c r="B2522" t="s">
        <v>3405</v>
      </c>
      <c r="C2522" t="s">
        <v>3500</v>
      </c>
      <c r="D2522" t="s">
        <v>5896</v>
      </c>
      <c r="E2522">
        <v>148</v>
      </c>
      <c r="F2522" s="767">
        <v>1560.34</v>
      </c>
    </row>
    <row r="2523" spans="1:6">
      <c r="A2523" s="143">
        <v>11295</v>
      </c>
      <c r="B2523" t="s">
        <v>3389</v>
      </c>
      <c r="C2523" t="s">
        <v>3534</v>
      </c>
      <c r="D2523" t="s">
        <v>5897</v>
      </c>
      <c r="E2523">
        <v>149</v>
      </c>
      <c r="F2523" s="767">
        <v>5184.63</v>
      </c>
    </row>
    <row r="2524" spans="1:6">
      <c r="A2524" s="143">
        <v>11295</v>
      </c>
      <c r="B2524" t="s">
        <v>3389</v>
      </c>
      <c r="C2524" t="s">
        <v>3534</v>
      </c>
      <c r="D2524" t="s">
        <v>5898</v>
      </c>
      <c r="E2524">
        <v>149</v>
      </c>
      <c r="F2524" s="767">
        <v>6303.16</v>
      </c>
    </row>
    <row r="2525" spans="1:6">
      <c r="A2525" s="143">
        <v>11367</v>
      </c>
      <c r="B2525" t="s">
        <v>4185</v>
      </c>
      <c r="C2525" t="s">
        <v>4186</v>
      </c>
      <c r="D2525" t="s">
        <v>5899</v>
      </c>
      <c r="E2525">
        <v>149</v>
      </c>
      <c r="F2525" s="767">
        <v>8956.1200000000008</v>
      </c>
    </row>
    <row r="2526" spans="1:6">
      <c r="A2526" s="143">
        <v>11390</v>
      </c>
      <c r="B2526" t="s">
        <v>1228</v>
      </c>
      <c r="C2526" t="s">
        <v>3536</v>
      </c>
      <c r="D2526" t="s">
        <v>5900</v>
      </c>
      <c r="E2526">
        <v>149</v>
      </c>
      <c r="F2526" s="767">
        <v>1284.9100000000001</v>
      </c>
    </row>
    <row r="2527" spans="1:6">
      <c r="A2527" s="143">
        <v>11991</v>
      </c>
      <c r="B2527" t="s">
        <v>3429</v>
      </c>
      <c r="C2527" t="s">
        <v>3457</v>
      </c>
      <c r="D2527" t="s">
        <v>5901</v>
      </c>
      <c r="E2527">
        <v>149</v>
      </c>
      <c r="F2527" s="767">
        <v>2677.73</v>
      </c>
    </row>
    <row r="2528" spans="1:6">
      <c r="A2528" s="143">
        <v>12000</v>
      </c>
      <c r="B2528" t="s">
        <v>5865</v>
      </c>
      <c r="C2528" t="s">
        <v>5902</v>
      </c>
      <c r="D2528" t="s">
        <v>5903</v>
      </c>
      <c r="E2528">
        <v>149</v>
      </c>
      <c r="F2528" s="767">
        <v>1504.51</v>
      </c>
    </row>
    <row r="2529" spans="1:6">
      <c r="A2529" s="143">
        <v>12002</v>
      </c>
      <c r="B2529" t="s">
        <v>3479</v>
      </c>
      <c r="C2529" t="s">
        <v>3480</v>
      </c>
      <c r="D2529" t="s">
        <v>5904</v>
      </c>
      <c r="E2529">
        <v>149</v>
      </c>
      <c r="F2529" s="767">
        <v>4301.3500000000004</v>
      </c>
    </row>
    <row r="2530" spans="1:6">
      <c r="A2530" s="143">
        <v>12011</v>
      </c>
      <c r="B2530" t="s">
        <v>3301</v>
      </c>
      <c r="C2530" t="s">
        <v>3458</v>
      </c>
      <c r="D2530" t="s">
        <v>5905</v>
      </c>
      <c r="E2530">
        <v>149</v>
      </c>
      <c r="F2530">
        <v>509.43</v>
      </c>
    </row>
    <row r="2531" spans="1:6">
      <c r="A2531" s="143">
        <v>12013</v>
      </c>
      <c r="B2531" t="s">
        <v>3252</v>
      </c>
      <c r="C2531" t="s">
        <v>5906</v>
      </c>
      <c r="D2531" t="s">
        <v>5907</v>
      </c>
      <c r="E2531">
        <v>149</v>
      </c>
      <c r="F2531">
        <v>131.97</v>
      </c>
    </row>
    <row r="2532" spans="1:6">
      <c r="A2532" s="143">
        <v>12026</v>
      </c>
      <c r="B2532" t="s">
        <v>4088</v>
      </c>
      <c r="C2532" t="s">
        <v>4090</v>
      </c>
      <c r="D2532" t="s">
        <v>5908</v>
      </c>
      <c r="E2532">
        <v>149</v>
      </c>
      <c r="F2532">
        <v>498.03</v>
      </c>
    </row>
    <row r="2533" spans="1:6">
      <c r="A2533" s="143">
        <v>12046</v>
      </c>
      <c r="B2533" t="s">
        <v>5444</v>
      </c>
      <c r="C2533" t="s">
        <v>5569</v>
      </c>
      <c r="D2533" t="s">
        <v>5909</v>
      </c>
      <c r="E2533">
        <v>149</v>
      </c>
      <c r="F2533">
        <v>698.69</v>
      </c>
    </row>
    <row r="2534" spans="1:6">
      <c r="A2534" s="143">
        <v>12050</v>
      </c>
      <c r="B2534" t="s">
        <v>5571</v>
      </c>
      <c r="C2534" t="s">
        <v>5572</v>
      </c>
      <c r="D2534" t="s">
        <v>5910</v>
      </c>
      <c r="E2534">
        <v>149</v>
      </c>
      <c r="F2534">
        <v>411.83</v>
      </c>
    </row>
    <row r="2535" spans="1:6">
      <c r="A2535" s="143">
        <v>11023</v>
      </c>
      <c r="B2535" t="s">
        <v>3379</v>
      </c>
      <c r="C2535" t="s">
        <v>3484</v>
      </c>
      <c r="D2535" t="s">
        <v>5911</v>
      </c>
      <c r="E2535">
        <v>150</v>
      </c>
      <c r="F2535">
        <v>17.420000000000002</v>
      </c>
    </row>
    <row r="2536" spans="1:6">
      <c r="A2536" s="143">
        <v>11606</v>
      </c>
      <c r="B2536" t="s">
        <v>3405</v>
      </c>
      <c r="C2536" t="s">
        <v>3500</v>
      </c>
      <c r="D2536" t="s">
        <v>5912</v>
      </c>
      <c r="E2536">
        <v>150</v>
      </c>
      <c r="F2536" s="767">
        <v>10820.11</v>
      </c>
    </row>
    <row r="2537" spans="1:6">
      <c r="A2537" s="143">
        <v>11811</v>
      </c>
      <c r="B2537" t="s">
        <v>3415</v>
      </c>
      <c r="C2537" t="s">
        <v>3987</v>
      </c>
      <c r="D2537" t="s">
        <v>5913</v>
      </c>
      <c r="E2537">
        <v>150</v>
      </c>
      <c r="F2537" s="767">
        <v>6297.13</v>
      </c>
    </row>
    <row r="2538" spans="1:6">
      <c r="A2538" s="143">
        <v>11830</v>
      </c>
      <c r="B2538" t="s">
        <v>5858</v>
      </c>
      <c r="C2538" t="s">
        <v>5914</v>
      </c>
      <c r="D2538" t="s">
        <v>5915</v>
      </c>
      <c r="E2538">
        <v>150</v>
      </c>
      <c r="F2538">
        <v>169.05</v>
      </c>
    </row>
    <row r="2539" spans="1:6">
      <c r="A2539" s="143">
        <v>11916</v>
      </c>
      <c r="B2539" t="s">
        <v>5402</v>
      </c>
      <c r="C2539" t="s">
        <v>5433</v>
      </c>
      <c r="D2539" t="s">
        <v>5919</v>
      </c>
      <c r="E2539">
        <v>150</v>
      </c>
      <c r="F2539" s="767">
        <v>1320.03</v>
      </c>
    </row>
    <row r="2540" spans="1:6">
      <c r="A2540" s="143">
        <v>11444</v>
      </c>
      <c r="B2540" t="s">
        <v>3399</v>
      </c>
      <c r="C2540" t="s">
        <v>3460</v>
      </c>
      <c r="D2540" t="s">
        <v>5547</v>
      </c>
      <c r="E2540">
        <v>151</v>
      </c>
      <c r="F2540" s="767">
        <v>19752.689999999999</v>
      </c>
    </row>
    <row r="2541" spans="1:6">
      <c r="A2541" s="143">
        <v>11444</v>
      </c>
      <c r="B2541" t="s">
        <v>3399</v>
      </c>
      <c r="C2541" t="s">
        <v>3460</v>
      </c>
      <c r="D2541" t="s">
        <v>5548</v>
      </c>
      <c r="E2541">
        <v>151</v>
      </c>
      <c r="F2541" s="767">
        <v>15634.93</v>
      </c>
    </row>
    <row r="2542" spans="1:6">
      <c r="A2542" s="143">
        <v>11423</v>
      </c>
      <c r="B2542" t="s">
        <v>3397</v>
      </c>
      <c r="C2542" t="s">
        <v>3537</v>
      </c>
      <c r="D2542" t="s">
        <v>5549</v>
      </c>
      <c r="E2542">
        <v>155</v>
      </c>
      <c r="F2542" s="767">
        <v>21092.31</v>
      </c>
    </row>
    <row r="2543" spans="1:6">
      <c r="A2543" s="143">
        <v>11023</v>
      </c>
      <c r="B2543" t="s">
        <v>3379</v>
      </c>
      <c r="C2543" t="s">
        <v>3484</v>
      </c>
      <c r="D2543" t="s">
        <v>5550</v>
      </c>
      <c r="E2543">
        <v>157</v>
      </c>
      <c r="F2543">
        <v>107.5</v>
      </c>
    </row>
    <row r="2544" spans="1:6">
      <c r="A2544" s="143">
        <v>31024</v>
      </c>
      <c r="B2544" t="s">
        <v>3399</v>
      </c>
      <c r="C2544" t="s">
        <v>3460</v>
      </c>
      <c r="D2544" t="s">
        <v>7460</v>
      </c>
      <c r="E2544">
        <v>167</v>
      </c>
      <c r="F2544" s="767">
        <v>3177.98</v>
      </c>
    </row>
    <row r="2545" spans="1:6">
      <c r="A2545" s="143">
        <v>11444</v>
      </c>
      <c r="B2545" t="s">
        <v>3399</v>
      </c>
      <c r="C2545" t="s">
        <v>3460</v>
      </c>
      <c r="D2545" t="s">
        <v>5551</v>
      </c>
      <c r="E2545">
        <v>168</v>
      </c>
      <c r="F2545" s="767">
        <v>74422.31</v>
      </c>
    </row>
    <row r="2546" spans="1:6">
      <c r="A2546" s="143">
        <v>11444</v>
      </c>
      <c r="B2546" t="s">
        <v>3399</v>
      </c>
      <c r="C2546" t="s">
        <v>3460</v>
      </c>
      <c r="D2546" t="s">
        <v>5552</v>
      </c>
      <c r="E2546">
        <v>168</v>
      </c>
      <c r="F2546" s="767">
        <v>5278.99</v>
      </c>
    </row>
    <row r="2547" spans="1:6">
      <c r="A2547" s="143">
        <v>11444</v>
      </c>
      <c r="B2547" t="s">
        <v>3399</v>
      </c>
      <c r="C2547" t="s">
        <v>3460</v>
      </c>
      <c r="D2547" t="s">
        <v>5553</v>
      </c>
      <c r="E2547">
        <v>168</v>
      </c>
      <c r="F2547" s="767">
        <v>2818.52</v>
      </c>
    </row>
    <row r="2548" spans="1:6">
      <c r="A2548" s="143">
        <v>11991</v>
      </c>
      <c r="B2548" t="s">
        <v>3429</v>
      </c>
      <c r="C2548" t="s">
        <v>3457</v>
      </c>
      <c r="D2548" t="s">
        <v>5554</v>
      </c>
      <c r="E2548">
        <v>171</v>
      </c>
      <c r="F2548" s="767">
        <v>5369.8</v>
      </c>
    </row>
    <row r="2549" spans="1:6">
      <c r="A2549" s="143">
        <v>11991</v>
      </c>
      <c r="B2549" t="s">
        <v>3429</v>
      </c>
      <c r="C2549" t="s">
        <v>3457</v>
      </c>
      <c r="D2549" t="s">
        <v>5555</v>
      </c>
      <c r="E2549">
        <v>171</v>
      </c>
      <c r="F2549" s="767">
        <v>8312.51</v>
      </c>
    </row>
    <row r="2550" spans="1:6">
      <c r="A2550" s="143">
        <v>11991</v>
      </c>
      <c r="B2550" t="s">
        <v>3429</v>
      </c>
      <c r="C2550" t="s">
        <v>3457</v>
      </c>
      <c r="D2550" t="s">
        <v>5556</v>
      </c>
      <c r="E2550">
        <v>171</v>
      </c>
      <c r="F2550" s="767">
        <v>6794.35</v>
      </c>
    </row>
    <row r="2551" spans="1:6">
      <c r="A2551" s="143">
        <v>11991</v>
      </c>
      <c r="B2551" t="s">
        <v>3429</v>
      </c>
      <c r="C2551" t="s">
        <v>3457</v>
      </c>
      <c r="D2551" t="s">
        <v>5557</v>
      </c>
      <c r="E2551">
        <v>171</v>
      </c>
      <c r="F2551" s="767">
        <v>6616.19</v>
      </c>
    </row>
    <row r="2552" spans="1:6">
      <c r="A2552" s="143">
        <v>11918</v>
      </c>
      <c r="B2552" t="s">
        <v>2134</v>
      </c>
      <c r="C2552" t="s">
        <v>5416</v>
      </c>
      <c r="D2552" t="s">
        <v>5558</v>
      </c>
      <c r="E2552">
        <v>176</v>
      </c>
      <c r="F2552" s="767">
        <v>7944.99</v>
      </c>
    </row>
    <row r="2553" spans="1:6">
      <c r="A2553" s="143">
        <v>11295</v>
      </c>
      <c r="B2553" t="s">
        <v>3389</v>
      </c>
      <c r="C2553" t="s">
        <v>3534</v>
      </c>
      <c r="D2553" t="s">
        <v>5559</v>
      </c>
      <c r="E2553">
        <v>177</v>
      </c>
      <c r="F2553" s="767">
        <v>5467.35</v>
      </c>
    </row>
    <row r="2554" spans="1:6">
      <c r="A2554" s="143">
        <v>11295</v>
      </c>
      <c r="B2554" t="s">
        <v>3389</v>
      </c>
      <c r="C2554" t="s">
        <v>3534</v>
      </c>
      <c r="D2554" t="s">
        <v>5560</v>
      </c>
      <c r="E2554">
        <v>177</v>
      </c>
      <c r="F2554" s="767">
        <v>6430.37</v>
      </c>
    </row>
    <row r="2555" spans="1:6">
      <c r="A2555" s="143">
        <v>11367</v>
      </c>
      <c r="B2555" t="s">
        <v>4185</v>
      </c>
      <c r="C2555" t="s">
        <v>4186</v>
      </c>
      <c r="D2555" t="s">
        <v>5561</v>
      </c>
      <c r="E2555">
        <v>177</v>
      </c>
      <c r="F2555" s="767">
        <v>5723.14</v>
      </c>
    </row>
    <row r="2556" spans="1:6">
      <c r="A2556" s="143">
        <v>11604</v>
      </c>
      <c r="B2556" t="s">
        <v>3497</v>
      </c>
      <c r="C2556" t="s">
        <v>3498</v>
      </c>
      <c r="D2556" t="s">
        <v>5562</v>
      </c>
      <c r="E2556">
        <v>177</v>
      </c>
      <c r="F2556" s="767">
        <v>1429.07</v>
      </c>
    </row>
    <row r="2557" spans="1:6">
      <c r="A2557" s="143">
        <v>11916</v>
      </c>
      <c r="B2557" t="s">
        <v>5402</v>
      </c>
      <c r="C2557" t="s">
        <v>5433</v>
      </c>
      <c r="D2557" t="s">
        <v>5563</v>
      </c>
      <c r="E2557">
        <v>177</v>
      </c>
      <c r="F2557" s="767">
        <v>1282.28</v>
      </c>
    </row>
    <row r="2558" spans="1:6">
      <c r="A2558" s="143">
        <v>11946</v>
      </c>
      <c r="B2558" t="s">
        <v>3425</v>
      </c>
      <c r="C2558" t="s">
        <v>3515</v>
      </c>
      <c r="D2558" t="s">
        <v>5564</v>
      </c>
      <c r="E2558">
        <v>177</v>
      </c>
      <c r="F2558" s="767">
        <v>8339.59</v>
      </c>
    </row>
    <row r="2559" spans="1:6">
      <c r="A2559" s="143">
        <v>11953</v>
      </c>
      <c r="B2559" t="s">
        <v>3644</v>
      </c>
      <c r="C2559" t="s">
        <v>3645</v>
      </c>
      <c r="D2559" t="s">
        <v>5565</v>
      </c>
      <c r="E2559">
        <v>177</v>
      </c>
      <c r="F2559">
        <v>150.99</v>
      </c>
    </row>
    <row r="2560" spans="1:6">
      <c r="A2560" s="143">
        <v>12035</v>
      </c>
      <c r="B2560" t="s">
        <v>5566</v>
      </c>
      <c r="C2560" t="s">
        <v>5567</v>
      </c>
      <c r="D2560" t="s">
        <v>5568</v>
      </c>
      <c r="E2560">
        <v>177</v>
      </c>
      <c r="F2560">
        <v>304.77</v>
      </c>
    </row>
    <row r="2561" spans="1:7">
      <c r="A2561" s="143">
        <v>12046</v>
      </c>
      <c r="B2561" t="s">
        <v>5444</v>
      </c>
      <c r="C2561" t="s">
        <v>5569</v>
      </c>
      <c r="D2561" t="s">
        <v>5570</v>
      </c>
      <c r="E2561">
        <v>177</v>
      </c>
      <c r="F2561">
        <v>620.54999999999995</v>
      </c>
    </row>
    <row r="2562" spans="1:7">
      <c r="A2562" s="143">
        <v>12050</v>
      </c>
      <c r="B2562" t="s">
        <v>5571</v>
      </c>
      <c r="C2562" t="s">
        <v>5572</v>
      </c>
      <c r="D2562" t="s">
        <v>5573</v>
      </c>
      <c r="E2562">
        <v>177</v>
      </c>
      <c r="F2562">
        <v>709.27</v>
      </c>
    </row>
    <row r="2563" spans="1:7">
      <c r="A2563" s="143">
        <v>11023</v>
      </c>
      <c r="B2563" t="s">
        <v>3379</v>
      </c>
      <c r="C2563" t="s">
        <v>3484</v>
      </c>
      <c r="D2563" t="s">
        <v>5574</v>
      </c>
      <c r="E2563">
        <v>178</v>
      </c>
      <c r="F2563">
        <v>17.399999999999999</v>
      </c>
    </row>
    <row r="2564" spans="1:7">
      <c r="A2564" s="143">
        <v>11811</v>
      </c>
      <c r="B2564" t="s">
        <v>3415</v>
      </c>
      <c r="C2564" t="s">
        <v>3987</v>
      </c>
      <c r="D2564" t="s">
        <v>5577</v>
      </c>
      <c r="E2564">
        <v>178</v>
      </c>
      <c r="F2564" s="767">
        <v>5926.08</v>
      </c>
    </row>
    <row r="2565" spans="1:7">
      <c r="A2565" s="143">
        <v>12002</v>
      </c>
      <c r="B2565" t="s">
        <v>3479</v>
      </c>
      <c r="C2565" t="s">
        <v>3480</v>
      </c>
      <c r="D2565" t="s">
        <v>5579</v>
      </c>
      <c r="E2565">
        <v>178</v>
      </c>
      <c r="F2565" s="767">
        <v>4301.3500000000004</v>
      </c>
    </row>
    <row r="2566" spans="1:7">
      <c r="A2566" s="143">
        <v>51019</v>
      </c>
      <c r="B2566" t="s">
        <v>3441</v>
      </c>
      <c r="C2566" t="s">
        <v>3712</v>
      </c>
      <c r="D2566" t="s">
        <v>5580</v>
      </c>
      <c r="E2566">
        <v>178</v>
      </c>
      <c r="F2566">
        <v>829.91</v>
      </c>
    </row>
    <row r="2567" spans="1:7" ht="15">
      <c r="A2567" s="1546"/>
      <c r="B2567" s="1546" t="s">
        <v>7461</v>
      </c>
      <c r="C2567" s="1546"/>
      <c r="D2567" s="1546"/>
      <c r="E2567" s="1546"/>
      <c r="F2567" s="1547"/>
      <c r="G2567" s="1548">
        <f>SUM(F2461:F2566)</f>
        <v>667257.32000000007</v>
      </c>
    </row>
    <row r="2568" spans="1:7">
      <c r="A2568" s="143">
        <v>11444</v>
      </c>
      <c r="B2568" t="s">
        <v>3399</v>
      </c>
      <c r="C2568" t="s">
        <v>3460</v>
      </c>
      <c r="D2568" t="s">
        <v>5475</v>
      </c>
      <c r="E2568">
        <v>193</v>
      </c>
      <c r="F2568">
        <v>708.5</v>
      </c>
    </row>
    <row r="2569" spans="1:7">
      <c r="A2569" s="143">
        <v>11444</v>
      </c>
      <c r="B2569" t="s">
        <v>3399</v>
      </c>
      <c r="C2569" t="s">
        <v>3460</v>
      </c>
      <c r="D2569" t="s">
        <v>5476</v>
      </c>
      <c r="E2569">
        <v>197</v>
      </c>
      <c r="F2569" s="767">
        <v>5278.99</v>
      </c>
    </row>
    <row r="2570" spans="1:7">
      <c r="A2570" s="143">
        <v>11444</v>
      </c>
      <c r="B2570" t="s">
        <v>3399</v>
      </c>
      <c r="C2570" t="s">
        <v>3460</v>
      </c>
      <c r="D2570" t="s">
        <v>5477</v>
      </c>
      <c r="E2570">
        <v>197</v>
      </c>
      <c r="F2570" s="767">
        <v>64628.63</v>
      </c>
    </row>
    <row r="2571" spans="1:7">
      <c r="A2571" s="143">
        <v>11991</v>
      </c>
      <c r="B2571" t="s">
        <v>3429</v>
      </c>
      <c r="C2571" t="s">
        <v>3457</v>
      </c>
      <c r="D2571" t="s">
        <v>5478</v>
      </c>
      <c r="E2571">
        <v>197</v>
      </c>
      <c r="F2571" s="767">
        <v>6641.86</v>
      </c>
    </row>
    <row r="2572" spans="1:7">
      <c r="A2572" s="143">
        <v>11991</v>
      </c>
      <c r="B2572" t="s">
        <v>3429</v>
      </c>
      <c r="C2572" t="s">
        <v>3457</v>
      </c>
      <c r="D2572" t="s">
        <v>5479</v>
      </c>
      <c r="E2572">
        <v>197</v>
      </c>
      <c r="F2572" s="767">
        <v>11791.98</v>
      </c>
    </row>
    <row r="2573" spans="1:7">
      <c r="A2573" s="143">
        <v>11946</v>
      </c>
      <c r="B2573" t="s">
        <v>3425</v>
      </c>
      <c r="C2573" t="s">
        <v>3515</v>
      </c>
      <c r="D2573" t="s">
        <v>5481</v>
      </c>
      <c r="E2573">
        <v>205</v>
      </c>
      <c r="F2573" s="767">
        <v>5892.11</v>
      </c>
    </row>
    <row r="2574" spans="1:7">
      <c r="A2574" s="143">
        <v>12010</v>
      </c>
      <c r="B2574" t="s">
        <v>3231</v>
      </c>
      <c r="C2574" t="s">
        <v>5411</v>
      </c>
      <c r="D2574" t="s">
        <v>5482</v>
      </c>
      <c r="E2574">
        <v>205</v>
      </c>
      <c r="F2574" s="767">
        <v>6649.06</v>
      </c>
    </row>
    <row r="2575" spans="1:7">
      <c r="A2575" s="143">
        <v>11023</v>
      </c>
      <c r="B2575" t="s">
        <v>3379</v>
      </c>
      <c r="C2575" t="s">
        <v>3484</v>
      </c>
      <c r="D2575" t="s">
        <v>5483</v>
      </c>
      <c r="E2575">
        <v>207</v>
      </c>
      <c r="F2575">
        <v>17.399999999999999</v>
      </c>
    </row>
    <row r="2576" spans="1:7">
      <c r="A2576" s="143">
        <v>11971</v>
      </c>
      <c r="B2576" t="s">
        <v>4087</v>
      </c>
      <c r="C2576" t="s">
        <v>4094</v>
      </c>
      <c r="D2576" t="s">
        <v>5484</v>
      </c>
      <c r="E2576">
        <v>207</v>
      </c>
      <c r="F2576">
        <v>79.180000000000007</v>
      </c>
    </row>
    <row r="2577" spans="1:6">
      <c r="A2577" s="143">
        <v>11977</v>
      </c>
      <c r="B2577" t="s">
        <v>3145</v>
      </c>
      <c r="C2577" t="s">
        <v>5485</v>
      </c>
      <c r="D2577" t="s">
        <v>5486</v>
      </c>
      <c r="E2577">
        <v>207</v>
      </c>
      <c r="F2577">
        <v>422.35</v>
      </c>
    </row>
    <row r="2578" spans="1:6">
      <c r="A2578" s="143">
        <v>12002</v>
      </c>
      <c r="B2578" t="s">
        <v>3479</v>
      </c>
      <c r="C2578" t="s">
        <v>3480</v>
      </c>
      <c r="D2578" t="s">
        <v>5487</v>
      </c>
      <c r="E2578">
        <v>207</v>
      </c>
      <c r="F2578" s="767">
        <v>4301.3500000000004</v>
      </c>
    </row>
    <row r="2579" spans="1:6">
      <c r="A2579" s="143">
        <v>12040</v>
      </c>
      <c r="B2579" t="s">
        <v>5488</v>
      </c>
      <c r="C2579" t="s">
        <v>5489</v>
      </c>
      <c r="D2579" t="s">
        <v>5490</v>
      </c>
      <c r="E2579">
        <v>207</v>
      </c>
      <c r="F2579" s="767">
        <v>1197.32</v>
      </c>
    </row>
    <row r="2580" spans="1:6">
      <c r="A2580" s="143">
        <v>11173</v>
      </c>
      <c r="B2580" t="s">
        <v>3387</v>
      </c>
      <c r="C2580" t="s">
        <v>3487</v>
      </c>
      <c r="D2580" t="s">
        <v>5491</v>
      </c>
      <c r="E2580">
        <v>210</v>
      </c>
      <c r="F2580">
        <v>248.91</v>
      </c>
    </row>
    <row r="2581" spans="1:6">
      <c r="A2581" s="143">
        <v>11604</v>
      </c>
      <c r="B2581" t="s">
        <v>3497</v>
      </c>
      <c r="C2581" t="s">
        <v>3498</v>
      </c>
      <c r="D2581" t="s">
        <v>5492</v>
      </c>
      <c r="E2581">
        <v>210</v>
      </c>
      <c r="F2581" s="767">
        <v>1769.17</v>
      </c>
    </row>
    <row r="2582" spans="1:6">
      <c r="A2582" s="143">
        <v>11811</v>
      </c>
      <c r="B2582" t="s">
        <v>3415</v>
      </c>
      <c r="C2582" t="s">
        <v>3987</v>
      </c>
      <c r="D2582" t="s">
        <v>5495</v>
      </c>
      <c r="E2582">
        <v>210</v>
      </c>
      <c r="F2582" s="767">
        <v>6436.03</v>
      </c>
    </row>
    <row r="2583" spans="1:6">
      <c r="A2583" s="143">
        <v>11916</v>
      </c>
      <c r="B2583" t="s">
        <v>5402</v>
      </c>
      <c r="C2583" t="s">
        <v>5433</v>
      </c>
      <c r="D2583" t="s">
        <v>5496</v>
      </c>
      <c r="E2583">
        <v>210</v>
      </c>
      <c r="F2583" s="767">
        <v>1999.46</v>
      </c>
    </row>
    <row r="2584" spans="1:6">
      <c r="A2584" s="143">
        <v>51019</v>
      </c>
      <c r="B2584" t="s">
        <v>3441</v>
      </c>
      <c r="C2584" t="s">
        <v>3712</v>
      </c>
      <c r="D2584" t="s">
        <v>5498</v>
      </c>
      <c r="E2584">
        <v>210</v>
      </c>
      <c r="F2584" s="767">
        <v>1339.13</v>
      </c>
    </row>
    <row r="2585" spans="1:6">
      <c r="A2585" s="143">
        <v>11367</v>
      </c>
      <c r="B2585" t="s">
        <v>4185</v>
      </c>
      <c r="C2585" t="s">
        <v>4186</v>
      </c>
      <c r="D2585" t="s">
        <v>5499</v>
      </c>
      <c r="E2585">
        <v>211</v>
      </c>
      <c r="F2585" s="767">
        <v>8643.2000000000007</v>
      </c>
    </row>
    <row r="2586" spans="1:6">
      <c r="A2586" s="143">
        <v>11898</v>
      </c>
      <c r="B2586" t="s">
        <v>3420</v>
      </c>
      <c r="C2586" t="s">
        <v>3547</v>
      </c>
      <c r="D2586" t="s">
        <v>5500</v>
      </c>
      <c r="E2586">
        <v>211</v>
      </c>
      <c r="F2586" s="767">
        <v>4437.51</v>
      </c>
    </row>
    <row r="2587" spans="1:6">
      <c r="A2587" s="143">
        <v>12010</v>
      </c>
      <c r="B2587" t="s">
        <v>3231</v>
      </c>
      <c r="C2587" t="s">
        <v>5411</v>
      </c>
      <c r="D2587" t="s">
        <v>5412</v>
      </c>
      <c r="E2587">
        <v>212</v>
      </c>
      <c r="F2587" s="767">
        <v>20138.88</v>
      </c>
    </row>
    <row r="2588" spans="1:6">
      <c r="A2588" s="143">
        <v>11991</v>
      </c>
      <c r="B2588" t="s">
        <v>3429</v>
      </c>
      <c r="C2588" t="s">
        <v>3457</v>
      </c>
      <c r="D2588" t="s">
        <v>5413</v>
      </c>
      <c r="E2588">
        <v>214</v>
      </c>
      <c r="F2588" s="767">
        <v>1756.5</v>
      </c>
    </row>
    <row r="2589" spans="1:6">
      <c r="A2589" s="143">
        <v>12044</v>
      </c>
      <c r="B2589" t="s">
        <v>5381</v>
      </c>
      <c r="C2589" t="s">
        <v>5414</v>
      </c>
      <c r="D2589" t="s">
        <v>5415</v>
      </c>
      <c r="E2589">
        <v>214</v>
      </c>
      <c r="F2589" s="767">
        <v>3892.17</v>
      </c>
    </row>
    <row r="2590" spans="1:6">
      <c r="A2590" s="143">
        <v>11444</v>
      </c>
      <c r="B2590" t="s">
        <v>3399</v>
      </c>
      <c r="C2590" t="s">
        <v>3460</v>
      </c>
      <c r="D2590" t="s">
        <v>5417</v>
      </c>
      <c r="E2590">
        <v>228</v>
      </c>
      <c r="F2590" s="767">
        <v>74387.210000000006</v>
      </c>
    </row>
    <row r="2591" spans="1:6">
      <c r="A2591" s="143">
        <v>11444</v>
      </c>
      <c r="B2591" t="s">
        <v>3399</v>
      </c>
      <c r="C2591" t="s">
        <v>3460</v>
      </c>
      <c r="D2591" t="s">
        <v>5418</v>
      </c>
      <c r="E2591">
        <v>228</v>
      </c>
      <c r="F2591" s="767">
        <v>5278.99</v>
      </c>
    </row>
    <row r="2592" spans="1:6">
      <c r="A2592" s="143">
        <v>11439</v>
      </c>
      <c r="B2592" t="s">
        <v>1026</v>
      </c>
      <c r="C2592" t="s">
        <v>3492</v>
      </c>
      <c r="D2592" t="s">
        <v>5419</v>
      </c>
      <c r="E2592">
        <v>238</v>
      </c>
      <c r="F2592" s="767">
        <v>2864.86</v>
      </c>
    </row>
    <row r="2593" spans="1:6">
      <c r="A2593" s="143">
        <v>11749</v>
      </c>
      <c r="B2593" t="s">
        <v>3613</v>
      </c>
      <c r="C2593" t="s">
        <v>3614</v>
      </c>
      <c r="D2593" t="s">
        <v>5420</v>
      </c>
      <c r="E2593">
        <v>238</v>
      </c>
      <c r="F2593">
        <v>36.24</v>
      </c>
    </row>
    <row r="2594" spans="1:6">
      <c r="A2594" s="143">
        <v>11749</v>
      </c>
      <c r="B2594" t="s">
        <v>3613</v>
      </c>
      <c r="C2594" t="s">
        <v>3614</v>
      </c>
      <c r="D2594" t="s">
        <v>5421</v>
      </c>
      <c r="E2594">
        <v>238</v>
      </c>
      <c r="F2594" s="767">
        <v>1135.8399999999999</v>
      </c>
    </row>
    <row r="2595" spans="1:6">
      <c r="A2595" s="143">
        <v>11749</v>
      </c>
      <c r="B2595" t="s">
        <v>3613</v>
      </c>
      <c r="C2595" t="s">
        <v>3614</v>
      </c>
      <c r="D2595" t="s">
        <v>5422</v>
      </c>
      <c r="E2595">
        <v>238</v>
      </c>
      <c r="F2595">
        <v>659.03</v>
      </c>
    </row>
    <row r="2596" spans="1:6">
      <c r="A2596" s="143">
        <v>11867</v>
      </c>
      <c r="B2596" t="s">
        <v>1202</v>
      </c>
      <c r="C2596" t="s">
        <v>3484</v>
      </c>
      <c r="D2596" t="s">
        <v>5423</v>
      </c>
      <c r="E2596">
        <v>238</v>
      </c>
      <c r="F2596" s="767">
        <v>2782.83</v>
      </c>
    </row>
    <row r="2597" spans="1:6">
      <c r="A2597" s="143">
        <v>11023</v>
      </c>
      <c r="B2597" t="s">
        <v>3379</v>
      </c>
      <c r="C2597" t="s">
        <v>3484</v>
      </c>
      <c r="D2597" t="s">
        <v>5424</v>
      </c>
      <c r="E2597">
        <v>239</v>
      </c>
      <c r="F2597">
        <v>17.399999999999999</v>
      </c>
    </row>
    <row r="2598" spans="1:6">
      <c r="A2598" s="143">
        <v>11946</v>
      </c>
      <c r="B2598" t="s">
        <v>3425</v>
      </c>
      <c r="C2598" t="s">
        <v>3515</v>
      </c>
      <c r="D2598" t="s">
        <v>5425</v>
      </c>
      <c r="E2598">
        <v>239</v>
      </c>
      <c r="F2598" s="767">
        <v>7260.04</v>
      </c>
    </row>
    <row r="2599" spans="1:6">
      <c r="A2599" s="143">
        <v>12002</v>
      </c>
      <c r="B2599" t="s">
        <v>3479</v>
      </c>
      <c r="C2599" t="s">
        <v>3480</v>
      </c>
      <c r="D2599" t="s">
        <v>5426</v>
      </c>
      <c r="E2599">
        <v>239</v>
      </c>
      <c r="F2599" s="767">
        <v>4301.3500000000004</v>
      </c>
    </row>
    <row r="2600" spans="1:6">
      <c r="A2600" s="143">
        <v>11173</v>
      </c>
      <c r="B2600" t="s">
        <v>3387</v>
      </c>
      <c r="C2600" t="s">
        <v>3487</v>
      </c>
      <c r="D2600" t="s">
        <v>5427</v>
      </c>
      <c r="E2600">
        <v>240</v>
      </c>
      <c r="F2600">
        <v>227.77</v>
      </c>
    </row>
    <row r="2601" spans="1:6">
      <c r="A2601" s="143">
        <v>11367</v>
      </c>
      <c r="B2601" t="s">
        <v>4185</v>
      </c>
      <c r="C2601" t="s">
        <v>4186</v>
      </c>
      <c r="D2601" t="s">
        <v>5428</v>
      </c>
      <c r="E2601">
        <v>240</v>
      </c>
      <c r="F2601" s="767">
        <v>6754</v>
      </c>
    </row>
    <row r="2602" spans="1:6">
      <c r="A2602" s="143">
        <v>11604</v>
      </c>
      <c r="B2602" t="s">
        <v>3497</v>
      </c>
      <c r="C2602" t="s">
        <v>3498</v>
      </c>
      <c r="D2602" t="s">
        <v>5429</v>
      </c>
      <c r="E2602">
        <v>240</v>
      </c>
      <c r="F2602" s="767">
        <v>2541.84</v>
      </c>
    </row>
    <row r="2603" spans="1:6">
      <c r="A2603" s="143">
        <v>11811</v>
      </c>
      <c r="B2603" t="s">
        <v>3415</v>
      </c>
      <c r="C2603" t="s">
        <v>3987</v>
      </c>
      <c r="D2603" t="s">
        <v>5431</v>
      </c>
      <c r="E2603">
        <v>240</v>
      </c>
      <c r="F2603" s="767">
        <v>5465.19</v>
      </c>
    </row>
    <row r="2604" spans="1:6">
      <c r="A2604" s="143">
        <v>11812</v>
      </c>
      <c r="B2604" t="s">
        <v>3416</v>
      </c>
      <c r="C2604" t="s">
        <v>3616</v>
      </c>
      <c r="D2604" t="s">
        <v>5432</v>
      </c>
      <c r="E2604">
        <v>240</v>
      </c>
      <c r="F2604" s="767">
        <v>3435.99</v>
      </c>
    </row>
    <row r="2605" spans="1:6">
      <c r="A2605" s="143">
        <v>11916</v>
      </c>
      <c r="B2605" t="s">
        <v>5402</v>
      </c>
      <c r="C2605" t="s">
        <v>5433</v>
      </c>
      <c r="D2605" t="s">
        <v>5434</v>
      </c>
      <c r="E2605">
        <v>240</v>
      </c>
      <c r="F2605" s="767">
        <v>2905.38</v>
      </c>
    </row>
    <row r="2606" spans="1:6">
      <c r="A2606" s="143">
        <v>11432</v>
      </c>
      <c r="B2606" t="s">
        <v>5436</v>
      </c>
      <c r="C2606" t="s">
        <v>5437</v>
      </c>
      <c r="D2606" t="s">
        <v>5438</v>
      </c>
      <c r="E2606">
        <v>241</v>
      </c>
      <c r="F2606" s="767">
        <v>4460.75</v>
      </c>
    </row>
    <row r="2607" spans="1:6">
      <c r="A2607" s="143">
        <v>11444</v>
      </c>
      <c r="B2607" t="s">
        <v>3399</v>
      </c>
      <c r="C2607" t="s">
        <v>3460</v>
      </c>
      <c r="D2607" t="s">
        <v>4857</v>
      </c>
      <c r="E2607">
        <v>246</v>
      </c>
      <c r="F2607" s="767">
        <v>5278.99</v>
      </c>
    </row>
    <row r="2608" spans="1:6">
      <c r="A2608" s="143">
        <v>11762</v>
      </c>
      <c r="B2608" t="s">
        <v>1032</v>
      </c>
      <c r="C2608" t="s">
        <v>3984</v>
      </c>
      <c r="D2608" t="s">
        <v>4858</v>
      </c>
      <c r="E2608">
        <v>249</v>
      </c>
      <c r="F2608" s="767">
        <v>1114.4000000000001</v>
      </c>
    </row>
    <row r="2609" spans="1:6">
      <c r="A2609" s="143">
        <v>11762</v>
      </c>
      <c r="B2609" t="s">
        <v>1032</v>
      </c>
      <c r="C2609" t="s">
        <v>3984</v>
      </c>
      <c r="D2609" t="s">
        <v>4859</v>
      </c>
      <c r="E2609">
        <v>249</v>
      </c>
      <c r="F2609">
        <v>415.21</v>
      </c>
    </row>
    <row r="2610" spans="1:6">
      <c r="A2610" s="143">
        <v>11444</v>
      </c>
      <c r="B2610" t="s">
        <v>3399</v>
      </c>
      <c r="C2610" t="s">
        <v>3460</v>
      </c>
      <c r="D2610" t="s">
        <v>4860</v>
      </c>
      <c r="E2610">
        <v>253</v>
      </c>
      <c r="F2610" s="767">
        <v>93033.93</v>
      </c>
    </row>
    <row r="2611" spans="1:6">
      <c r="A2611" s="143">
        <v>11023</v>
      </c>
      <c r="B2611" t="s">
        <v>3379</v>
      </c>
      <c r="C2611" t="s">
        <v>3484</v>
      </c>
      <c r="D2611" t="s">
        <v>4862</v>
      </c>
      <c r="E2611">
        <v>268</v>
      </c>
      <c r="F2611">
        <v>17.41</v>
      </c>
    </row>
    <row r="2612" spans="1:6">
      <c r="A2612" s="143">
        <v>11519</v>
      </c>
      <c r="B2612" t="s">
        <v>4863</v>
      </c>
      <c r="C2612" t="s">
        <v>4864</v>
      </c>
      <c r="D2612" t="s">
        <v>4865</v>
      </c>
      <c r="E2612">
        <v>268</v>
      </c>
      <c r="F2612" s="767">
        <v>6796.2</v>
      </c>
    </row>
    <row r="2613" spans="1:6">
      <c r="A2613" s="143">
        <v>11519</v>
      </c>
      <c r="B2613" t="s">
        <v>4863</v>
      </c>
      <c r="C2613" t="s">
        <v>4864</v>
      </c>
      <c r="D2613" t="s">
        <v>4866</v>
      </c>
      <c r="E2613">
        <v>268</v>
      </c>
      <c r="F2613" s="767">
        <v>3271.81</v>
      </c>
    </row>
    <row r="2614" spans="1:6">
      <c r="A2614" s="143">
        <v>11971</v>
      </c>
      <c r="B2614" t="s">
        <v>4087</v>
      </c>
      <c r="C2614" t="s">
        <v>4094</v>
      </c>
      <c r="D2614" t="s">
        <v>4867</v>
      </c>
      <c r="E2614">
        <v>268</v>
      </c>
      <c r="F2614">
        <v>79.180000000000007</v>
      </c>
    </row>
    <row r="2615" spans="1:6">
      <c r="A2615" s="143">
        <v>11984</v>
      </c>
      <c r="B2615" t="s">
        <v>3276</v>
      </c>
      <c r="C2615" t="s">
        <v>3553</v>
      </c>
      <c r="D2615" t="s">
        <v>4868</v>
      </c>
      <c r="E2615">
        <v>268</v>
      </c>
      <c r="F2615">
        <v>316.74</v>
      </c>
    </row>
    <row r="2616" spans="1:6">
      <c r="A2616" s="143">
        <v>11988</v>
      </c>
      <c r="B2616" t="s">
        <v>3149</v>
      </c>
      <c r="C2616" t="s">
        <v>3565</v>
      </c>
      <c r="D2616" t="s">
        <v>4869</v>
      </c>
      <c r="E2616">
        <v>268</v>
      </c>
      <c r="F2616" s="767">
        <v>1686.95</v>
      </c>
    </row>
    <row r="2617" spans="1:6">
      <c r="A2617" s="143">
        <v>11993</v>
      </c>
      <c r="B2617" t="s">
        <v>3163</v>
      </c>
      <c r="C2617" t="s">
        <v>3473</v>
      </c>
      <c r="D2617" t="s">
        <v>4870</v>
      </c>
      <c r="E2617">
        <v>268</v>
      </c>
      <c r="F2617">
        <v>52.79</v>
      </c>
    </row>
    <row r="2618" spans="1:6">
      <c r="A2618" s="143">
        <v>12002</v>
      </c>
      <c r="B2618" t="s">
        <v>3479</v>
      </c>
      <c r="C2618" t="s">
        <v>3480</v>
      </c>
      <c r="D2618" t="s">
        <v>4871</v>
      </c>
      <c r="E2618">
        <v>268</v>
      </c>
      <c r="F2618" s="767">
        <v>4301.82</v>
      </c>
    </row>
    <row r="2619" spans="1:6">
      <c r="A2619" s="143">
        <v>51019</v>
      </c>
      <c r="B2619" t="s">
        <v>3441</v>
      </c>
      <c r="C2619" t="s">
        <v>3712</v>
      </c>
      <c r="D2619" t="s">
        <v>4872</v>
      </c>
      <c r="E2619">
        <v>268</v>
      </c>
      <c r="F2619">
        <v>801.75</v>
      </c>
    </row>
    <row r="2620" spans="1:6">
      <c r="A2620" s="143">
        <v>11173</v>
      </c>
      <c r="B2620" t="s">
        <v>3387</v>
      </c>
      <c r="C2620" t="s">
        <v>3487</v>
      </c>
      <c r="D2620" t="s">
        <v>4874</v>
      </c>
      <c r="E2620">
        <v>270</v>
      </c>
      <c r="F2620">
        <v>228.9</v>
      </c>
    </row>
    <row r="2621" spans="1:6">
      <c r="A2621" s="143">
        <v>11370</v>
      </c>
      <c r="B2621" t="s">
        <v>3394</v>
      </c>
      <c r="C2621" t="s">
        <v>3634</v>
      </c>
      <c r="D2621" t="s">
        <v>4875</v>
      </c>
      <c r="E2621">
        <v>270</v>
      </c>
      <c r="F2621">
        <v>354.87</v>
      </c>
    </row>
    <row r="2622" spans="1:6">
      <c r="A2622" s="143">
        <v>11604</v>
      </c>
      <c r="B2622" t="s">
        <v>3497</v>
      </c>
      <c r="C2622" t="s">
        <v>3498</v>
      </c>
      <c r="D2622" t="s">
        <v>4876</v>
      </c>
      <c r="E2622">
        <v>270</v>
      </c>
      <c r="F2622" s="767">
        <v>1692.17</v>
      </c>
    </row>
    <row r="2623" spans="1:6">
      <c r="A2623" s="143">
        <v>11811</v>
      </c>
      <c r="B2623" t="s">
        <v>3415</v>
      </c>
      <c r="C2623" t="s">
        <v>3987</v>
      </c>
      <c r="D2623" t="s">
        <v>4877</v>
      </c>
      <c r="E2623">
        <v>270</v>
      </c>
      <c r="F2623" s="767">
        <v>5830.96</v>
      </c>
    </row>
    <row r="2624" spans="1:6">
      <c r="A2624" s="143">
        <v>11975</v>
      </c>
      <c r="B2624" t="s">
        <v>3139</v>
      </c>
      <c r="C2624" t="s">
        <v>3517</v>
      </c>
      <c r="D2624" t="s">
        <v>4878</v>
      </c>
      <c r="E2624">
        <v>270</v>
      </c>
      <c r="F2624">
        <v>79.180000000000007</v>
      </c>
    </row>
    <row r="2625" spans="1:6">
      <c r="A2625" s="143">
        <v>31027</v>
      </c>
      <c r="B2625" t="s">
        <v>1037</v>
      </c>
      <c r="C2625" t="s">
        <v>3498</v>
      </c>
      <c r="D2625" t="s">
        <v>4879</v>
      </c>
      <c r="E2625">
        <v>270</v>
      </c>
      <c r="F2625" s="767">
        <v>14460.64</v>
      </c>
    </row>
    <row r="2626" spans="1:6">
      <c r="A2626" s="143">
        <v>11852</v>
      </c>
      <c r="B2626" t="s">
        <v>1195</v>
      </c>
      <c r="C2626" t="s">
        <v>3475</v>
      </c>
      <c r="D2626" t="s">
        <v>4164</v>
      </c>
      <c r="E2626">
        <v>276</v>
      </c>
      <c r="F2626">
        <v>287.58999999999997</v>
      </c>
    </row>
    <row r="2627" spans="1:6">
      <c r="A2627" s="143">
        <v>11852</v>
      </c>
      <c r="B2627" t="s">
        <v>1195</v>
      </c>
      <c r="C2627" t="s">
        <v>3475</v>
      </c>
      <c r="D2627" t="s">
        <v>4163</v>
      </c>
      <c r="E2627">
        <v>276</v>
      </c>
      <c r="F2627">
        <v>359.48</v>
      </c>
    </row>
    <row r="2628" spans="1:6">
      <c r="A2628" s="143">
        <v>11444</v>
      </c>
      <c r="B2628" t="s">
        <v>3399</v>
      </c>
      <c r="C2628" t="s">
        <v>3460</v>
      </c>
      <c r="D2628" t="s">
        <v>4165</v>
      </c>
      <c r="E2628">
        <v>277</v>
      </c>
      <c r="F2628" s="767">
        <v>52343.31</v>
      </c>
    </row>
    <row r="2629" spans="1:6">
      <c r="A2629" s="143">
        <v>11444</v>
      </c>
      <c r="B2629" t="s">
        <v>3399</v>
      </c>
      <c r="C2629" t="s">
        <v>3460</v>
      </c>
      <c r="D2629" t="s">
        <v>4166</v>
      </c>
      <c r="E2629">
        <v>277</v>
      </c>
      <c r="F2629" s="767">
        <v>5278.99</v>
      </c>
    </row>
    <row r="2630" spans="1:6">
      <c r="A2630" s="143">
        <v>11604</v>
      </c>
      <c r="B2630" t="s">
        <v>3497</v>
      </c>
      <c r="C2630" t="s">
        <v>3498</v>
      </c>
      <c r="D2630" t="s">
        <v>4167</v>
      </c>
      <c r="E2630">
        <v>290</v>
      </c>
      <c r="F2630" s="767">
        <v>3283.94</v>
      </c>
    </row>
    <row r="2631" spans="1:6">
      <c r="A2631" s="143">
        <v>11604</v>
      </c>
      <c r="B2631" t="s">
        <v>3497</v>
      </c>
      <c r="C2631" t="s">
        <v>3498</v>
      </c>
      <c r="D2631" t="s">
        <v>4168</v>
      </c>
      <c r="E2631">
        <v>290</v>
      </c>
      <c r="F2631" s="767">
        <v>2168.16</v>
      </c>
    </row>
    <row r="2632" spans="1:6">
      <c r="A2632" s="143">
        <v>11749</v>
      </c>
      <c r="B2632" t="s">
        <v>3613</v>
      </c>
      <c r="C2632" t="s">
        <v>3614</v>
      </c>
      <c r="D2632" t="s">
        <v>4169</v>
      </c>
      <c r="E2632">
        <v>290</v>
      </c>
      <c r="F2632">
        <v>31.7</v>
      </c>
    </row>
    <row r="2633" spans="1:6">
      <c r="A2633" s="143">
        <v>11749</v>
      </c>
      <c r="B2633" t="s">
        <v>3613</v>
      </c>
      <c r="C2633" t="s">
        <v>3614</v>
      </c>
      <c r="D2633" t="s">
        <v>4170</v>
      </c>
      <c r="E2633">
        <v>290</v>
      </c>
      <c r="F2633" s="767">
        <v>1135.8399999999999</v>
      </c>
    </row>
    <row r="2634" spans="1:6">
      <c r="A2634" s="143">
        <v>11749</v>
      </c>
      <c r="B2634" t="s">
        <v>3613</v>
      </c>
      <c r="C2634" t="s">
        <v>3614</v>
      </c>
      <c r="D2634" t="s">
        <v>4171</v>
      </c>
      <c r="E2634">
        <v>290</v>
      </c>
      <c r="F2634">
        <v>659.03</v>
      </c>
    </row>
    <row r="2635" spans="1:6">
      <c r="A2635" s="143">
        <v>11971</v>
      </c>
      <c r="B2635" t="s">
        <v>4087</v>
      </c>
      <c r="C2635" t="s">
        <v>4094</v>
      </c>
      <c r="D2635" t="s">
        <v>4173</v>
      </c>
      <c r="E2635">
        <v>290</v>
      </c>
      <c r="F2635">
        <v>79.180000000000007</v>
      </c>
    </row>
    <row r="2636" spans="1:6">
      <c r="A2636" s="143">
        <v>11988</v>
      </c>
      <c r="B2636" t="s">
        <v>3149</v>
      </c>
      <c r="C2636" t="s">
        <v>3565</v>
      </c>
      <c r="D2636" t="s">
        <v>4174</v>
      </c>
      <c r="E2636">
        <v>290</v>
      </c>
      <c r="F2636">
        <v>479.06</v>
      </c>
    </row>
    <row r="2637" spans="1:6">
      <c r="A2637" s="143">
        <v>11993</v>
      </c>
      <c r="B2637" t="s">
        <v>3163</v>
      </c>
      <c r="C2637" t="s">
        <v>3473</v>
      </c>
      <c r="D2637" t="s">
        <v>4175</v>
      </c>
      <c r="E2637">
        <v>290</v>
      </c>
      <c r="F2637">
        <v>52.79</v>
      </c>
    </row>
    <row r="2638" spans="1:6">
      <c r="A2638" s="143">
        <v>11993</v>
      </c>
      <c r="B2638" t="s">
        <v>3163</v>
      </c>
      <c r="C2638" t="s">
        <v>3473</v>
      </c>
      <c r="D2638" t="s">
        <v>4176</v>
      </c>
      <c r="E2638">
        <v>290</v>
      </c>
      <c r="F2638">
        <v>52.79</v>
      </c>
    </row>
    <row r="2639" spans="1:6">
      <c r="A2639" s="143">
        <v>31027</v>
      </c>
      <c r="B2639" t="s">
        <v>1037</v>
      </c>
      <c r="C2639" t="s">
        <v>3498</v>
      </c>
      <c r="D2639" t="s">
        <v>4177</v>
      </c>
      <c r="E2639">
        <v>290</v>
      </c>
      <c r="F2639" s="767">
        <v>11776.88</v>
      </c>
    </row>
    <row r="2640" spans="1:6">
      <c r="A2640" s="143">
        <v>31027</v>
      </c>
      <c r="B2640" t="s">
        <v>1037</v>
      </c>
      <c r="C2640" t="s">
        <v>3498</v>
      </c>
      <c r="D2640" t="s">
        <v>4178</v>
      </c>
      <c r="E2640">
        <v>290</v>
      </c>
      <c r="F2640" s="767">
        <v>5098.41</v>
      </c>
    </row>
    <row r="2641" spans="1:6">
      <c r="A2641" s="143">
        <v>11023</v>
      </c>
      <c r="B2641" t="s">
        <v>3379</v>
      </c>
      <c r="C2641" t="s">
        <v>3484</v>
      </c>
      <c r="D2641" t="s">
        <v>4179</v>
      </c>
      <c r="E2641">
        <v>298</v>
      </c>
      <c r="F2641">
        <v>17.399999999999999</v>
      </c>
    </row>
    <row r="2642" spans="1:6">
      <c r="A2642" s="143">
        <v>11867</v>
      </c>
      <c r="B2642" t="s">
        <v>1202</v>
      </c>
      <c r="C2642" t="s">
        <v>3484</v>
      </c>
      <c r="D2642" t="s">
        <v>4180</v>
      </c>
      <c r="E2642">
        <v>298</v>
      </c>
      <c r="F2642" s="767">
        <v>2790.75</v>
      </c>
    </row>
    <row r="2643" spans="1:6">
      <c r="A2643" s="143">
        <v>11928</v>
      </c>
      <c r="B2643" t="s">
        <v>1805</v>
      </c>
      <c r="C2643" t="s">
        <v>4181</v>
      </c>
      <c r="D2643" t="s">
        <v>4182</v>
      </c>
      <c r="E2643">
        <v>298</v>
      </c>
      <c r="F2643">
        <v>649.9</v>
      </c>
    </row>
    <row r="2644" spans="1:6">
      <c r="A2644" s="143">
        <v>11984</v>
      </c>
      <c r="B2644" t="s">
        <v>3276</v>
      </c>
      <c r="C2644" t="s">
        <v>3553</v>
      </c>
      <c r="D2644" t="s">
        <v>4183</v>
      </c>
      <c r="E2644">
        <v>298</v>
      </c>
      <c r="F2644">
        <v>316.74</v>
      </c>
    </row>
    <row r="2645" spans="1:6">
      <c r="A2645" s="143">
        <v>11988</v>
      </c>
      <c r="B2645" t="s">
        <v>3149</v>
      </c>
      <c r="C2645" t="s">
        <v>3565</v>
      </c>
      <c r="D2645" t="s">
        <v>4184</v>
      </c>
      <c r="E2645">
        <v>298</v>
      </c>
      <c r="F2645" s="767">
        <v>2668.35</v>
      </c>
    </row>
    <row r="2646" spans="1:6">
      <c r="A2646" s="143">
        <v>11605</v>
      </c>
      <c r="B2646" t="s">
        <v>6752</v>
      </c>
      <c r="C2646" t="s">
        <v>3542</v>
      </c>
      <c r="D2646" t="s">
        <v>4187</v>
      </c>
      <c r="E2646">
        <v>301</v>
      </c>
      <c r="F2646">
        <v>267.25</v>
      </c>
    </row>
    <row r="2647" spans="1:6">
      <c r="A2647" s="143">
        <v>11605</v>
      </c>
      <c r="B2647" t="s">
        <v>6752</v>
      </c>
      <c r="C2647" t="s">
        <v>3542</v>
      </c>
      <c r="D2647" t="s">
        <v>4188</v>
      </c>
      <c r="E2647">
        <v>301</v>
      </c>
      <c r="F2647">
        <v>155.07</v>
      </c>
    </row>
    <row r="2648" spans="1:6">
      <c r="A2648" s="143">
        <v>12002</v>
      </c>
      <c r="B2648" t="s">
        <v>3479</v>
      </c>
      <c r="C2648" t="s">
        <v>3480</v>
      </c>
      <c r="D2648" t="s">
        <v>4189</v>
      </c>
      <c r="E2648">
        <v>301</v>
      </c>
      <c r="F2648" s="767">
        <v>4301.82</v>
      </c>
    </row>
    <row r="2649" spans="1:6">
      <c r="A2649" s="143">
        <v>51019</v>
      </c>
      <c r="B2649" t="s">
        <v>3441</v>
      </c>
      <c r="C2649" t="s">
        <v>3712</v>
      </c>
      <c r="D2649" t="s">
        <v>4190</v>
      </c>
      <c r="E2649">
        <v>301</v>
      </c>
      <c r="F2649" s="767">
        <v>1105.1099999999999</v>
      </c>
    </row>
    <row r="2650" spans="1:6">
      <c r="A2650" s="143">
        <v>11604</v>
      </c>
      <c r="B2650" t="s">
        <v>3497</v>
      </c>
      <c r="C2650" t="s">
        <v>3498</v>
      </c>
      <c r="D2650" t="s">
        <v>4191</v>
      </c>
      <c r="E2650">
        <v>302</v>
      </c>
      <c r="F2650" s="767">
        <v>2006.97</v>
      </c>
    </row>
    <row r="2651" spans="1:6">
      <c r="A2651" s="143">
        <v>11975</v>
      </c>
      <c r="B2651" t="s">
        <v>3139</v>
      </c>
      <c r="C2651" t="s">
        <v>3517</v>
      </c>
      <c r="D2651" t="s">
        <v>4192</v>
      </c>
      <c r="E2651">
        <v>302</v>
      </c>
      <c r="F2651">
        <v>79.180000000000007</v>
      </c>
    </row>
    <row r="2652" spans="1:6">
      <c r="A2652" s="143">
        <v>12026</v>
      </c>
      <c r="B2652" t="s">
        <v>4088</v>
      </c>
      <c r="C2652" t="s">
        <v>4090</v>
      </c>
      <c r="D2652" t="s">
        <v>4193</v>
      </c>
      <c r="E2652">
        <v>302</v>
      </c>
      <c r="F2652">
        <v>525.21</v>
      </c>
    </row>
    <row r="2653" spans="1:6">
      <c r="A2653" s="143">
        <v>11173</v>
      </c>
      <c r="B2653" t="s">
        <v>3387</v>
      </c>
      <c r="C2653" t="s">
        <v>3487</v>
      </c>
      <c r="D2653" t="s">
        <v>4194</v>
      </c>
      <c r="E2653">
        <v>303</v>
      </c>
      <c r="F2653">
        <v>272.69</v>
      </c>
    </row>
    <row r="2654" spans="1:6">
      <c r="A2654" s="143">
        <v>11811</v>
      </c>
      <c r="B2654" t="s">
        <v>3415</v>
      </c>
      <c r="C2654" t="s">
        <v>3987</v>
      </c>
      <c r="D2654" t="s">
        <v>4195</v>
      </c>
      <c r="E2654">
        <v>303</v>
      </c>
      <c r="F2654" s="767">
        <v>7218.52</v>
      </c>
    </row>
    <row r="2655" spans="1:6">
      <c r="A2655" s="143">
        <v>11604</v>
      </c>
      <c r="B2655" t="s">
        <v>3497</v>
      </c>
      <c r="C2655" t="s">
        <v>3498</v>
      </c>
      <c r="D2655" t="s">
        <v>4139</v>
      </c>
      <c r="E2655">
        <v>311</v>
      </c>
      <c r="F2655" s="767">
        <v>1599.32</v>
      </c>
    </row>
    <row r="2656" spans="1:6">
      <c r="A2656" s="143">
        <v>11867</v>
      </c>
      <c r="B2656" t="s">
        <v>1202</v>
      </c>
      <c r="C2656" t="s">
        <v>3484</v>
      </c>
      <c r="D2656" t="s">
        <v>4140</v>
      </c>
      <c r="E2656">
        <v>319</v>
      </c>
      <c r="F2656" s="767">
        <v>2811.9</v>
      </c>
    </row>
    <row r="2657" spans="1:6">
      <c r="A2657" s="143">
        <v>11867</v>
      </c>
      <c r="B2657" t="s">
        <v>1202</v>
      </c>
      <c r="C2657" t="s">
        <v>3484</v>
      </c>
      <c r="D2657" t="s">
        <v>4141</v>
      </c>
      <c r="E2657">
        <v>319</v>
      </c>
      <c r="F2657" s="767">
        <v>4220.96</v>
      </c>
    </row>
    <row r="2658" spans="1:6">
      <c r="A2658" s="143">
        <v>11444</v>
      </c>
      <c r="B2658" t="s">
        <v>3399</v>
      </c>
      <c r="C2658" t="s">
        <v>3460</v>
      </c>
      <c r="D2658" t="s">
        <v>4142</v>
      </c>
      <c r="E2658">
        <v>324</v>
      </c>
      <c r="F2658" s="767">
        <v>5278.99</v>
      </c>
    </row>
    <row r="2659" spans="1:6">
      <c r="A2659" s="143">
        <v>11444</v>
      </c>
      <c r="B2659" t="s">
        <v>3399</v>
      </c>
      <c r="C2659" t="s">
        <v>3460</v>
      </c>
      <c r="D2659" t="s">
        <v>4143</v>
      </c>
      <c r="E2659">
        <v>324</v>
      </c>
      <c r="F2659" s="767">
        <v>43208.68</v>
      </c>
    </row>
    <row r="2660" spans="1:6">
      <c r="A2660" s="143">
        <v>11749</v>
      </c>
      <c r="B2660" t="s">
        <v>3613</v>
      </c>
      <c r="C2660" t="s">
        <v>3614</v>
      </c>
      <c r="D2660" t="s">
        <v>4144</v>
      </c>
      <c r="E2660">
        <v>330</v>
      </c>
      <c r="F2660">
        <v>12.83</v>
      </c>
    </row>
    <row r="2661" spans="1:6">
      <c r="A2661" s="143">
        <v>11749</v>
      </c>
      <c r="B2661" t="s">
        <v>3613</v>
      </c>
      <c r="C2661" t="s">
        <v>3614</v>
      </c>
      <c r="D2661" t="s">
        <v>4145</v>
      </c>
      <c r="E2661">
        <v>330</v>
      </c>
      <c r="F2661">
        <v>659.03</v>
      </c>
    </row>
    <row r="2662" spans="1:6">
      <c r="A2662" s="143">
        <v>11971</v>
      </c>
      <c r="B2662" t="s">
        <v>4087</v>
      </c>
      <c r="C2662" t="s">
        <v>4094</v>
      </c>
      <c r="D2662" t="s">
        <v>4146</v>
      </c>
      <c r="E2662">
        <v>330</v>
      </c>
      <c r="F2662">
        <v>79.180000000000007</v>
      </c>
    </row>
    <row r="2663" spans="1:6">
      <c r="A2663" s="143">
        <v>11984</v>
      </c>
      <c r="B2663" t="s">
        <v>3276</v>
      </c>
      <c r="C2663" t="s">
        <v>3553</v>
      </c>
      <c r="D2663" t="s">
        <v>4147</v>
      </c>
      <c r="E2663">
        <v>330</v>
      </c>
      <c r="F2663">
        <v>316.74</v>
      </c>
    </row>
    <row r="2664" spans="1:6">
      <c r="A2664" s="143">
        <v>12002</v>
      </c>
      <c r="B2664" t="s">
        <v>3479</v>
      </c>
      <c r="C2664" t="s">
        <v>3480</v>
      </c>
      <c r="D2664" t="s">
        <v>4148</v>
      </c>
      <c r="E2664">
        <v>331</v>
      </c>
      <c r="F2664" s="767">
        <v>4301.82</v>
      </c>
    </row>
    <row r="2665" spans="1:6">
      <c r="A2665" s="143">
        <v>31031</v>
      </c>
      <c r="B2665" t="s">
        <v>3440</v>
      </c>
      <c r="C2665" t="s">
        <v>3526</v>
      </c>
      <c r="D2665" t="s">
        <v>4149</v>
      </c>
      <c r="E2665">
        <v>331</v>
      </c>
      <c r="F2665" s="767">
        <v>18869.71</v>
      </c>
    </row>
    <row r="2666" spans="1:6">
      <c r="A2666" s="143">
        <v>11439</v>
      </c>
      <c r="B2666" t="s">
        <v>1026</v>
      </c>
      <c r="C2666" t="s">
        <v>3492</v>
      </c>
      <c r="D2666" t="s">
        <v>4150</v>
      </c>
      <c r="E2666">
        <v>332</v>
      </c>
      <c r="F2666" s="767">
        <v>4080.68</v>
      </c>
    </row>
    <row r="2667" spans="1:6">
      <c r="A2667" s="143">
        <v>11007</v>
      </c>
      <c r="B2667" t="s">
        <v>3482</v>
      </c>
      <c r="C2667" t="s">
        <v>3483</v>
      </c>
      <c r="D2667" t="s">
        <v>4151</v>
      </c>
      <c r="E2667">
        <v>333</v>
      </c>
      <c r="F2667">
        <v>881.38</v>
      </c>
    </row>
    <row r="2668" spans="1:6">
      <c r="A2668" s="143">
        <v>11023</v>
      </c>
      <c r="B2668" t="s">
        <v>3379</v>
      </c>
      <c r="C2668" t="s">
        <v>3484</v>
      </c>
      <c r="D2668" t="s">
        <v>4152</v>
      </c>
      <c r="E2668">
        <v>333</v>
      </c>
      <c r="F2668">
        <v>17.399999999999999</v>
      </c>
    </row>
    <row r="2669" spans="1:6">
      <c r="A2669" s="143">
        <v>11173</v>
      </c>
      <c r="B2669" t="s">
        <v>3387</v>
      </c>
      <c r="C2669" t="s">
        <v>3487</v>
      </c>
      <c r="D2669" t="s">
        <v>4153</v>
      </c>
      <c r="E2669">
        <v>333</v>
      </c>
      <c r="F2669">
        <v>225.13</v>
      </c>
    </row>
    <row r="2670" spans="1:6">
      <c r="A2670" s="143">
        <v>11811</v>
      </c>
      <c r="B2670" t="s">
        <v>3415</v>
      </c>
      <c r="C2670" t="s">
        <v>3987</v>
      </c>
      <c r="D2670" t="s">
        <v>4154</v>
      </c>
      <c r="E2670">
        <v>333</v>
      </c>
      <c r="F2670" s="767">
        <v>5391.97</v>
      </c>
    </row>
    <row r="2671" spans="1:6">
      <c r="A2671" s="143">
        <v>11836</v>
      </c>
      <c r="B2671" t="s">
        <v>2883</v>
      </c>
      <c r="C2671" t="s">
        <v>3512</v>
      </c>
      <c r="D2671" t="s">
        <v>4155</v>
      </c>
      <c r="E2671">
        <v>333</v>
      </c>
      <c r="F2671">
        <v>415.21</v>
      </c>
    </row>
    <row r="2672" spans="1:6">
      <c r="A2672" s="143">
        <v>11855</v>
      </c>
      <c r="B2672" t="s">
        <v>3778</v>
      </c>
      <c r="C2672" t="s">
        <v>3779</v>
      </c>
      <c r="D2672" t="s">
        <v>4156</v>
      </c>
      <c r="E2672">
        <v>333</v>
      </c>
      <c r="F2672">
        <v>15.85</v>
      </c>
    </row>
    <row r="2673" spans="1:6">
      <c r="A2673" s="143">
        <v>11975</v>
      </c>
      <c r="B2673" t="s">
        <v>3139</v>
      </c>
      <c r="C2673" t="s">
        <v>3517</v>
      </c>
      <c r="D2673" t="s">
        <v>4157</v>
      </c>
      <c r="E2673">
        <v>333</v>
      </c>
      <c r="F2673">
        <v>79.180000000000007</v>
      </c>
    </row>
    <row r="2674" spans="1:6">
      <c r="A2674" s="143">
        <v>11971</v>
      </c>
      <c r="B2674" t="s">
        <v>4087</v>
      </c>
      <c r="C2674" t="s">
        <v>4094</v>
      </c>
      <c r="D2674" t="s">
        <v>4119</v>
      </c>
      <c r="E2674">
        <v>345</v>
      </c>
      <c r="F2674">
        <v>79.180000000000007</v>
      </c>
    </row>
    <row r="2675" spans="1:6">
      <c r="A2675" s="143">
        <v>11984</v>
      </c>
      <c r="B2675" t="s">
        <v>3276</v>
      </c>
      <c r="C2675" t="s">
        <v>3553</v>
      </c>
      <c r="D2675" t="s">
        <v>4120</v>
      </c>
      <c r="E2675">
        <v>345</v>
      </c>
      <c r="F2675">
        <v>316.74</v>
      </c>
    </row>
    <row r="2676" spans="1:6">
      <c r="A2676" s="143">
        <v>11023</v>
      </c>
      <c r="B2676" t="s">
        <v>3379</v>
      </c>
      <c r="C2676" t="s">
        <v>3484</v>
      </c>
      <c r="D2676" t="s">
        <v>4121</v>
      </c>
      <c r="E2676">
        <v>346</v>
      </c>
      <c r="F2676">
        <v>17.399999999999999</v>
      </c>
    </row>
    <row r="2677" spans="1:6">
      <c r="A2677" s="143">
        <v>11007</v>
      </c>
      <c r="B2677" t="s">
        <v>3482</v>
      </c>
      <c r="C2677" t="s">
        <v>3483</v>
      </c>
      <c r="D2677" t="s">
        <v>4122</v>
      </c>
      <c r="E2677">
        <v>350</v>
      </c>
      <c r="F2677" s="767">
        <v>1215.44</v>
      </c>
    </row>
    <row r="2678" spans="1:6">
      <c r="A2678" s="143">
        <v>11007</v>
      </c>
      <c r="B2678" t="s">
        <v>3482</v>
      </c>
      <c r="C2678" t="s">
        <v>3483</v>
      </c>
      <c r="D2678" t="s">
        <v>4123</v>
      </c>
      <c r="E2678">
        <v>350</v>
      </c>
      <c r="F2678">
        <v>774.18</v>
      </c>
    </row>
    <row r="2679" spans="1:6">
      <c r="A2679" s="143">
        <v>11007</v>
      </c>
      <c r="B2679" t="s">
        <v>3482</v>
      </c>
      <c r="C2679" t="s">
        <v>3483</v>
      </c>
      <c r="D2679" t="s">
        <v>4124</v>
      </c>
      <c r="E2679">
        <v>350</v>
      </c>
      <c r="F2679" s="767">
        <v>1101.06</v>
      </c>
    </row>
    <row r="2680" spans="1:6">
      <c r="A2680" s="143">
        <v>11444</v>
      </c>
      <c r="B2680" t="s">
        <v>3399</v>
      </c>
      <c r="C2680" t="s">
        <v>3460</v>
      </c>
      <c r="D2680" t="s">
        <v>4125</v>
      </c>
      <c r="E2680">
        <v>352</v>
      </c>
      <c r="F2680" s="767">
        <v>69140.460000000006</v>
      </c>
    </row>
    <row r="2681" spans="1:6">
      <c r="A2681" s="143">
        <v>11444</v>
      </c>
      <c r="B2681" t="s">
        <v>3399</v>
      </c>
      <c r="C2681" t="s">
        <v>3460</v>
      </c>
      <c r="D2681" t="s">
        <v>4126</v>
      </c>
      <c r="E2681">
        <v>352</v>
      </c>
      <c r="F2681" s="767">
        <v>5278.99</v>
      </c>
    </row>
    <row r="2682" spans="1:6">
      <c r="A2682" s="143">
        <v>11988</v>
      </c>
      <c r="B2682" t="s">
        <v>3149</v>
      </c>
      <c r="C2682" t="s">
        <v>3565</v>
      </c>
      <c r="D2682" t="s">
        <v>4127</v>
      </c>
      <c r="E2682">
        <v>354</v>
      </c>
      <c r="F2682">
        <v>592.29999999999995</v>
      </c>
    </row>
    <row r="2683" spans="1:6">
      <c r="A2683" s="143">
        <v>11993</v>
      </c>
      <c r="B2683" t="s">
        <v>3163</v>
      </c>
      <c r="C2683" t="s">
        <v>3473</v>
      </c>
      <c r="D2683" t="s">
        <v>4128</v>
      </c>
      <c r="E2683">
        <v>354</v>
      </c>
      <c r="F2683">
        <v>90.54</v>
      </c>
    </row>
    <row r="2684" spans="1:6">
      <c r="A2684" s="143">
        <v>11173</v>
      </c>
      <c r="B2684" t="s">
        <v>3387</v>
      </c>
      <c r="C2684" t="s">
        <v>3487</v>
      </c>
      <c r="D2684" t="s">
        <v>4129</v>
      </c>
      <c r="E2684">
        <v>357</v>
      </c>
      <c r="F2684">
        <v>565.6</v>
      </c>
    </row>
    <row r="2685" spans="1:6">
      <c r="A2685" s="143">
        <v>11439</v>
      </c>
      <c r="B2685" t="s">
        <v>1026</v>
      </c>
      <c r="C2685" t="s">
        <v>3492</v>
      </c>
      <c r="D2685" t="s">
        <v>4130</v>
      </c>
      <c r="E2685">
        <v>357</v>
      </c>
      <c r="F2685" s="767">
        <v>1908.37</v>
      </c>
    </row>
    <row r="2686" spans="1:6">
      <c r="A2686" s="143">
        <v>11606</v>
      </c>
      <c r="B2686" t="s">
        <v>3405</v>
      </c>
      <c r="C2686" t="s">
        <v>3500</v>
      </c>
      <c r="D2686" t="s">
        <v>4131</v>
      </c>
      <c r="E2686">
        <v>357</v>
      </c>
      <c r="F2686" s="767">
        <v>1560.34</v>
      </c>
    </row>
    <row r="2687" spans="1:6">
      <c r="A2687" s="143">
        <v>31030</v>
      </c>
      <c r="B2687" t="s">
        <v>3439</v>
      </c>
      <c r="C2687" t="s">
        <v>3525</v>
      </c>
      <c r="D2687" t="s">
        <v>4132</v>
      </c>
      <c r="E2687">
        <v>357</v>
      </c>
      <c r="F2687" s="767">
        <v>4570.08</v>
      </c>
    </row>
    <row r="2688" spans="1:6">
      <c r="A2688" s="143">
        <v>12002</v>
      </c>
      <c r="B2688" t="s">
        <v>3479</v>
      </c>
      <c r="C2688" t="s">
        <v>3480</v>
      </c>
      <c r="D2688" t="s">
        <v>4133</v>
      </c>
      <c r="E2688">
        <v>358</v>
      </c>
      <c r="F2688" s="767">
        <v>4301.82</v>
      </c>
    </row>
    <row r="2689" spans="1:7">
      <c r="A2689" s="143">
        <v>12002</v>
      </c>
      <c r="B2689" t="s">
        <v>3479</v>
      </c>
      <c r="C2689" t="s">
        <v>3480</v>
      </c>
      <c r="D2689" t="s">
        <v>4134</v>
      </c>
      <c r="E2689">
        <v>358</v>
      </c>
      <c r="F2689" s="767">
        <v>4301.82</v>
      </c>
    </row>
    <row r="2690" spans="1:7">
      <c r="A2690" s="143">
        <v>31031</v>
      </c>
      <c r="B2690" t="s">
        <v>3440</v>
      </c>
      <c r="C2690" t="s">
        <v>3526</v>
      </c>
      <c r="D2690" t="s">
        <v>4135</v>
      </c>
      <c r="E2690">
        <v>358</v>
      </c>
      <c r="F2690" s="767">
        <v>18831.2</v>
      </c>
    </row>
    <row r="2691" spans="1:7" ht="15">
      <c r="A2691" s="1546"/>
      <c r="B2691" s="1546" t="s">
        <v>7462</v>
      </c>
      <c r="C2691" s="1546"/>
      <c r="D2691" s="1546"/>
      <c r="E2691" s="1546"/>
      <c r="F2691" s="1547"/>
      <c r="G2691" s="1548">
        <f>SUM(F2568:F2690)</f>
        <v>735171.8899999999</v>
      </c>
    </row>
    <row r="2692" spans="1:7">
      <c r="A2692" s="143">
        <v>11946</v>
      </c>
      <c r="B2692" t="s">
        <v>3425</v>
      </c>
      <c r="C2692" t="s">
        <v>3515</v>
      </c>
      <c r="D2692" t="s">
        <v>4089</v>
      </c>
      <c r="E2692">
        <v>367</v>
      </c>
      <c r="F2692" s="767">
        <v>9559.5499999999993</v>
      </c>
    </row>
    <row r="2693" spans="1:7">
      <c r="A2693" s="143">
        <v>12026</v>
      </c>
      <c r="B2693" t="s">
        <v>4088</v>
      </c>
      <c r="C2693" t="s">
        <v>4090</v>
      </c>
      <c r="D2693" t="s">
        <v>4091</v>
      </c>
      <c r="E2693">
        <v>367</v>
      </c>
      <c r="F2693">
        <v>211.16</v>
      </c>
    </row>
    <row r="2694" spans="1:7">
      <c r="A2694" s="143">
        <v>31030</v>
      </c>
      <c r="B2694" t="s">
        <v>3439</v>
      </c>
      <c r="C2694" t="s">
        <v>3525</v>
      </c>
      <c r="D2694" t="s">
        <v>4092</v>
      </c>
      <c r="E2694">
        <v>367</v>
      </c>
      <c r="F2694" s="767">
        <v>5362</v>
      </c>
    </row>
    <row r="2695" spans="1:7">
      <c r="A2695" s="143">
        <v>11867</v>
      </c>
      <c r="B2695" t="s">
        <v>1202</v>
      </c>
      <c r="C2695" t="s">
        <v>3484</v>
      </c>
      <c r="D2695" t="s">
        <v>4093</v>
      </c>
      <c r="E2695">
        <v>368</v>
      </c>
      <c r="F2695" s="767">
        <v>4298.34</v>
      </c>
    </row>
    <row r="2696" spans="1:7">
      <c r="A2696" s="143">
        <v>11971</v>
      </c>
      <c r="B2696" t="s">
        <v>4087</v>
      </c>
      <c r="C2696" t="s">
        <v>4094</v>
      </c>
      <c r="D2696" t="s">
        <v>4095</v>
      </c>
      <c r="E2696">
        <v>368</v>
      </c>
      <c r="F2696">
        <v>79.180000000000007</v>
      </c>
    </row>
    <row r="2697" spans="1:7">
      <c r="A2697" s="143">
        <v>11984</v>
      </c>
      <c r="B2697" t="s">
        <v>3276</v>
      </c>
      <c r="C2697" t="s">
        <v>3553</v>
      </c>
      <c r="D2697" t="s">
        <v>4097</v>
      </c>
      <c r="E2697">
        <v>368</v>
      </c>
      <c r="F2697">
        <v>316.74</v>
      </c>
    </row>
    <row r="2698" spans="1:7">
      <c r="A2698" s="143">
        <v>11984</v>
      </c>
      <c r="B2698" t="s">
        <v>3276</v>
      </c>
      <c r="C2698" t="s">
        <v>3553</v>
      </c>
      <c r="D2698" t="s">
        <v>4096</v>
      </c>
      <c r="E2698">
        <v>368</v>
      </c>
      <c r="F2698">
        <v>316.74</v>
      </c>
    </row>
    <row r="2699" spans="1:7">
      <c r="A2699" s="143">
        <v>11993</v>
      </c>
      <c r="B2699" t="s">
        <v>3163</v>
      </c>
      <c r="C2699" t="s">
        <v>3473</v>
      </c>
      <c r="D2699" t="s">
        <v>4098</v>
      </c>
      <c r="E2699">
        <v>368</v>
      </c>
      <c r="F2699" s="767">
        <v>3223.49</v>
      </c>
    </row>
    <row r="2700" spans="1:7">
      <c r="A2700" s="143">
        <v>11173</v>
      </c>
      <c r="B2700" t="s">
        <v>3387</v>
      </c>
      <c r="C2700" t="s">
        <v>3487</v>
      </c>
      <c r="D2700" t="s">
        <v>4099</v>
      </c>
      <c r="E2700">
        <v>372</v>
      </c>
      <c r="F2700">
        <v>230.79</v>
      </c>
    </row>
    <row r="2701" spans="1:7">
      <c r="A2701" s="143">
        <v>11988</v>
      </c>
      <c r="B2701" t="s">
        <v>3149</v>
      </c>
      <c r="C2701" t="s">
        <v>3565</v>
      </c>
      <c r="D2701" t="s">
        <v>4100</v>
      </c>
      <c r="E2701">
        <v>372</v>
      </c>
      <c r="F2701">
        <v>743.29</v>
      </c>
    </row>
    <row r="2702" spans="1:7">
      <c r="A2702" s="143">
        <v>11605</v>
      </c>
      <c r="B2702" t="s">
        <v>6752</v>
      </c>
      <c r="C2702" t="s">
        <v>3542</v>
      </c>
      <c r="D2702" t="s">
        <v>4101</v>
      </c>
      <c r="E2702">
        <v>374</v>
      </c>
      <c r="F2702" s="767">
        <v>2138.33</v>
      </c>
    </row>
    <row r="2703" spans="1:7">
      <c r="A2703" s="143">
        <v>11811</v>
      </c>
      <c r="B2703" t="s">
        <v>3415</v>
      </c>
      <c r="C2703" t="s">
        <v>3987</v>
      </c>
      <c r="D2703" t="s">
        <v>4102</v>
      </c>
      <c r="E2703">
        <v>380</v>
      </c>
      <c r="F2703" s="767">
        <v>5569</v>
      </c>
    </row>
    <row r="2704" spans="1:7">
      <c r="A2704" s="143">
        <v>11444</v>
      </c>
      <c r="B2704" t="s">
        <v>3399</v>
      </c>
      <c r="C2704" t="s">
        <v>3460</v>
      </c>
      <c r="D2704" t="s">
        <v>4103</v>
      </c>
      <c r="E2704">
        <v>387</v>
      </c>
      <c r="F2704" s="767">
        <v>5278.99</v>
      </c>
    </row>
    <row r="2705" spans="1:6">
      <c r="A2705" s="143">
        <v>31024</v>
      </c>
      <c r="B2705" t="s">
        <v>3399</v>
      </c>
      <c r="C2705" t="s">
        <v>3460</v>
      </c>
      <c r="D2705" t="s">
        <v>4104</v>
      </c>
      <c r="E2705">
        <v>387</v>
      </c>
      <c r="F2705" s="767">
        <v>2635.1</v>
      </c>
    </row>
    <row r="2706" spans="1:6">
      <c r="A2706" s="143">
        <v>11444</v>
      </c>
      <c r="B2706" t="s">
        <v>3399</v>
      </c>
      <c r="C2706" t="s">
        <v>3460</v>
      </c>
      <c r="D2706" t="s">
        <v>4105</v>
      </c>
      <c r="E2706">
        <v>388</v>
      </c>
      <c r="F2706" s="767">
        <v>69933.13</v>
      </c>
    </row>
    <row r="2707" spans="1:6">
      <c r="A2707" s="143">
        <v>11439</v>
      </c>
      <c r="B2707" t="s">
        <v>1026</v>
      </c>
      <c r="C2707" t="s">
        <v>3492</v>
      </c>
      <c r="D2707" t="s">
        <v>4106</v>
      </c>
      <c r="E2707">
        <v>389</v>
      </c>
      <c r="F2707" s="767">
        <v>3154.01</v>
      </c>
    </row>
    <row r="2708" spans="1:6">
      <c r="A2708" s="143">
        <v>11023</v>
      </c>
      <c r="B2708" t="s">
        <v>3379</v>
      </c>
      <c r="C2708" t="s">
        <v>3484</v>
      </c>
      <c r="D2708" t="s">
        <v>4107</v>
      </c>
      <c r="E2708">
        <v>394</v>
      </c>
      <c r="F2708" s="767">
        <v>7153.03</v>
      </c>
    </row>
    <row r="2709" spans="1:6">
      <c r="A2709" s="143">
        <v>11023</v>
      </c>
      <c r="B2709" t="s">
        <v>3379</v>
      </c>
      <c r="C2709" t="s">
        <v>3484</v>
      </c>
      <c r="D2709" t="s">
        <v>4108</v>
      </c>
      <c r="E2709">
        <v>394</v>
      </c>
      <c r="F2709" s="767">
        <v>5278.99</v>
      </c>
    </row>
    <row r="2710" spans="1:6">
      <c r="A2710" s="143">
        <v>11606</v>
      </c>
      <c r="B2710" t="s">
        <v>3405</v>
      </c>
      <c r="C2710" t="s">
        <v>3500</v>
      </c>
      <c r="D2710" t="s">
        <v>4109</v>
      </c>
      <c r="E2710">
        <v>394</v>
      </c>
      <c r="F2710" s="767">
        <v>1560.34</v>
      </c>
    </row>
    <row r="2711" spans="1:6">
      <c r="A2711" s="143">
        <v>11944</v>
      </c>
      <c r="B2711" t="s">
        <v>3424</v>
      </c>
      <c r="C2711" t="s">
        <v>3454</v>
      </c>
      <c r="D2711" t="s">
        <v>3455</v>
      </c>
      <c r="E2711">
        <v>407</v>
      </c>
      <c r="F2711">
        <v>433.94</v>
      </c>
    </row>
    <row r="2712" spans="1:6">
      <c r="A2712" s="143">
        <v>11444</v>
      </c>
      <c r="B2712" t="s">
        <v>3399</v>
      </c>
      <c r="C2712" t="s">
        <v>3460</v>
      </c>
      <c r="D2712" t="s">
        <v>3463</v>
      </c>
      <c r="E2712">
        <v>414</v>
      </c>
      <c r="F2712" s="767">
        <v>72915.100000000006</v>
      </c>
    </row>
    <row r="2713" spans="1:6">
      <c r="A2713" s="143">
        <v>11944</v>
      </c>
      <c r="B2713" t="s">
        <v>3424</v>
      </c>
      <c r="C2713" t="s">
        <v>3454</v>
      </c>
      <c r="D2713" t="s">
        <v>3464</v>
      </c>
      <c r="E2713">
        <v>414</v>
      </c>
      <c r="F2713" s="767">
        <v>2375.5500000000002</v>
      </c>
    </row>
    <row r="2714" spans="1:6">
      <c r="A2714" s="143">
        <v>11944</v>
      </c>
      <c r="B2714" t="s">
        <v>3424</v>
      </c>
      <c r="C2714" t="s">
        <v>3454</v>
      </c>
      <c r="D2714" t="s">
        <v>3465</v>
      </c>
      <c r="E2714">
        <v>414</v>
      </c>
      <c r="F2714" s="767">
        <v>2375.5500000000002</v>
      </c>
    </row>
    <row r="2715" spans="1:6">
      <c r="A2715" s="143">
        <v>11993</v>
      </c>
      <c r="B2715" t="s">
        <v>3163</v>
      </c>
      <c r="C2715" t="s">
        <v>3473</v>
      </c>
      <c r="D2715" t="s">
        <v>3474</v>
      </c>
      <c r="E2715">
        <v>416</v>
      </c>
      <c r="F2715" s="767">
        <v>3185.74</v>
      </c>
    </row>
    <row r="2716" spans="1:6">
      <c r="A2716" s="143">
        <v>12002</v>
      </c>
      <c r="B2716" t="s">
        <v>3479</v>
      </c>
      <c r="C2716" t="s">
        <v>3480</v>
      </c>
      <c r="D2716" t="s">
        <v>3481</v>
      </c>
      <c r="E2716">
        <v>421</v>
      </c>
      <c r="F2716" s="767">
        <v>4301.82</v>
      </c>
    </row>
    <row r="2717" spans="1:6">
      <c r="A2717" s="143">
        <v>11173</v>
      </c>
      <c r="B2717" t="s">
        <v>3387</v>
      </c>
      <c r="C2717" t="s">
        <v>3487</v>
      </c>
      <c r="D2717" t="s">
        <v>3488</v>
      </c>
      <c r="E2717">
        <v>423</v>
      </c>
      <c r="F2717">
        <v>223.99</v>
      </c>
    </row>
    <row r="2718" spans="1:6">
      <c r="A2718" s="143">
        <v>11439</v>
      </c>
      <c r="B2718" t="s">
        <v>1026</v>
      </c>
      <c r="C2718" t="s">
        <v>3492</v>
      </c>
      <c r="D2718" t="s">
        <v>3493</v>
      </c>
      <c r="E2718">
        <v>423</v>
      </c>
      <c r="F2718" s="767">
        <v>3380.48</v>
      </c>
    </row>
    <row r="2719" spans="1:6">
      <c r="A2719" s="143">
        <v>11604</v>
      </c>
      <c r="B2719" t="s">
        <v>3497</v>
      </c>
      <c r="C2719" t="s">
        <v>3498</v>
      </c>
      <c r="D2719" t="s">
        <v>3499</v>
      </c>
      <c r="E2719">
        <v>423</v>
      </c>
      <c r="F2719" s="767">
        <v>4405.92</v>
      </c>
    </row>
    <row r="2720" spans="1:6">
      <c r="A2720" s="143">
        <v>11606</v>
      </c>
      <c r="B2720" t="s">
        <v>3405</v>
      </c>
      <c r="C2720" t="s">
        <v>3500</v>
      </c>
      <c r="D2720" t="s">
        <v>3501</v>
      </c>
      <c r="E2720">
        <v>423</v>
      </c>
      <c r="F2720" s="767">
        <v>1560.34</v>
      </c>
    </row>
    <row r="2721" spans="1:6">
      <c r="A2721" s="143">
        <v>11806</v>
      </c>
      <c r="B2721" t="s">
        <v>3413</v>
      </c>
      <c r="C2721" t="s">
        <v>3507</v>
      </c>
      <c r="D2721" t="s">
        <v>3508</v>
      </c>
      <c r="E2721">
        <v>423</v>
      </c>
      <c r="F2721">
        <v>392.51</v>
      </c>
    </row>
    <row r="2722" spans="1:6">
      <c r="A2722" s="143">
        <v>11822</v>
      </c>
      <c r="B2722" t="s">
        <v>3419</v>
      </c>
      <c r="C2722" t="s">
        <v>3510</v>
      </c>
      <c r="D2722" t="s">
        <v>3511</v>
      </c>
      <c r="E2722">
        <v>423</v>
      </c>
      <c r="F2722">
        <v>154.66999999999999</v>
      </c>
    </row>
    <row r="2723" spans="1:6">
      <c r="A2723" s="143">
        <v>12009</v>
      </c>
      <c r="B2723" t="s">
        <v>3518</v>
      </c>
      <c r="C2723" t="s">
        <v>3519</v>
      </c>
      <c r="D2723" t="s">
        <v>3520</v>
      </c>
      <c r="E2723">
        <v>423</v>
      </c>
      <c r="F2723">
        <v>528.17999999999995</v>
      </c>
    </row>
    <row r="2724" spans="1:6">
      <c r="A2724" s="143">
        <v>31027</v>
      </c>
      <c r="B2724" t="s">
        <v>1037</v>
      </c>
      <c r="C2724" t="s">
        <v>3498</v>
      </c>
      <c r="D2724" t="s">
        <v>3523</v>
      </c>
      <c r="E2724">
        <v>423</v>
      </c>
      <c r="F2724" s="767">
        <v>1632.26</v>
      </c>
    </row>
    <row r="2725" spans="1:6">
      <c r="A2725" s="143">
        <v>31027</v>
      </c>
      <c r="B2725" t="s">
        <v>1037</v>
      </c>
      <c r="C2725" t="s">
        <v>3498</v>
      </c>
      <c r="D2725" t="s">
        <v>3524</v>
      </c>
      <c r="E2725">
        <v>423</v>
      </c>
      <c r="F2725" s="767">
        <v>1149.46</v>
      </c>
    </row>
    <row r="2726" spans="1:6">
      <c r="A2726" s="143">
        <v>31031</v>
      </c>
      <c r="B2726" t="s">
        <v>3440</v>
      </c>
      <c r="C2726" t="s">
        <v>3526</v>
      </c>
      <c r="D2726" t="s">
        <v>3527</v>
      </c>
      <c r="E2726">
        <v>423</v>
      </c>
      <c r="F2726" s="767">
        <v>17143.25</v>
      </c>
    </row>
    <row r="2727" spans="1:6">
      <c r="A2727" s="143">
        <v>11023</v>
      </c>
      <c r="B2727" t="s">
        <v>3379</v>
      </c>
      <c r="C2727" t="s">
        <v>3484</v>
      </c>
      <c r="D2727" t="s">
        <v>3529</v>
      </c>
      <c r="E2727">
        <v>424</v>
      </c>
      <c r="F2727">
        <v>370</v>
      </c>
    </row>
    <row r="2728" spans="1:6">
      <c r="A2728" s="143">
        <v>11023</v>
      </c>
      <c r="B2728" t="s">
        <v>3379</v>
      </c>
      <c r="C2728" t="s">
        <v>3484</v>
      </c>
      <c r="D2728" t="s">
        <v>3530</v>
      </c>
      <c r="E2728">
        <v>424</v>
      </c>
      <c r="F2728">
        <v>273.05</v>
      </c>
    </row>
    <row r="2729" spans="1:6">
      <c r="A2729" s="143">
        <v>11023</v>
      </c>
      <c r="B2729" t="s">
        <v>3379</v>
      </c>
      <c r="C2729" t="s">
        <v>3484</v>
      </c>
      <c r="D2729" t="s">
        <v>3531</v>
      </c>
      <c r="E2729">
        <v>424</v>
      </c>
      <c r="F2729">
        <v>839.29</v>
      </c>
    </row>
    <row r="2730" spans="1:6">
      <c r="A2730" s="143">
        <v>11444</v>
      </c>
      <c r="B2730" t="s">
        <v>3399</v>
      </c>
      <c r="C2730" t="s">
        <v>3460</v>
      </c>
      <c r="D2730" t="s">
        <v>3550</v>
      </c>
      <c r="E2730">
        <v>435</v>
      </c>
      <c r="F2730" s="767">
        <v>50795.71</v>
      </c>
    </row>
    <row r="2731" spans="1:6">
      <c r="A2731" s="143">
        <v>11444</v>
      </c>
      <c r="B2731" t="s">
        <v>3399</v>
      </c>
      <c r="C2731" t="s">
        <v>3460</v>
      </c>
      <c r="D2731" t="s">
        <v>3551</v>
      </c>
      <c r="E2731">
        <v>435</v>
      </c>
      <c r="F2731" s="767">
        <v>5278.99</v>
      </c>
    </row>
    <row r="2732" spans="1:6">
      <c r="A2732" s="143">
        <v>31024</v>
      </c>
      <c r="B2732" t="s">
        <v>3399</v>
      </c>
      <c r="C2732" t="s">
        <v>3460</v>
      </c>
      <c r="D2732" t="s">
        <v>3552</v>
      </c>
      <c r="E2732">
        <v>435</v>
      </c>
      <c r="F2732" s="767">
        <v>2144.39</v>
      </c>
    </row>
    <row r="2733" spans="1:6">
      <c r="A2733" s="143">
        <v>11984</v>
      </c>
      <c r="B2733" t="s">
        <v>3276</v>
      </c>
      <c r="C2733" t="s">
        <v>3553</v>
      </c>
      <c r="D2733" t="s">
        <v>3554</v>
      </c>
      <c r="E2733">
        <v>436</v>
      </c>
      <c r="F2733">
        <v>316.74</v>
      </c>
    </row>
    <row r="2734" spans="1:6">
      <c r="A2734" s="143">
        <v>11993</v>
      </c>
      <c r="B2734" t="s">
        <v>3163</v>
      </c>
      <c r="C2734" t="s">
        <v>3473</v>
      </c>
      <c r="D2734" t="s">
        <v>3555</v>
      </c>
      <c r="E2734">
        <v>436</v>
      </c>
      <c r="F2734" s="767">
        <v>3147.99</v>
      </c>
    </row>
    <row r="2735" spans="1:6">
      <c r="A2735" s="143">
        <v>11822</v>
      </c>
      <c r="B2735" t="s">
        <v>3419</v>
      </c>
      <c r="C2735" t="s">
        <v>3510</v>
      </c>
      <c r="D2735" t="s">
        <v>3556</v>
      </c>
      <c r="E2735">
        <v>438</v>
      </c>
      <c r="F2735">
        <v>79.180000000000007</v>
      </c>
    </row>
    <row r="2736" spans="1:6">
      <c r="A2736" s="143">
        <v>21020</v>
      </c>
      <c r="B2736" t="s">
        <v>3435</v>
      </c>
      <c r="C2736" t="s">
        <v>3557</v>
      </c>
      <c r="D2736" t="s">
        <v>3562</v>
      </c>
      <c r="E2736">
        <v>442</v>
      </c>
      <c r="F2736" s="767">
        <v>13940.95</v>
      </c>
    </row>
    <row r="2737" spans="1:6">
      <c r="A2737" s="143">
        <v>21020</v>
      </c>
      <c r="B2737" t="s">
        <v>3435</v>
      </c>
      <c r="C2737" t="s">
        <v>3557</v>
      </c>
      <c r="D2737" t="s">
        <v>3558</v>
      </c>
      <c r="E2737">
        <v>442</v>
      </c>
      <c r="F2737" s="767">
        <v>16294.12</v>
      </c>
    </row>
    <row r="2738" spans="1:6">
      <c r="A2738" s="143">
        <v>21020</v>
      </c>
      <c r="B2738" t="s">
        <v>3435</v>
      </c>
      <c r="C2738" t="s">
        <v>3557</v>
      </c>
      <c r="D2738" t="s">
        <v>3559</v>
      </c>
      <c r="E2738">
        <v>442</v>
      </c>
      <c r="F2738" s="767">
        <v>1364.44</v>
      </c>
    </row>
    <row r="2739" spans="1:6">
      <c r="A2739" s="143">
        <v>21020</v>
      </c>
      <c r="B2739" t="s">
        <v>3435</v>
      </c>
      <c r="C2739" t="s">
        <v>3557</v>
      </c>
      <c r="D2739" t="s">
        <v>3560</v>
      </c>
      <c r="E2739">
        <v>442</v>
      </c>
      <c r="F2739" s="767">
        <v>1364.44</v>
      </c>
    </row>
    <row r="2740" spans="1:6">
      <c r="A2740" s="143">
        <v>21020</v>
      </c>
      <c r="B2740" t="s">
        <v>3435</v>
      </c>
      <c r="C2740" t="s">
        <v>3557</v>
      </c>
      <c r="D2740" t="s">
        <v>3561</v>
      </c>
      <c r="E2740">
        <v>442</v>
      </c>
      <c r="F2740">
        <v>988.73</v>
      </c>
    </row>
    <row r="2741" spans="1:6">
      <c r="A2741" s="143">
        <v>11867</v>
      </c>
      <c r="B2741" t="s">
        <v>1202</v>
      </c>
      <c r="C2741" t="s">
        <v>3484</v>
      </c>
      <c r="D2741" t="s">
        <v>3564</v>
      </c>
      <c r="E2741">
        <v>450</v>
      </c>
      <c r="F2741" s="767">
        <v>4495.38</v>
      </c>
    </row>
    <row r="2742" spans="1:6">
      <c r="A2742" s="143">
        <v>11988</v>
      </c>
      <c r="B2742" t="s">
        <v>3149</v>
      </c>
      <c r="C2742" t="s">
        <v>3565</v>
      </c>
      <c r="D2742" t="s">
        <v>3566</v>
      </c>
      <c r="E2742">
        <v>450</v>
      </c>
      <c r="F2742" s="767">
        <v>1233.99</v>
      </c>
    </row>
    <row r="2743" spans="1:6">
      <c r="A2743" s="143">
        <v>12008</v>
      </c>
      <c r="B2743" t="s">
        <v>3430</v>
      </c>
      <c r="C2743" t="s">
        <v>3567</v>
      </c>
      <c r="D2743" t="s">
        <v>3568</v>
      </c>
      <c r="E2743">
        <v>450</v>
      </c>
      <c r="F2743">
        <v>369.52</v>
      </c>
    </row>
    <row r="2744" spans="1:6">
      <c r="A2744" s="143">
        <v>31027</v>
      </c>
      <c r="B2744" t="s">
        <v>1037</v>
      </c>
      <c r="C2744" t="s">
        <v>3498</v>
      </c>
      <c r="D2744" t="s">
        <v>3569</v>
      </c>
      <c r="E2744">
        <v>450</v>
      </c>
      <c r="F2744" s="767">
        <v>1632.26</v>
      </c>
    </row>
    <row r="2745" spans="1:6">
      <c r="A2745" s="143">
        <v>31027</v>
      </c>
      <c r="B2745" t="s">
        <v>1037</v>
      </c>
      <c r="C2745" t="s">
        <v>3498</v>
      </c>
      <c r="D2745" t="s">
        <v>3570</v>
      </c>
      <c r="E2745">
        <v>450</v>
      </c>
      <c r="F2745" s="767">
        <v>1149.46</v>
      </c>
    </row>
    <row r="2746" spans="1:6">
      <c r="A2746" s="143">
        <v>31031</v>
      </c>
      <c r="B2746" t="s">
        <v>3440</v>
      </c>
      <c r="C2746" t="s">
        <v>3526</v>
      </c>
      <c r="D2746" t="s">
        <v>3571</v>
      </c>
      <c r="E2746">
        <v>450</v>
      </c>
      <c r="F2746" s="767">
        <v>16728.04</v>
      </c>
    </row>
    <row r="2747" spans="1:6">
      <c r="A2747" s="143">
        <v>11173</v>
      </c>
      <c r="B2747" t="s">
        <v>3387</v>
      </c>
      <c r="C2747" t="s">
        <v>3487</v>
      </c>
      <c r="D2747" t="s">
        <v>3572</v>
      </c>
      <c r="E2747">
        <v>451</v>
      </c>
      <c r="F2747">
        <v>221.36</v>
      </c>
    </row>
    <row r="2748" spans="1:6">
      <c r="A2748" s="143">
        <v>11439</v>
      </c>
      <c r="B2748" t="s">
        <v>1026</v>
      </c>
      <c r="C2748" t="s">
        <v>3492</v>
      </c>
      <c r="D2748" t="s">
        <v>3573</v>
      </c>
      <c r="E2748">
        <v>451</v>
      </c>
      <c r="F2748" s="767">
        <v>4210.8999999999996</v>
      </c>
    </row>
    <row r="2749" spans="1:6">
      <c r="A2749" s="143">
        <v>11604</v>
      </c>
      <c r="B2749" t="s">
        <v>3497</v>
      </c>
      <c r="C2749" t="s">
        <v>3498</v>
      </c>
      <c r="D2749" t="s">
        <v>3574</v>
      </c>
      <c r="E2749">
        <v>451</v>
      </c>
      <c r="F2749" s="767">
        <v>4254.9399999999996</v>
      </c>
    </row>
    <row r="2750" spans="1:6">
      <c r="A2750" s="143">
        <v>11606</v>
      </c>
      <c r="B2750" t="s">
        <v>3405</v>
      </c>
      <c r="C2750" t="s">
        <v>3500</v>
      </c>
      <c r="D2750" t="s">
        <v>3575</v>
      </c>
      <c r="E2750">
        <v>451</v>
      </c>
      <c r="F2750" s="767">
        <v>1560.34</v>
      </c>
    </row>
    <row r="2751" spans="1:6">
      <c r="A2751" s="143">
        <v>11867</v>
      </c>
      <c r="B2751" t="s">
        <v>1202</v>
      </c>
      <c r="C2751" t="s">
        <v>3484</v>
      </c>
      <c r="D2751" t="s">
        <v>3577</v>
      </c>
      <c r="E2751">
        <v>466</v>
      </c>
      <c r="F2751" s="767">
        <v>3637.69</v>
      </c>
    </row>
    <row r="2752" spans="1:6">
      <c r="A2752" s="143">
        <v>11957</v>
      </c>
      <c r="B2752" t="s">
        <v>3129</v>
      </c>
      <c r="C2752" t="s">
        <v>3578</v>
      </c>
      <c r="D2752" t="s">
        <v>3579</v>
      </c>
      <c r="E2752">
        <v>466</v>
      </c>
      <c r="F2752">
        <v>894.43</v>
      </c>
    </row>
    <row r="2753" spans="1:6">
      <c r="A2753" s="143">
        <v>11984</v>
      </c>
      <c r="B2753" t="s">
        <v>3276</v>
      </c>
      <c r="C2753" t="s">
        <v>3553</v>
      </c>
      <c r="D2753" t="s">
        <v>3580</v>
      </c>
      <c r="E2753">
        <v>466</v>
      </c>
      <c r="F2753">
        <v>270.44</v>
      </c>
    </row>
    <row r="2754" spans="1:6">
      <c r="A2754" s="143">
        <v>11988</v>
      </c>
      <c r="B2754" t="s">
        <v>3149</v>
      </c>
      <c r="C2754" t="s">
        <v>3565</v>
      </c>
      <c r="D2754" t="s">
        <v>3581</v>
      </c>
      <c r="E2754">
        <v>466</v>
      </c>
      <c r="F2754">
        <v>463.61</v>
      </c>
    </row>
    <row r="2755" spans="1:6">
      <c r="A2755" s="143">
        <v>11993</v>
      </c>
      <c r="B2755" t="s">
        <v>3163</v>
      </c>
      <c r="C2755" t="s">
        <v>3473</v>
      </c>
      <c r="D2755" t="s">
        <v>3582</v>
      </c>
      <c r="E2755">
        <v>466</v>
      </c>
      <c r="F2755">
        <v>45.07</v>
      </c>
    </row>
    <row r="2756" spans="1:6">
      <c r="A2756" s="143">
        <v>11475</v>
      </c>
      <c r="B2756" t="s">
        <v>3402</v>
      </c>
      <c r="C2756" t="s">
        <v>3583</v>
      </c>
      <c r="D2756" t="s">
        <v>3584</v>
      </c>
      <c r="E2756">
        <v>471</v>
      </c>
      <c r="F2756" s="767">
        <v>3718.69</v>
      </c>
    </row>
    <row r="2757" spans="1:6">
      <c r="A2757" s="143">
        <v>11699</v>
      </c>
      <c r="B2757" t="s">
        <v>3408</v>
      </c>
      <c r="C2757" t="s">
        <v>3502</v>
      </c>
      <c r="D2757" t="s">
        <v>3585</v>
      </c>
      <c r="E2757">
        <v>476</v>
      </c>
      <c r="F2757">
        <v>111.57</v>
      </c>
    </row>
    <row r="2758" spans="1:6">
      <c r="A2758" s="143">
        <v>11944</v>
      </c>
      <c r="B2758" t="s">
        <v>3424</v>
      </c>
      <c r="C2758" t="s">
        <v>3454</v>
      </c>
      <c r="D2758" t="s">
        <v>3586</v>
      </c>
      <c r="E2758">
        <v>477</v>
      </c>
      <c r="F2758" s="767">
        <v>2028.38</v>
      </c>
    </row>
    <row r="2759" spans="1:6">
      <c r="A2759" s="143">
        <v>11870</v>
      </c>
      <c r="B2759" t="s">
        <v>3587</v>
      </c>
      <c r="C2759" t="s">
        <v>3588</v>
      </c>
      <c r="D2759" t="s">
        <v>3589</v>
      </c>
      <c r="E2759">
        <v>478</v>
      </c>
      <c r="F2759" s="767">
        <v>9662.66</v>
      </c>
    </row>
    <row r="2760" spans="1:6">
      <c r="A2760" s="143">
        <v>11007</v>
      </c>
      <c r="B2760" t="s">
        <v>3482</v>
      </c>
      <c r="C2760" t="s">
        <v>3483</v>
      </c>
      <c r="D2760" t="s">
        <v>3591</v>
      </c>
      <c r="E2760">
        <v>479</v>
      </c>
      <c r="F2760" s="767">
        <v>1929.11</v>
      </c>
    </row>
    <row r="2761" spans="1:6">
      <c r="A2761" s="143">
        <v>11699</v>
      </c>
      <c r="B2761" t="s">
        <v>3408</v>
      </c>
      <c r="C2761" t="s">
        <v>3502</v>
      </c>
      <c r="D2761" t="s">
        <v>3592</v>
      </c>
      <c r="E2761">
        <v>479</v>
      </c>
      <c r="F2761">
        <v>134.94999999999999</v>
      </c>
    </row>
    <row r="2762" spans="1:6">
      <c r="A2762" s="143">
        <v>11173</v>
      </c>
      <c r="B2762" t="s">
        <v>3387</v>
      </c>
      <c r="C2762" t="s">
        <v>3487</v>
      </c>
      <c r="D2762" t="s">
        <v>3593</v>
      </c>
      <c r="E2762">
        <v>480</v>
      </c>
      <c r="F2762">
        <v>294.99</v>
      </c>
    </row>
    <row r="2763" spans="1:6">
      <c r="A2763" s="143">
        <v>11326</v>
      </c>
      <c r="B2763" t="s">
        <v>3392</v>
      </c>
      <c r="C2763" t="s">
        <v>3489</v>
      </c>
      <c r="D2763" t="s">
        <v>3594</v>
      </c>
      <c r="E2763">
        <v>480</v>
      </c>
      <c r="F2763" s="767">
        <v>2073.44</v>
      </c>
    </row>
    <row r="2764" spans="1:6">
      <c r="A2764" s="143">
        <v>11439</v>
      </c>
      <c r="B2764" t="s">
        <v>1026</v>
      </c>
      <c r="C2764" t="s">
        <v>3492</v>
      </c>
      <c r="D2764" t="s">
        <v>3595</v>
      </c>
      <c r="E2764">
        <v>480</v>
      </c>
      <c r="F2764" s="767">
        <v>3823.57</v>
      </c>
    </row>
    <row r="2765" spans="1:6">
      <c r="A2765" s="143">
        <v>11496</v>
      </c>
      <c r="B2765" t="s">
        <v>3596</v>
      </c>
      <c r="C2765" t="s">
        <v>3597</v>
      </c>
      <c r="D2765" t="s">
        <v>3598</v>
      </c>
      <c r="E2765">
        <v>480</v>
      </c>
      <c r="F2765" s="767">
        <v>1149.42</v>
      </c>
    </row>
    <row r="2766" spans="1:6">
      <c r="A2766" s="143">
        <v>11604</v>
      </c>
      <c r="B2766" t="s">
        <v>3497</v>
      </c>
      <c r="C2766" t="s">
        <v>3498</v>
      </c>
      <c r="D2766" t="s">
        <v>3599</v>
      </c>
      <c r="E2766">
        <v>480</v>
      </c>
      <c r="F2766" s="767">
        <v>12601.43</v>
      </c>
    </row>
    <row r="2767" spans="1:6">
      <c r="A2767" s="143">
        <v>11606</v>
      </c>
      <c r="B2767" t="s">
        <v>3405</v>
      </c>
      <c r="C2767" t="s">
        <v>3500</v>
      </c>
      <c r="D2767" t="s">
        <v>3600</v>
      </c>
      <c r="E2767">
        <v>480</v>
      </c>
      <c r="F2767" s="767">
        <v>2502.0300000000002</v>
      </c>
    </row>
    <row r="2768" spans="1:6">
      <c r="A2768" s="143">
        <v>11606</v>
      </c>
      <c r="B2768" t="s">
        <v>3405</v>
      </c>
      <c r="C2768" t="s">
        <v>3500</v>
      </c>
      <c r="D2768" t="s">
        <v>3601</v>
      </c>
      <c r="E2768">
        <v>480</v>
      </c>
      <c r="F2768" s="767">
        <v>1126.52</v>
      </c>
    </row>
    <row r="2769" spans="1:6">
      <c r="A2769" s="143">
        <v>11755</v>
      </c>
      <c r="B2769" t="s">
        <v>2064</v>
      </c>
      <c r="C2769" t="s">
        <v>3467</v>
      </c>
      <c r="D2769" t="s">
        <v>3602</v>
      </c>
      <c r="E2769">
        <v>480</v>
      </c>
      <c r="F2769">
        <v>295.83999999999997</v>
      </c>
    </row>
    <row r="2770" spans="1:6">
      <c r="A2770" s="143">
        <v>31027</v>
      </c>
      <c r="B2770" t="s">
        <v>1037</v>
      </c>
      <c r="C2770" t="s">
        <v>3498</v>
      </c>
      <c r="D2770" t="s">
        <v>3603</v>
      </c>
      <c r="E2770">
        <v>480</v>
      </c>
      <c r="F2770" s="767">
        <v>1149.46</v>
      </c>
    </row>
    <row r="2771" spans="1:6">
      <c r="A2771" s="143">
        <v>31031</v>
      </c>
      <c r="B2771" t="s">
        <v>3440</v>
      </c>
      <c r="C2771" t="s">
        <v>3526</v>
      </c>
      <c r="D2771" t="s">
        <v>3604</v>
      </c>
      <c r="E2771">
        <v>480</v>
      </c>
      <c r="F2771" s="767">
        <v>16477.830000000002</v>
      </c>
    </row>
    <row r="2772" spans="1:6">
      <c r="A2772" s="143">
        <v>11606</v>
      </c>
      <c r="B2772" t="s">
        <v>3405</v>
      </c>
      <c r="C2772" t="s">
        <v>3500</v>
      </c>
      <c r="D2772" t="s">
        <v>3605</v>
      </c>
      <c r="E2772">
        <v>506</v>
      </c>
      <c r="F2772" s="767">
        <v>2375.84</v>
      </c>
    </row>
    <row r="2773" spans="1:6">
      <c r="A2773" s="143">
        <v>31027</v>
      </c>
      <c r="B2773" t="s">
        <v>1037</v>
      </c>
      <c r="C2773" t="s">
        <v>3498</v>
      </c>
      <c r="D2773" t="s">
        <v>3606</v>
      </c>
      <c r="E2773">
        <v>512</v>
      </c>
      <c r="F2773" s="767">
        <v>19879.47</v>
      </c>
    </row>
    <row r="2774" spans="1:6">
      <c r="A2774" s="143">
        <v>31027</v>
      </c>
      <c r="B2774" t="s">
        <v>1037</v>
      </c>
      <c r="C2774" t="s">
        <v>3498</v>
      </c>
      <c r="D2774" t="s">
        <v>3607</v>
      </c>
      <c r="E2774">
        <v>512</v>
      </c>
      <c r="F2774" s="767">
        <v>1530.94</v>
      </c>
    </row>
    <row r="2775" spans="1:6">
      <c r="A2775" s="143">
        <v>31027</v>
      </c>
      <c r="B2775" t="s">
        <v>1037</v>
      </c>
      <c r="C2775" t="s">
        <v>3498</v>
      </c>
      <c r="D2775" t="s">
        <v>3608</v>
      </c>
      <c r="E2775">
        <v>512</v>
      </c>
      <c r="F2775" s="767">
        <v>1149.46</v>
      </c>
    </row>
    <row r="2776" spans="1:6">
      <c r="A2776" s="143">
        <v>11173</v>
      </c>
      <c r="B2776" t="s">
        <v>3387</v>
      </c>
      <c r="C2776" t="s">
        <v>3487</v>
      </c>
      <c r="D2776" t="s">
        <v>3609</v>
      </c>
      <c r="E2776">
        <v>516</v>
      </c>
      <c r="F2776">
        <v>204.39</v>
      </c>
    </row>
    <row r="2777" spans="1:6">
      <c r="A2777" s="143">
        <v>11439</v>
      </c>
      <c r="B2777" t="s">
        <v>1026</v>
      </c>
      <c r="C2777" t="s">
        <v>3492</v>
      </c>
      <c r="D2777" t="s">
        <v>3610</v>
      </c>
      <c r="E2777">
        <v>516</v>
      </c>
      <c r="F2777" s="767">
        <v>4362.79</v>
      </c>
    </row>
    <row r="2778" spans="1:6">
      <c r="A2778" s="143">
        <v>11604</v>
      </c>
      <c r="B2778" t="s">
        <v>3497</v>
      </c>
      <c r="C2778" t="s">
        <v>3498</v>
      </c>
      <c r="D2778" t="s">
        <v>3611</v>
      </c>
      <c r="E2778">
        <v>516</v>
      </c>
      <c r="F2778" s="767">
        <v>5147.8900000000003</v>
      </c>
    </row>
    <row r="2779" spans="1:6">
      <c r="A2779" s="143">
        <v>11606</v>
      </c>
      <c r="B2779" t="s">
        <v>3405</v>
      </c>
      <c r="C2779" t="s">
        <v>3500</v>
      </c>
      <c r="D2779" t="s">
        <v>3612</v>
      </c>
      <c r="E2779">
        <v>516</v>
      </c>
      <c r="F2779" s="767">
        <v>1126.52</v>
      </c>
    </row>
    <row r="2780" spans="1:6">
      <c r="A2780" s="143">
        <v>11749</v>
      </c>
      <c r="B2780" t="s">
        <v>3613</v>
      </c>
      <c r="C2780" t="s">
        <v>3614</v>
      </c>
      <c r="D2780" t="s">
        <v>3615</v>
      </c>
      <c r="E2780">
        <v>516</v>
      </c>
      <c r="F2780">
        <v>475.8</v>
      </c>
    </row>
    <row r="2781" spans="1:6">
      <c r="A2781" s="143">
        <v>11812</v>
      </c>
      <c r="B2781" t="s">
        <v>3416</v>
      </c>
      <c r="C2781" t="s">
        <v>3616</v>
      </c>
      <c r="D2781" t="s">
        <v>3617</v>
      </c>
      <c r="E2781">
        <v>516</v>
      </c>
      <c r="F2781" s="767">
        <v>1510.95</v>
      </c>
    </row>
    <row r="2782" spans="1:6">
      <c r="A2782" s="143">
        <v>11867</v>
      </c>
      <c r="B2782" t="s">
        <v>1202</v>
      </c>
      <c r="C2782" t="s">
        <v>3484</v>
      </c>
      <c r="D2782" t="s">
        <v>3618</v>
      </c>
      <c r="E2782">
        <v>516</v>
      </c>
      <c r="F2782" s="767">
        <v>2909.02</v>
      </c>
    </row>
    <row r="2783" spans="1:6">
      <c r="A2783" s="143">
        <v>11870</v>
      </c>
      <c r="B2783" t="s">
        <v>3587</v>
      </c>
      <c r="C2783" t="s">
        <v>3588</v>
      </c>
      <c r="D2783" t="s">
        <v>3619</v>
      </c>
      <c r="E2783">
        <v>516</v>
      </c>
      <c r="F2783" s="767">
        <v>7577.65</v>
      </c>
    </row>
    <row r="2784" spans="1:6">
      <c r="A2784" s="143">
        <v>11944</v>
      </c>
      <c r="B2784" t="s">
        <v>3424</v>
      </c>
      <c r="C2784" t="s">
        <v>3454</v>
      </c>
      <c r="D2784" t="s">
        <v>3620</v>
      </c>
      <c r="E2784">
        <v>516</v>
      </c>
      <c r="F2784" s="767">
        <v>2028.38</v>
      </c>
    </row>
    <row r="2785" spans="1:6">
      <c r="A2785" s="143">
        <v>11968</v>
      </c>
      <c r="B2785" t="s">
        <v>2988</v>
      </c>
      <c r="C2785" t="s">
        <v>3621</v>
      </c>
      <c r="D2785" t="s">
        <v>3622</v>
      </c>
      <c r="E2785">
        <v>516</v>
      </c>
      <c r="F2785" s="767">
        <v>2103.48</v>
      </c>
    </row>
    <row r="2786" spans="1:6">
      <c r="A2786" s="143">
        <v>11988</v>
      </c>
      <c r="B2786" t="s">
        <v>3149</v>
      </c>
      <c r="C2786" t="s">
        <v>3565</v>
      </c>
      <c r="D2786" t="s">
        <v>3623</v>
      </c>
      <c r="E2786">
        <v>516</v>
      </c>
      <c r="F2786">
        <v>499.56</v>
      </c>
    </row>
    <row r="2787" spans="1:6">
      <c r="A2787" s="143">
        <v>12008</v>
      </c>
      <c r="B2787" t="s">
        <v>3430</v>
      </c>
      <c r="C2787" t="s">
        <v>3567</v>
      </c>
      <c r="D2787" t="s">
        <v>3624</v>
      </c>
      <c r="E2787">
        <v>516</v>
      </c>
      <c r="F2787" s="767">
        <v>3622.78</v>
      </c>
    </row>
    <row r="2788" spans="1:6">
      <c r="A2788" s="143">
        <v>31031</v>
      </c>
      <c r="B2788" t="s">
        <v>3440</v>
      </c>
      <c r="C2788" t="s">
        <v>3526</v>
      </c>
      <c r="D2788" t="s">
        <v>3625</v>
      </c>
      <c r="E2788">
        <v>516</v>
      </c>
      <c r="F2788" s="767">
        <v>16693.52</v>
      </c>
    </row>
    <row r="2789" spans="1:6">
      <c r="A2789" s="143">
        <v>11991</v>
      </c>
      <c r="B2789" t="s">
        <v>3429</v>
      </c>
      <c r="C2789" t="s">
        <v>3457</v>
      </c>
      <c r="D2789" t="s">
        <v>3626</v>
      </c>
      <c r="E2789">
        <v>528</v>
      </c>
      <c r="F2789" s="767">
        <v>25337.87</v>
      </c>
    </row>
    <row r="2790" spans="1:6">
      <c r="A2790" s="143">
        <v>11867</v>
      </c>
      <c r="B2790" t="s">
        <v>1202</v>
      </c>
      <c r="C2790" t="s">
        <v>3484</v>
      </c>
      <c r="D2790" t="s">
        <v>3627</v>
      </c>
      <c r="E2790">
        <v>541</v>
      </c>
      <c r="F2790" s="767">
        <v>2869.47</v>
      </c>
    </row>
    <row r="2791" spans="1:6">
      <c r="A2791" s="143">
        <v>11173</v>
      </c>
      <c r="B2791" t="s">
        <v>3387</v>
      </c>
      <c r="C2791" t="s">
        <v>3487</v>
      </c>
      <c r="D2791" t="s">
        <v>3628</v>
      </c>
      <c r="E2791">
        <v>542</v>
      </c>
      <c r="F2791">
        <v>209.79</v>
      </c>
    </row>
    <row r="2792" spans="1:6">
      <c r="A2792" s="143">
        <v>11944</v>
      </c>
      <c r="B2792" t="s">
        <v>3424</v>
      </c>
      <c r="C2792" t="s">
        <v>3454</v>
      </c>
      <c r="D2792" t="s">
        <v>3629</v>
      </c>
      <c r="E2792">
        <v>542</v>
      </c>
      <c r="F2792" s="767">
        <v>2028.38</v>
      </c>
    </row>
    <row r="2793" spans="1:6">
      <c r="A2793" s="143">
        <v>11976</v>
      </c>
      <c r="B2793" t="s">
        <v>3110</v>
      </c>
      <c r="C2793" t="s">
        <v>3630</v>
      </c>
      <c r="D2793" t="s">
        <v>3631</v>
      </c>
      <c r="E2793">
        <v>542</v>
      </c>
      <c r="F2793">
        <v>221.44</v>
      </c>
    </row>
    <row r="2794" spans="1:6">
      <c r="A2794" s="143">
        <v>11988</v>
      </c>
      <c r="B2794" t="s">
        <v>3149</v>
      </c>
      <c r="C2794" t="s">
        <v>3565</v>
      </c>
      <c r="D2794" t="s">
        <v>3632</v>
      </c>
      <c r="E2794">
        <v>542</v>
      </c>
      <c r="F2794">
        <v>427.66</v>
      </c>
    </row>
    <row r="2795" spans="1:6">
      <c r="A2795" s="143">
        <v>11007</v>
      </c>
      <c r="B2795" t="s">
        <v>3482</v>
      </c>
      <c r="C2795" t="s">
        <v>3483</v>
      </c>
      <c r="D2795" t="s">
        <v>3633</v>
      </c>
      <c r="E2795">
        <v>546</v>
      </c>
      <c r="F2795" s="767">
        <v>2691.58</v>
      </c>
    </row>
    <row r="2796" spans="1:6">
      <c r="A2796" s="143">
        <v>11370</v>
      </c>
      <c r="B2796" t="s">
        <v>3394</v>
      </c>
      <c r="C2796" t="s">
        <v>3634</v>
      </c>
      <c r="D2796" t="s">
        <v>3635</v>
      </c>
      <c r="E2796">
        <v>546</v>
      </c>
      <c r="F2796">
        <v>674.51</v>
      </c>
    </row>
    <row r="2797" spans="1:6">
      <c r="A2797" s="143">
        <v>11439</v>
      </c>
      <c r="B2797" t="s">
        <v>1026</v>
      </c>
      <c r="C2797" t="s">
        <v>3492</v>
      </c>
      <c r="D2797" t="s">
        <v>3636</v>
      </c>
      <c r="E2797">
        <v>546</v>
      </c>
      <c r="F2797" s="767">
        <v>3165.14</v>
      </c>
    </row>
    <row r="2798" spans="1:6">
      <c r="A2798" s="143">
        <v>11485</v>
      </c>
      <c r="B2798" t="s">
        <v>3637</v>
      </c>
      <c r="C2798" t="s">
        <v>3638</v>
      </c>
      <c r="D2798" t="s">
        <v>3639</v>
      </c>
      <c r="E2798">
        <v>546</v>
      </c>
      <c r="F2798" s="767">
        <v>4722.8100000000004</v>
      </c>
    </row>
    <row r="2799" spans="1:6">
      <c r="A2799" s="143">
        <v>11606</v>
      </c>
      <c r="B2799" t="s">
        <v>3405</v>
      </c>
      <c r="C2799" t="s">
        <v>3500</v>
      </c>
      <c r="D2799" t="s">
        <v>3640</v>
      </c>
      <c r="E2799">
        <v>546</v>
      </c>
      <c r="F2799" s="767">
        <v>1126.52</v>
      </c>
    </row>
    <row r="2800" spans="1:6">
      <c r="A2800" s="143">
        <v>11870</v>
      </c>
      <c r="B2800" t="s">
        <v>3587</v>
      </c>
      <c r="C2800" t="s">
        <v>3588</v>
      </c>
      <c r="D2800" t="s">
        <v>3641</v>
      </c>
      <c r="E2800">
        <v>546</v>
      </c>
      <c r="F2800" s="767">
        <v>7829.29</v>
      </c>
    </row>
    <row r="2801" spans="1:6">
      <c r="A2801" s="143">
        <v>31031</v>
      </c>
      <c r="B2801" t="s">
        <v>3440</v>
      </c>
      <c r="C2801" t="s">
        <v>3526</v>
      </c>
      <c r="D2801" t="s">
        <v>3642</v>
      </c>
      <c r="E2801">
        <v>546</v>
      </c>
      <c r="F2801" s="767">
        <v>16837.32</v>
      </c>
    </row>
    <row r="2802" spans="1:6">
      <c r="A2802" s="143">
        <v>11946</v>
      </c>
      <c r="B2802" t="s">
        <v>3425</v>
      </c>
      <c r="C2802" t="s">
        <v>3515</v>
      </c>
      <c r="D2802" t="s">
        <v>3643</v>
      </c>
      <c r="E2802">
        <v>550</v>
      </c>
      <c r="F2802" s="767">
        <v>12097.84</v>
      </c>
    </row>
    <row r="2803" spans="1:6">
      <c r="A2803" s="143">
        <v>11953</v>
      </c>
      <c r="B2803" t="s">
        <v>3644</v>
      </c>
      <c r="C2803" t="s">
        <v>3645</v>
      </c>
      <c r="D2803" t="s">
        <v>3646</v>
      </c>
      <c r="E2803">
        <v>570</v>
      </c>
      <c r="F2803" s="767">
        <v>8618.7999999999993</v>
      </c>
    </row>
    <row r="2804" spans="1:6">
      <c r="A2804" s="143">
        <v>11173</v>
      </c>
      <c r="B2804" t="s">
        <v>3387</v>
      </c>
      <c r="C2804" t="s">
        <v>3487</v>
      </c>
      <c r="D2804" t="s">
        <v>3647</v>
      </c>
      <c r="E2804">
        <v>574</v>
      </c>
      <c r="F2804">
        <v>215.18</v>
      </c>
    </row>
    <row r="2805" spans="1:6">
      <c r="A2805" s="143">
        <v>11944</v>
      </c>
      <c r="B2805" t="s">
        <v>3424</v>
      </c>
      <c r="C2805" t="s">
        <v>3454</v>
      </c>
      <c r="D2805" t="s">
        <v>3648</v>
      </c>
      <c r="E2805">
        <v>574</v>
      </c>
      <c r="F2805" s="767">
        <v>2028.38</v>
      </c>
    </row>
    <row r="2806" spans="1:6">
      <c r="A2806" s="143">
        <v>11953</v>
      </c>
      <c r="B2806" t="s">
        <v>3644</v>
      </c>
      <c r="C2806" t="s">
        <v>3645</v>
      </c>
      <c r="D2806" t="s">
        <v>3649</v>
      </c>
      <c r="E2806">
        <v>574</v>
      </c>
      <c r="F2806">
        <v>270.44</v>
      </c>
    </row>
    <row r="2807" spans="1:6">
      <c r="A2807" s="143">
        <v>11968</v>
      </c>
      <c r="B2807" t="s">
        <v>2988</v>
      </c>
      <c r="C2807" t="s">
        <v>3621</v>
      </c>
      <c r="D2807" t="s">
        <v>3650</v>
      </c>
      <c r="E2807">
        <v>574</v>
      </c>
      <c r="F2807" s="767">
        <v>5333.44</v>
      </c>
    </row>
    <row r="2808" spans="1:6">
      <c r="A2808" s="143">
        <v>11988</v>
      </c>
      <c r="B2808" t="s">
        <v>3149</v>
      </c>
      <c r="C2808" t="s">
        <v>3565</v>
      </c>
      <c r="D2808" t="s">
        <v>3651</v>
      </c>
      <c r="E2808">
        <v>574</v>
      </c>
      <c r="F2808">
        <v>643.35</v>
      </c>
    </row>
    <row r="2809" spans="1:6">
      <c r="A2809" s="143">
        <v>11812</v>
      </c>
      <c r="B2809" t="s">
        <v>3416</v>
      </c>
      <c r="C2809" t="s">
        <v>3616</v>
      </c>
      <c r="D2809" t="s">
        <v>3652</v>
      </c>
      <c r="E2809">
        <v>575</v>
      </c>
      <c r="F2809" s="767">
        <v>1906.38</v>
      </c>
    </row>
    <row r="2810" spans="1:6">
      <c r="A2810" s="143">
        <v>11821</v>
      </c>
      <c r="B2810" t="s">
        <v>2095</v>
      </c>
      <c r="C2810" t="s">
        <v>3563</v>
      </c>
      <c r="D2810" t="s">
        <v>3653</v>
      </c>
      <c r="E2810">
        <v>575</v>
      </c>
      <c r="F2810">
        <v>822.54</v>
      </c>
    </row>
    <row r="2811" spans="1:6">
      <c r="A2811" s="143">
        <v>11822</v>
      </c>
      <c r="B2811" t="s">
        <v>3419</v>
      </c>
      <c r="C2811" t="s">
        <v>3510</v>
      </c>
      <c r="D2811" t="s">
        <v>3654</v>
      </c>
      <c r="E2811">
        <v>575</v>
      </c>
      <c r="F2811">
        <v>355.21</v>
      </c>
    </row>
    <row r="2812" spans="1:6">
      <c r="A2812" s="143">
        <v>31031</v>
      </c>
      <c r="B2812" t="s">
        <v>3440</v>
      </c>
      <c r="C2812" t="s">
        <v>3526</v>
      </c>
      <c r="D2812" t="s">
        <v>3655</v>
      </c>
      <c r="E2812">
        <v>576</v>
      </c>
      <c r="F2812" s="767">
        <v>17196.8</v>
      </c>
    </row>
    <row r="2813" spans="1:6">
      <c r="A2813" s="143">
        <v>11007</v>
      </c>
      <c r="B2813" t="s">
        <v>3482</v>
      </c>
      <c r="C2813" t="s">
        <v>3483</v>
      </c>
      <c r="D2813" t="s">
        <v>3656</v>
      </c>
      <c r="E2813">
        <v>577</v>
      </c>
      <c r="F2813" s="767">
        <v>3079.46</v>
      </c>
    </row>
    <row r="2814" spans="1:6">
      <c r="A2814" s="143">
        <v>11988</v>
      </c>
      <c r="B2814" t="s">
        <v>3149</v>
      </c>
      <c r="C2814" t="s">
        <v>3565</v>
      </c>
      <c r="D2814" t="s">
        <v>3657</v>
      </c>
      <c r="E2814">
        <v>599</v>
      </c>
      <c r="F2814" s="767">
        <v>1290.42</v>
      </c>
    </row>
    <row r="2815" spans="1:6">
      <c r="A2815" s="143">
        <v>31027</v>
      </c>
      <c r="B2815" t="s">
        <v>1037</v>
      </c>
      <c r="C2815" t="s">
        <v>3498</v>
      </c>
      <c r="D2815" t="s">
        <v>3658</v>
      </c>
      <c r="E2815">
        <v>599</v>
      </c>
      <c r="F2815" s="767">
        <v>1530.94</v>
      </c>
    </row>
    <row r="2816" spans="1:6">
      <c r="A2816" s="143">
        <v>11604</v>
      </c>
      <c r="B2816" t="s">
        <v>3497</v>
      </c>
      <c r="C2816" t="s">
        <v>3498</v>
      </c>
      <c r="D2816" t="s">
        <v>3659</v>
      </c>
      <c r="E2816">
        <v>604</v>
      </c>
      <c r="F2816" s="767">
        <v>4932.1899999999996</v>
      </c>
    </row>
    <row r="2817" spans="1:6">
      <c r="A2817" s="143">
        <v>21017</v>
      </c>
      <c r="B2817" t="s">
        <v>3434</v>
      </c>
      <c r="C2817" t="s">
        <v>3660</v>
      </c>
      <c r="D2817" t="s">
        <v>3661</v>
      </c>
      <c r="E2817">
        <v>604</v>
      </c>
      <c r="F2817" s="767">
        <v>73926.44</v>
      </c>
    </row>
    <row r="2818" spans="1:6">
      <c r="A2818" s="143">
        <v>31031</v>
      </c>
      <c r="B2818" t="s">
        <v>3440</v>
      </c>
      <c r="C2818" t="s">
        <v>3526</v>
      </c>
      <c r="D2818" t="s">
        <v>3662</v>
      </c>
      <c r="E2818">
        <v>604</v>
      </c>
      <c r="F2818" s="767">
        <v>16477.830000000002</v>
      </c>
    </row>
    <row r="2819" spans="1:6">
      <c r="A2819" s="143">
        <v>11812</v>
      </c>
      <c r="B2819" t="s">
        <v>3416</v>
      </c>
      <c r="C2819" t="s">
        <v>3616</v>
      </c>
      <c r="D2819" t="s">
        <v>3663</v>
      </c>
      <c r="E2819">
        <v>605</v>
      </c>
      <c r="F2819" s="767">
        <v>2014.23</v>
      </c>
    </row>
    <row r="2820" spans="1:6">
      <c r="A2820" s="143">
        <v>11944</v>
      </c>
      <c r="B2820" t="s">
        <v>3424</v>
      </c>
      <c r="C2820" t="s">
        <v>3454</v>
      </c>
      <c r="D2820" t="s">
        <v>3664</v>
      </c>
      <c r="E2820">
        <v>605</v>
      </c>
      <c r="F2820" s="767">
        <v>2028.38</v>
      </c>
    </row>
    <row r="2821" spans="1:6">
      <c r="A2821" s="143">
        <v>11007</v>
      </c>
      <c r="B2821" t="s">
        <v>3482</v>
      </c>
      <c r="C2821" t="s">
        <v>3483</v>
      </c>
      <c r="D2821" t="s">
        <v>3665</v>
      </c>
      <c r="E2821">
        <v>606</v>
      </c>
      <c r="F2821" s="767">
        <v>3614.01</v>
      </c>
    </row>
    <row r="2822" spans="1:6">
      <c r="A2822" s="143">
        <v>11721</v>
      </c>
      <c r="B2822" t="s">
        <v>3433</v>
      </c>
      <c r="C2822" t="s">
        <v>3477</v>
      </c>
      <c r="D2822" t="s">
        <v>3666</v>
      </c>
      <c r="E2822">
        <v>623</v>
      </c>
      <c r="F2822" s="767">
        <v>3866.66</v>
      </c>
    </row>
    <row r="2823" spans="1:6">
      <c r="A2823" s="143">
        <v>11604</v>
      </c>
      <c r="B2823" t="s">
        <v>3497</v>
      </c>
      <c r="C2823" t="s">
        <v>3498</v>
      </c>
      <c r="D2823" t="s">
        <v>3667</v>
      </c>
      <c r="E2823">
        <v>626</v>
      </c>
      <c r="F2823" s="767">
        <v>4680.5600000000004</v>
      </c>
    </row>
    <row r="2824" spans="1:6">
      <c r="A2824" s="143">
        <v>11946</v>
      </c>
      <c r="B2824" t="s">
        <v>3425</v>
      </c>
      <c r="C2824" t="s">
        <v>3515</v>
      </c>
      <c r="D2824" t="s">
        <v>3668</v>
      </c>
      <c r="E2824">
        <v>626</v>
      </c>
      <c r="F2824" s="767">
        <v>12277.58</v>
      </c>
    </row>
    <row r="2825" spans="1:6">
      <c r="A2825" s="143">
        <v>11987</v>
      </c>
      <c r="B2825" t="s">
        <v>3428</v>
      </c>
      <c r="C2825" t="s">
        <v>3669</v>
      </c>
      <c r="D2825" t="s">
        <v>3670</v>
      </c>
      <c r="E2825">
        <v>630</v>
      </c>
      <c r="F2825" s="767">
        <v>19268.34</v>
      </c>
    </row>
    <row r="2826" spans="1:6">
      <c r="A2826" s="143">
        <v>11812</v>
      </c>
      <c r="B2826" t="s">
        <v>3416</v>
      </c>
      <c r="C2826" t="s">
        <v>3616</v>
      </c>
      <c r="D2826" t="s">
        <v>3671</v>
      </c>
      <c r="E2826">
        <v>632</v>
      </c>
      <c r="F2826">
        <v>574.05999999999995</v>
      </c>
    </row>
    <row r="2827" spans="1:6">
      <c r="A2827" s="143">
        <v>21017</v>
      </c>
      <c r="B2827" t="s">
        <v>3434</v>
      </c>
      <c r="C2827" t="s">
        <v>3660</v>
      </c>
      <c r="D2827" t="s">
        <v>3672</v>
      </c>
      <c r="E2827">
        <v>632</v>
      </c>
      <c r="F2827" s="767">
        <v>75040.5</v>
      </c>
    </row>
    <row r="2828" spans="1:6">
      <c r="A2828" s="143">
        <v>11089</v>
      </c>
      <c r="B2828" t="s">
        <v>3383</v>
      </c>
      <c r="C2828" t="s">
        <v>3468</v>
      </c>
      <c r="D2828" t="s">
        <v>3673</v>
      </c>
      <c r="E2828">
        <v>633</v>
      </c>
      <c r="F2828" s="767">
        <v>1121.48</v>
      </c>
    </row>
    <row r="2829" spans="1:6">
      <c r="A2829" s="143">
        <v>11669</v>
      </c>
      <c r="B2829" t="s">
        <v>1144</v>
      </c>
      <c r="C2829" t="s">
        <v>3674</v>
      </c>
      <c r="D2829" t="s">
        <v>3675</v>
      </c>
      <c r="E2829">
        <v>633</v>
      </c>
      <c r="F2829" s="767">
        <v>1397.33</v>
      </c>
    </row>
    <row r="2830" spans="1:6">
      <c r="A2830" s="143">
        <v>11963</v>
      </c>
      <c r="B2830" t="s">
        <v>3427</v>
      </c>
      <c r="C2830" t="s">
        <v>3516</v>
      </c>
      <c r="D2830" t="s">
        <v>3676</v>
      </c>
      <c r="E2830">
        <v>637</v>
      </c>
      <c r="F2830" s="767">
        <v>1311.72</v>
      </c>
    </row>
    <row r="2831" spans="1:6">
      <c r="A2831" s="143">
        <v>11944</v>
      </c>
      <c r="B2831" t="s">
        <v>3424</v>
      </c>
      <c r="C2831" t="s">
        <v>3454</v>
      </c>
      <c r="D2831" t="s">
        <v>3677</v>
      </c>
      <c r="E2831">
        <v>638</v>
      </c>
      <c r="F2831" s="767">
        <v>2028.38</v>
      </c>
    </row>
    <row r="2832" spans="1:6">
      <c r="A2832" s="143">
        <v>31031</v>
      </c>
      <c r="B2832" t="s">
        <v>3440</v>
      </c>
      <c r="C2832" t="s">
        <v>3526</v>
      </c>
      <c r="D2832" t="s">
        <v>3678</v>
      </c>
      <c r="E2832">
        <v>638</v>
      </c>
      <c r="F2832" s="767">
        <v>16226.19</v>
      </c>
    </row>
    <row r="2833" spans="1:6">
      <c r="A2833" s="143">
        <v>11573</v>
      </c>
      <c r="B2833" t="s">
        <v>3432</v>
      </c>
      <c r="C2833" t="s">
        <v>3476</v>
      </c>
      <c r="D2833" t="s">
        <v>3679</v>
      </c>
      <c r="E2833">
        <v>641</v>
      </c>
      <c r="F2833" s="767">
        <v>3866.66</v>
      </c>
    </row>
    <row r="2834" spans="1:6">
      <c r="A2834" s="143">
        <v>11573</v>
      </c>
      <c r="B2834" t="s">
        <v>3432</v>
      </c>
      <c r="C2834" t="s">
        <v>3476</v>
      </c>
      <c r="D2834" t="s">
        <v>3680</v>
      </c>
      <c r="E2834">
        <v>645</v>
      </c>
      <c r="F2834" s="767">
        <v>17713.900000000001</v>
      </c>
    </row>
    <row r="2835" spans="1:6">
      <c r="A2835" s="143">
        <v>11987</v>
      </c>
      <c r="B2835" t="s">
        <v>3428</v>
      </c>
      <c r="C2835" t="s">
        <v>3669</v>
      </c>
      <c r="D2835" t="s">
        <v>3681</v>
      </c>
      <c r="E2835">
        <v>661</v>
      </c>
      <c r="F2835" s="767">
        <v>19268.34</v>
      </c>
    </row>
    <row r="2836" spans="1:6">
      <c r="A2836" s="143">
        <v>11988</v>
      </c>
      <c r="B2836" t="s">
        <v>3149</v>
      </c>
      <c r="C2836" t="s">
        <v>3565</v>
      </c>
      <c r="D2836" t="s">
        <v>3682</v>
      </c>
      <c r="E2836">
        <v>661</v>
      </c>
      <c r="F2836">
        <v>247.92</v>
      </c>
    </row>
    <row r="2837" spans="1:6">
      <c r="A2837" s="143">
        <v>11089</v>
      </c>
      <c r="B2837" t="s">
        <v>3383</v>
      </c>
      <c r="C2837" t="s">
        <v>3468</v>
      </c>
      <c r="D2837" t="s">
        <v>3683</v>
      </c>
      <c r="E2837">
        <v>667</v>
      </c>
      <c r="F2837" s="767">
        <v>1624.75</v>
      </c>
    </row>
    <row r="2838" spans="1:6">
      <c r="A2838" s="143">
        <v>11836</v>
      </c>
      <c r="B2838" t="s">
        <v>2883</v>
      </c>
      <c r="C2838" t="s">
        <v>3512</v>
      </c>
      <c r="D2838" t="s">
        <v>3684</v>
      </c>
      <c r="E2838">
        <v>667</v>
      </c>
      <c r="F2838">
        <v>503.28</v>
      </c>
    </row>
    <row r="2839" spans="1:6">
      <c r="A2839" s="143">
        <v>11944</v>
      </c>
      <c r="B2839" t="s">
        <v>3424</v>
      </c>
      <c r="C2839" t="s">
        <v>3454</v>
      </c>
      <c r="D2839" t="s">
        <v>3685</v>
      </c>
      <c r="E2839">
        <v>667</v>
      </c>
      <c r="F2839" s="767">
        <v>2028.38</v>
      </c>
    </row>
    <row r="2840" spans="1:6">
      <c r="A2840" s="143">
        <v>11007</v>
      </c>
      <c r="B2840" t="s">
        <v>3482</v>
      </c>
      <c r="C2840" t="s">
        <v>3483</v>
      </c>
      <c r="D2840" t="s">
        <v>3686</v>
      </c>
      <c r="E2840">
        <v>668</v>
      </c>
      <c r="F2840" s="767">
        <v>4203.57</v>
      </c>
    </row>
    <row r="2841" spans="1:6">
      <c r="A2841" s="143">
        <v>31031</v>
      </c>
      <c r="B2841" t="s">
        <v>3440</v>
      </c>
      <c r="C2841" t="s">
        <v>3526</v>
      </c>
      <c r="D2841" t="s">
        <v>3687</v>
      </c>
      <c r="E2841">
        <v>668</v>
      </c>
      <c r="F2841" s="767">
        <v>14815.54</v>
      </c>
    </row>
    <row r="2842" spans="1:6">
      <c r="A2842" s="143">
        <v>31017</v>
      </c>
      <c r="B2842" t="s">
        <v>3438</v>
      </c>
      <c r="C2842" t="s">
        <v>3450</v>
      </c>
      <c r="D2842" t="s">
        <v>3688</v>
      </c>
      <c r="E2842">
        <v>672</v>
      </c>
      <c r="F2842" s="767">
        <v>2505.23</v>
      </c>
    </row>
    <row r="2843" spans="1:6">
      <c r="A2843" s="143">
        <v>11987</v>
      </c>
      <c r="B2843" t="s">
        <v>3428</v>
      </c>
      <c r="C2843" t="s">
        <v>3669</v>
      </c>
      <c r="D2843" t="s">
        <v>3689</v>
      </c>
      <c r="E2843">
        <v>686</v>
      </c>
      <c r="F2843" s="767">
        <v>19268.34</v>
      </c>
    </row>
    <row r="2844" spans="1:6">
      <c r="A2844" s="143">
        <v>11944</v>
      </c>
      <c r="B2844" t="s">
        <v>3424</v>
      </c>
      <c r="C2844" t="s">
        <v>3454</v>
      </c>
      <c r="D2844" t="s">
        <v>3690</v>
      </c>
      <c r="E2844">
        <v>696</v>
      </c>
      <c r="F2844" s="767">
        <v>2028.38</v>
      </c>
    </row>
    <row r="2845" spans="1:6">
      <c r="A2845" s="143">
        <v>31031</v>
      </c>
      <c r="B2845" t="s">
        <v>3440</v>
      </c>
      <c r="C2845" t="s">
        <v>3526</v>
      </c>
      <c r="D2845" t="s">
        <v>3691</v>
      </c>
      <c r="E2845">
        <v>696</v>
      </c>
      <c r="F2845" s="767">
        <v>14779.59</v>
      </c>
    </row>
    <row r="2846" spans="1:6">
      <c r="A2846" s="143">
        <v>11944</v>
      </c>
      <c r="B2846" t="s">
        <v>3424</v>
      </c>
      <c r="C2846" t="s">
        <v>3454</v>
      </c>
      <c r="D2846" t="s">
        <v>3692</v>
      </c>
      <c r="E2846">
        <v>724</v>
      </c>
      <c r="F2846" s="767">
        <v>2028.38</v>
      </c>
    </row>
    <row r="2847" spans="1:6">
      <c r="A2847" s="143">
        <v>31031</v>
      </c>
      <c r="B2847" t="s">
        <v>3440</v>
      </c>
      <c r="C2847" t="s">
        <v>3526</v>
      </c>
      <c r="D2847" t="s">
        <v>3693</v>
      </c>
      <c r="E2847">
        <v>724</v>
      </c>
      <c r="F2847" s="767">
        <v>14671.75</v>
      </c>
    </row>
    <row r="2848" spans="1:6">
      <c r="A2848" s="143">
        <v>11669</v>
      </c>
      <c r="B2848" t="s">
        <v>1144</v>
      </c>
      <c r="C2848" t="s">
        <v>3674</v>
      </c>
      <c r="D2848" t="s">
        <v>3694</v>
      </c>
      <c r="E2848">
        <v>746</v>
      </c>
      <c r="F2848" s="767">
        <v>1397.33</v>
      </c>
    </row>
    <row r="2849" spans="1:6">
      <c r="A2849" s="143">
        <v>11669</v>
      </c>
      <c r="B2849" t="s">
        <v>1144</v>
      </c>
      <c r="C2849" t="s">
        <v>3674</v>
      </c>
      <c r="D2849" t="s">
        <v>3695</v>
      </c>
      <c r="E2849">
        <v>746</v>
      </c>
      <c r="F2849" s="767">
        <v>1397.33</v>
      </c>
    </row>
    <row r="2850" spans="1:6">
      <c r="A2850" s="143">
        <v>31031</v>
      </c>
      <c r="B2850" t="s">
        <v>3440</v>
      </c>
      <c r="C2850" t="s">
        <v>3526</v>
      </c>
      <c r="D2850" t="s">
        <v>3696</v>
      </c>
      <c r="E2850">
        <v>752</v>
      </c>
      <c r="F2850" s="767">
        <v>14815.54</v>
      </c>
    </row>
    <row r="2851" spans="1:6">
      <c r="A2851" s="143">
        <v>11295</v>
      </c>
      <c r="B2851" t="s">
        <v>3389</v>
      </c>
      <c r="C2851" t="s">
        <v>3534</v>
      </c>
      <c r="D2851" t="s">
        <v>3697</v>
      </c>
      <c r="E2851">
        <v>753</v>
      </c>
      <c r="F2851" s="767">
        <v>4720.46</v>
      </c>
    </row>
    <row r="2852" spans="1:6">
      <c r="A2852" s="143">
        <v>11295</v>
      </c>
      <c r="B2852" t="s">
        <v>3389</v>
      </c>
      <c r="C2852" t="s">
        <v>3534</v>
      </c>
      <c r="D2852" t="s">
        <v>3698</v>
      </c>
      <c r="E2852">
        <v>753</v>
      </c>
      <c r="F2852" s="767">
        <v>5077.49</v>
      </c>
    </row>
    <row r="2853" spans="1:6">
      <c r="A2853" s="143">
        <v>11604</v>
      </c>
      <c r="B2853" t="s">
        <v>3497</v>
      </c>
      <c r="C2853" t="s">
        <v>3498</v>
      </c>
      <c r="D2853" t="s">
        <v>3699</v>
      </c>
      <c r="E2853">
        <v>753</v>
      </c>
      <c r="F2853" s="767">
        <v>5723.06</v>
      </c>
    </row>
    <row r="2854" spans="1:6">
      <c r="A2854" s="143">
        <v>11944</v>
      </c>
      <c r="B2854" t="s">
        <v>3424</v>
      </c>
      <c r="C2854" t="s">
        <v>3454</v>
      </c>
      <c r="D2854" t="s">
        <v>3700</v>
      </c>
      <c r="E2854">
        <v>757</v>
      </c>
      <c r="F2854" s="767">
        <v>2028.38</v>
      </c>
    </row>
    <row r="2855" spans="1:6">
      <c r="A2855" s="143">
        <v>11002</v>
      </c>
      <c r="B2855" t="s">
        <v>1127</v>
      </c>
      <c r="C2855" t="s">
        <v>3528</v>
      </c>
      <c r="D2855" t="s">
        <v>3701</v>
      </c>
      <c r="E2855">
        <v>759</v>
      </c>
      <c r="F2855" s="767">
        <v>10892.37</v>
      </c>
    </row>
    <row r="2856" spans="1:6">
      <c r="A2856" s="143">
        <v>11626</v>
      </c>
      <c r="B2856" t="s">
        <v>3469</v>
      </c>
      <c r="C2856" t="s">
        <v>3470</v>
      </c>
      <c r="D2856" t="s">
        <v>3702</v>
      </c>
      <c r="E2856">
        <v>770</v>
      </c>
      <c r="F2856" s="767">
        <v>2539.5500000000002</v>
      </c>
    </row>
    <row r="2857" spans="1:6">
      <c r="A2857" s="143">
        <v>11524</v>
      </c>
      <c r="B2857" t="s">
        <v>3703</v>
      </c>
      <c r="C2857" t="s">
        <v>3704</v>
      </c>
      <c r="D2857" t="s">
        <v>3705</v>
      </c>
      <c r="E2857">
        <v>786</v>
      </c>
      <c r="F2857" s="767">
        <v>1186.3</v>
      </c>
    </row>
    <row r="2858" spans="1:6">
      <c r="A2858" s="143">
        <v>11604</v>
      </c>
      <c r="B2858" t="s">
        <v>3497</v>
      </c>
      <c r="C2858" t="s">
        <v>3498</v>
      </c>
      <c r="D2858" t="s">
        <v>3706</v>
      </c>
      <c r="E2858">
        <v>786</v>
      </c>
      <c r="F2858" s="767">
        <v>1659.61</v>
      </c>
    </row>
    <row r="2859" spans="1:6">
      <c r="A2859" s="143">
        <v>11604</v>
      </c>
      <c r="B2859" t="s">
        <v>3497</v>
      </c>
      <c r="C2859" t="s">
        <v>3498</v>
      </c>
      <c r="D2859" t="s">
        <v>3707</v>
      </c>
      <c r="E2859">
        <v>786</v>
      </c>
      <c r="F2859" s="767">
        <v>5794.96</v>
      </c>
    </row>
    <row r="2860" spans="1:6">
      <c r="A2860" s="143">
        <v>11605</v>
      </c>
      <c r="B2860" t="s">
        <v>6752</v>
      </c>
      <c r="C2860" t="s">
        <v>3542</v>
      </c>
      <c r="D2860" t="s">
        <v>3708</v>
      </c>
      <c r="E2860">
        <v>786</v>
      </c>
      <c r="F2860">
        <v>939.54</v>
      </c>
    </row>
    <row r="2861" spans="1:6">
      <c r="A2861" s="143">
        <v>11944</v>
      </c>
      <c r="B2861" t="s">
        <v>3424</v>
      </c>
      <c r="C2861" t="s">
        <v>3454</v>
      </c>
      <c r="D2861" t="s">
        <v>3710</v>
      </c>
      <c r="E2861">
        <v>787</v>
      </c>
      <c r="F2861" s="767">
        <v>2028.38</v>
      </c>
    </row>
    <row r="2862" spans="1:6">
      <c r="A2862" s="143">
        <v>31031</v>
      </c>
      <c r="B2862" t="s">
        <v>3440</v>
      </c>
      <c r="C2862" t="s">
        <v>3526</v>
      </c>
      <c r="D2862" t="s">
        <v>3711</v>
      </c>
      <c r="E2862">
        <v>787</v>
      </c>
      <c r="F2862" s="767">
        <v>14707.7</v>
      </c>
    </row>
    <row r="2863" spans="1:6">
      <c r="A2863" s="143">
        <v>11784</v>
      </c>
      <c r="B2863" t="s">
        <v>2169</v>
      </c>
      <c r="C2863" t="s">
        <v>3712</v>
      </c>
      <c r="D2863" t="s">
        <v>3713</v>
      </c>
      <c r="E2863">
        <v>788</v>
      </c>
      <c r="F2863" s="767">
        <v>3838.26</v>
      </c>
    </row>
    <row r="2864" spans="1:6">
      <c r="A2864" s="143">
        <v>51019</v>
      </c>
      <c r="B2864" t="s">
        <v>3441</v>
      </c>
      <c r="C2864" t="s">
        <v>3712</v>
      </c>
      <c r="D2864" t="s">
        <v>3714</v>
      </c>
      <c r="E2864">
        <v>788</v>
      </c>
      <c r="F2864">
        <v>530.35</v>
      </c>
    </row>
    <row r="2865" spans="1:6">
      <c r="A2865" s="143">
        <v>11496</v>
      </c>
      <c r="B2865" t="s">
        <v>3596</v>
      </c>
      <c r="C2865" t="s">
        <v>3597</v>
      </c>
      <c r="D2865" t="s">
        <v>3715</v>
      </c>
      <c r="E2865">
        <v>807</v>
      </c>
      <c r="F2865" s="767">
        <v>1909.43</v>
      </c>
    </row>
    <row r="2866" spans="1:6">
      <c r="A2866" s="143">
        <v>11818</v>
      </c>
      <c r="B2866" t="s">
        <v>2094</v>
      </c>
      <c r="C2866" t="s">
        <v>3509</v>
      </c>
      <c r="D2866" t="s">
        <v>3716</v>
      </c>
      <c r="E2866">
        <v>808</v>
      </c>
      <c r="F2866">
        <v>333.23</v>
      </c>
    </row>
    <row r="2867" spans="1:6">
      <c r="A2867" s="143">
        <v>11604</v>
      </c>
      <c r="B2867" t="s">
        <v>3497</v>
      </c>
      <c r="C2867" t="s">
        <v>3498</v>
      </c>
      <c r="D2867" t="s">
        <v>3717</v>
      </c>
      <c r="E2867">
        <v>809</v>
      </c>
      <c r="F2867" s="767">
        <v>4896.25</v>
      </c>
    </row>
    <row r="2868" spans="1:6">
      <c r="A2868" s="143">
        <v>11370</v>
      </c>
      <c r="B2868" t="s">
        <v>3394</v>
      </c>
      <c r="C2868" t="s">
        <v>3634</v>
      </c>
      <c r="D2868" t="s">
        <v>3718</v>
      </c>
      <c r="E2868">
        <v>812</v>
      </c>
      <c r="F2868">
        <v>435.44</v>
      </c>
    </row>
    <row r="2869" spans="1:6">
      <c r="A2869" s="143">
        <v>11524</v>
      </c>
      <c r="B2869" t="s">
        <v>3703</v>
      </c>
      <c r="C2869" t="s">
        <v>3704</v>
      </c>
      <c r="D2869" t="s">
        <v>3719</v>
      </c>
      <c r="E2869">
        <v>812</v>
      </c>
      <c r="F2869" s="767">
        <v>1509.83</v>
      </c>
    </row>
    <row r="2870" spans="1:6">
      <c r="A2870" s="143">
        <v>31027</v>
      </c>
      <c r="B2870" t="s">
        <v>1037</v>
      </c>
      <c r="C2870" t="s">
        <v>3498</v>
      </c>
      <c r="D2870" t="s">
        <v>3720</v>
      </c>
      <c r="E2870">
        <v>812</v>
      </c>
      <c r="F2870" s="767">
        <v>1530.94</v>
      </c>
    </row>
    <row r="2871" spans="1:6">
      <c r="A2871" s="143">
        <v>31031</v>
      </c>
      <c r="B2871" t="s">
        <v>3440</v>
      </c>
      <c r="C2871" t="s">
        <v>3526</v>
      </c>
      <c r="D2871" t="s">
        <v>3721</v>
      </c>
      <c r="E2871">
        <v>812</v>
      </c>
      <c r="F2871" s="767">
        <v>14420.11</v>
      </c>
    </row>
    <row r="2872" spans="1:6">
      <c r="A2872" s="143">
        <v>11669</v>
      </c>
      <c r="B2872" t="s">
        <v>1144</v>
      </c>
      <c r="C2872" t="s">
        <v>3674</v>
      </c>
      <c r="D2872" t="s">
        <v>3722</v>
      </c>
      <c r="E2872">
        <v>813</v>
      </c>
      <c r="F2872" s="767">
        <v>1505.18</v>
      </c>
    </row>
    <row r="2873" spans="1:6">
      <c r="A2873" s="143">
        <v>11699</v>
      </c>
      <c r="B2873" t="s">
        <v>3408</v>
      </c>
      <c r="C2873" t="s">
        <v>3502</v>
      </c>
      <c r="D2873" t="s">
        <v>3723</v>
      </c>
      <c r="E2873">
        <v>813</v>
      </c>
      <c r="F2873">
        <v>181.67</v>
      </c>
    </row>
    <row r="2874" spans="1:6">
      <c r="A2874" s="143">
        <v>11944</v>
      </c>
      <c r="B2874" t="s">
        <v>3424</v>
      </c>
      <c r="C2874" t="s">
        <v>3454</v>
      </c>
      <c r="D2874" t="s">
        <v>3724</v>
      </c>
      <c r="E2874">
        <v>813</v>
      </c>
      <c r="F2874" s="767">
        <v>2028.38</v>
      </c>
    </row>
    <row r="2875" spans="1:6">
      <c r="A2875" s="143">
        <v>21017</v>
      </c>
      <c r="B2875" t="s">
        <v>3434</v>
      </c>
      <c r="C2875" t="s">
        <v>3660</v>
      </c>
      <c r="D2875" t="s">
        <v>3725</v>
      </c>
      <c r="E2875">
        <v>821</v>
      </c>
      <c r="F2875" s="767">
        <v>34250.800000000003</v>
      </c>
    </row>
    <row r="2876" spans="1:6">
      <c r="A2876" s="143">
        <v>11370</v>
      </c>
      <c r="B2876" t="s">
        <v>3394</v>
      </c>
      <c r="C2876" t="s">
        <v>3634</v>
      </c>
      <c r="D2876" t="s">
        <v>3726</v>
      </c>
      <c r="E2876">
        <v>836</v>
      </c>
      <c r="F2876">
        <v>585.41</v>
      </c>
    </row>
    <row r="2877" spans="1:6">
      <c r="A2877" s="143">
        <v>11604</v>
      </c>
      <c r="B2877" t="s">
        <v>3497</v>
      </c>
      <c r="C2877" t="s">
        <v>3498</v>
      </c>
      <c r="D2877" t="s">
        <v>3727</v>
      </c>
      <c r="E2877">
        <v>836</v>
      </c>
      <c r="F2877" s="767">
        <v>4881.3100000000004</v>
      </c>
    </row>
    <row r="2878" spans="1:6">
      <c r="A2878" s="143">
        <v>11699</v>
      </c>
      <c r="B2878" t="s">
        <v>3408</v>
      </c>
      <c r="C2878" t="s">
        <v>3502</v>
      </c>
      <c r="D2878" t="s">
        <v>3728</v>
      </c>
      <c r="E2878">
        <v>840</v>
      </c>
      <c r="F2878">
        <v>251.34</v>
      </c>
    </row>
    <row r="2879" spans="1:6">
      <c r="A2879" s="143">
        <v>11944</v>
      </c>
      <c r="B2879" t="s">
        <v>3424</v>
      </c>
      <c r="C2879" t="s">
        <v>3454</v>
      </c>
      <c r="D2879" t="s">
        <v>3729</v>
      </c>
      <c r="E2879">
        <v>840</v>
      </c>
      <c r="F2879" s="767">
        <v>1846.66</v>
      </c>
    </row>
    <row r="2880" spans="1:6">
      <c r="A2880" s="143">
        <v>11669</v>
      </c>
      <c r="B2880" t="s">
        <v>1144</v>
      </c>
      <c r="C2880" t="s">
        <v>3674</v>
      </c>
      <c r="D2880" t="s">
        <v>3730</v>
      </c>
      <c r="E2880">
        <v>841</v>
      </c>
      <c r="F2880" s="767">
        <v>1407.82</v>
      </c>
    </row>
    <row r="2881" spans="1:6">
      <c r="A2881" s="143">
        <v>11689</v>
      </c>
      <c r="B2881" t="s">
        <v>3407</v>
      </c>
      <c r="C2881" t="s">
        <v>3462</v>
      </c>
      <c r="D2881" t="s">
        <v>3731</v>
      </c>
      <c r="E2881">
        <v>841</v>
      </c>
      <c r="F2881" s="767">
        <v>16729.52</v>
      </c>
    </row>
    <row r="2882" spans="1:6">
      <c r="A2882" s="143">
        <v>31009</v>
      </c>
      <c r="B2882" t="s">
        <v>3382</v>
      </c>
      <c r="C2882" t="s">
        <v>3459</v>
      </c>
      <c r="D2882" t="s">
        <v>3732</v>
      </c>
      <c r="E2882">
        <v>842</v>
      </c>
      <c r="F2882" s="767">
        <v>1017.55</v>
      </c>
    </row>
    <row r="2883" spans="1:6">
      <c r="A2883" s="143">
        <v>31031</v>
      </c>
      <c r="B2883" t="s">
        <v>3440</v>
      </c>
      <c r="C2883" t="s">
        <v>3526</v>
      </c>
      <c r="D2883" t="s">
        <v>3733</v>
      </c>
      <c r="E2883">
        <v>842</v>
      </c>
      <c r="F2883" s="767">
        <v>9476.0300000000007</v>
      </c>
    </row>
    <row r="2884" spans="1:6">
      <c r="A2884" s="143">
        <v>11953</v>
      </c>
      <c r="B2884" t="s">
        <v>3644</v>
      </c>
      <c r="C2884" t="s">
        <v>3645</v>
      </c>
      <c r="D2884" t="s">
        <v>3734</v>
      </c>
      <c r="E2884">
        <v>843</v>
      </c>
      <c r="F2884">
        <v>491.94</v>
      </c>
    </row>
    <row r="2885" spans="1:6">
      <c r="A2885" s="143">
        <v>11953</v>
      </c>
      <c r="B2885" t="s">
        <v>3644</v>
      </c>
      <c r="C2885" t="s">
        <v>3645</v>
      </c>
      <c r="D2885" t="s">
        <v>3735</v>
      </c>
      <c r="E2885">
        <v>843</v>
      </c>
      <c r="F2885" s="767">
        <v>1025.93</v>
      </c>
    </row>
    <row r="2886" spans="1:6">
      <c r="A2886" s="143">
        <v>11002</v>
      </c>
      <c r="B2886" t="s">
        <v>1127</v>
      </c>
      <c r="C2886" t="s">
        <v>3528</v>
      </c>
      <c r="D2886" t="s">
        <v>3824</v>
      </c>
      <c r="E2886">
        <v>877</v>
      </c>
      <c r="F2886" s="767">
        <v>47597.58</v>
      </c>
    </row>
    <row r="2887" spans="1:6">
      <c r="A2887" s="143">
        <v>11002</v>
      </c>
      <c r="B2887" t="s">
        <v>1127</v>
      </c>
      <c r="C2887" t="s">
        <v>3528</v>
      </c>
      <c r="D2887" t="s">
        <v>3825</v>
      </c>
      <c r="E2887">
        <v>877</v>
      </c>
      <c r="F2887" s="767">
        <v>13567.36</v>
      </c>
    </row>
    <row r="2888" spans="1:6">
      <c r="A2888" s="143">
        <v>11053</v>
      </c>
      <c r="B2888" t="s">
        <v>3380</v>
      </c>
      <c r="C2888" t="s">
        <v>3485</v>
      </c>
      <c r="D2888" t="s">
        <v>3826</v>
      </c>
      <c r="E2888">
        <v>877</v>
      </c>
      <c r="F2888" s="767">
        <v>10000.25</v>
      </c>
    </row>
    <row r="2889" spans="1:6">
      <c r="A2889" s="143">
        <v>11075</v>
      </c>
      <c r="B2889" t="s">
        <v>3381</v>
      </c>
      <c r="C2889" t="s">
        <v>3486</v>
      </c>
      <c r="D2889" t="s">
        <v>3827</v>
      </c>
      <c r="E2889">
        <v>877</v>
      </c>
      <c r="F2889" s="767">
        <v>1313.19</v>
      </c>
    </row>
    <row r="2890" spans="1:6">
      <c r="A2890" s="143">
        <v>11100</v>
      </c>
      <c r="B2890" t="s">
        <v>3384</v>
      </c>
      <c r="C2890" t="s">
        <v>3828</v>
      </c>
      <c r="D2890" t="s">
        <v>3829</v>
      </c>
      <c r="E2890">
        <v>877</v>
      </c>
      <c r="F2890" s="767">
        <v>2104.65</v>
      </c>
    </row>
    <row r="2891" spans="1:6">
      <c r="A2891" s="143">
        <v>11100</v>
      </c>
      <c r="B2891" t="s">
        <v>3384</v>
      </c>
      <c r="C2891" t="s">
        <v>3828</v>
      </c>
      <c r="D2891" t="s">
        <v>3830</v>
      </c>
      <c r="E2891">
        <v>877</v>
      </c>
      <c r="F2891" s="767">
        <v>2965.57</v>
      </c>
    </row>
    <row r="2892" spans="1:6">
      <c r="A2892" s="143">
        <v>11100</v>
      </c>
      <c r="B2892" t="s">
        <v>3384</v>
      </c>
      <c r="C2892" t="s">
        <v>3828</v>
      </c>
      <c r="D2892" t="s">
        <v>3831</v>
      </c>
      <c r="E2892">
        <v>877</v>
      </c>
      <c r="F2892" s="767">
        <v>2287.31</v>
      </c>
    </row>
    <row r="2893" spans="1:6">
      <c r="A2893" s="143">
        <v>11100</v>
      </c>
      <c r="B2893" t="s">
        <v>3384</v>
      </c>
      <c r="C2893" t="s">
        <v>3828</v>
      </c>
      <c r="D2893" t="s">
        <v>3832</v>
      </c>
      <c r="E2893">
        <v>877</v>
      </c>
      <c r="F2893">
        <v>413.28</v>
      </c>
    </row>
    <row r="2894" spans="1:6">
      <c r="A2894" s="143">
        <v>11100</v>
      </c>
      <c r="B2894" t="s">
        <v>3384</v>
      </c>
      <c r="C2894" t="s">
        <v>3828</v>
      </c>
      <c r="D2894" t="s">
        <v>3833</v>
      </c>
      <c r="E2894">
        <v>877</v>
      </c>
      <c r="F2894" s="767">
        <v>5927.57</v>
      </c>
    </row>
    <row r="2895" spans="1:6">
      <c r="A2895" s="143">
        <v>11100</v>
      </c>
      <c r="B2895" t="s">
        <v>3384</v>
      </c>
      <c r="C2895" t="s">
        <v>3828</v>
      </c>
      <c r="D2895" t="s">
        <v>3834</v>
      </c>
      <c r="E2895">
        <v>877</v>
      </c>
      <c r="F2895" s="767">
        <v>2023.7</v>
      </c>
    </row>
    <row r="2896" spans="1:6">
      <c r="A2896" s="143">
        <v>11100</v>
      </c>
      <c r="B2896" t="s">
        <v>3384</v>
      </c>
      <c r="C2896" t="s">
        <v>3828</v>
      </c>
      <c r="D2896" t="s">
        <v>3835</v>
      </c>
      <c r="E2896">
        <v>877</v>
      </c>
      <c r="F2896" s="767">
        <v>2728.74</v>
      </c>
    </row>
    <row r="2897" spans="1:6">
      <c r="A2897" s="143">
        <v>11100</v>
      </c>
      <c r="B2897" t="s">
        <v>3384</v>
      </c>
      <c r="C2897" t="s">
        <v>3828</v>
      </c>
      <c r="D2897" t="s">
        <v>3836</v>
      </c>
      <c r="E2897">
        <v>877</v>
      </c>
      <c r="F2897" s="767">
        <v>5741.07</v>
      </c>
    </row>
    <row r="2898" spans="1:6">
      <c r="A2898" s="143">
        <v>11100</v>
      </c>
      <c r="B2898" t="s">
        <v>3384</v>
      </c>
      <c r="C2898" t="s">
        <v>3828</v>
      </c>
      <c r="D2898" t="s">
        <v>3837</v>
      </c>
      <c r="E2898">
        <v>877</v>
      </c>
      <c r="F2898" s="767">
        <v>2023.7</v>
      </c>
    </row>
    <row r="2899" spans="1:6">
      <c r="A2899" s="143">
        <v>11100</v>
      </c>
      <c r="B2899" t="s">
        <v>3384</v>
      </c>
      <c r="C2899" t="s">
        <v>3828</v>
      </c>
      <c r="D2899" t="s">
        <v>3838</v>
      </c>
      <c r="E2899">
        <v>877</v>
      </c>
      <c r="F2899" s="767">
        <v>2728.74</v>
      </c>
    </row>
    <row r="2900" spans="1:6">
      <c r="A2900" s="143">
        <v>11100</v>
      </c>
      <c r="B2900" t="s">
        <v>3384</v>
      </c>
      <c r="C2900" t="s">
        <v>3828</v>
      </c>
      <c r="D2900" t="s">
        <v>3839</v>
      </c>
      <c r="E2900">
        <v>877</v>
      </c>
      <c r="F2900" s="767">
        <v>5592.42</v>
      </c>
    </row>
    <row r="2901" spans="1:6">
      <c r="A2901" s="143">
        <v>11100</v>
      </c>
      <c r="B2901" t="s">
        <v>3384</v>
      </c>
      <c r="C2901" t="s">
        <v>3828</v>
      </c>
      <c r="D2901" t="s">
        <v>3840</v>
      </c>
      <c r="E2901">
        <v>877</v>
      </c>
      <c r="F2901" s="767">
        <v>2023.7</v>
      </c>
    </row>
    <row r="2902" spans="1:6">
      <c r="A2902" s="143">
        <v>11100</v>
      </c>
      <c r="B2902" t="s">
        <v>3384</v>
      </c>
      <c r="C2902" t="s">
        <v>3828</v>
      </c>
      <c r="D2902" t="s">
        <v>3841</v>
      </c>
      <c r="E2902">
        <v>877</v>
      </c>
      <c r="F2902" s="767">
        <v>2728.74</v>
      </c>
    </row>
    <row r="2903" spans="1:6">
      <c r="A2903" s="143">
        <v>11100</v>
      </c>
      <c r="B2903" t="s">
        <v>3384</v>
      </c>
      <c r="C2903" t="s">
        <v>3828</v>
      </c>
      <c r="D2903" t="s">
        <v>3842</v>
      </c>
      <c r="E2903">
        <v>877</v>
      </c>
      <c r="F2903" s="767">
        <v>5443.76</v>
      </c>
    </row>
    <row r="2904" spans="1:6">
      <c r="A2904" s="143">
        <v>11100</v>
      </c>
      <c r="B2904" t="s">
        <v>3384</v>
      </c>
      <c r="C2904" t="s">
        <v>3828</v>
      </c>
      <c r="D2904" t="s">
        <v>3843</v>
      </c>
      <c r="E2904">
        <v>877</v>
      </c>
      <c r="F2904" s="767">
        <v>2023.7</v>
      </c>
    </row>
    <row r="2905" spans="1:6">
      <c r="A2905" s="143">
        <v>11100</v>
      </c>
      <c r="B2905" t="s">
        <v>3384</v>
      </c>
      <c r="C2905" t="s">
        <v>3828</v>
      </c>
      <c r="D2905" t="s">
        <v>3844</v>
      </c>
      <c r="E2905">
        <v>877</v>
      </c>
      <c r="F2905" s="767">
        <v>2837.88</v>
      </c>
    </row>
    <row r="2906" spans="1:6">
      <c r="A2906" s="143">
        <v>11100</v>
      </c>
      <c r="B2906" t="s">
        <v>3384</v>
      </c>
      <c r="C2906" t="s">
        <v>3828</v>
      </c>
      <c r="D2906" t="s">
        <v>3845</v>
      </c>
      <c r="E2906">
        <v>877</v>
      </c>
      <c r="F2906" s="767">
        <v>5363.34</v>
      </c>
    </row>
    <row r="2907" spans="1:6">
      <c r="A2907" s="143">
        <v>11100</v>
      </c>
      <c r="B2907" t="s">
        <v>3384</v>
      </c>
      <c r="C2907" t="s">
        <v>3828</v>
      </c>
      <c r="D2907" t="s">
        <v>3846</v>
      </c>
      <c r="E2907">
        <v>877</v>
      </c>
      <c r="F2907" s="767">
        <v>2104.65</v>
      </c>
    </row>
    <row r="2908" spans="1:6">
      <c r="A2908" s="143">
        <v>11100</v>
      </c>
      <c r="B2908" t="s">
        <v>3384</v>
      </c>
      <c r="C2908" t="s">
        <v>3828</v>
      </c>
      <c r="D2908" t="s">
        <v>3847</v>
      </c>
      <c r="E2908">
        <v>877</v>
      </c>
      <c r="F2908" s="767">
        <v>2837.88</v>
      </c>
    </row>
    <row r="2909" spans="1:6">
      <c r="A2909" s="143">
        <v>11100</v>
      </c>
      <c r="B2909" t="s">
        <v>3384</v>
      </c>
      <c r="C2909" t="s">
        <v>3828</v>
      </c>
      <c r="D2909" t="s">
        <v>3848</v>
      </c>
      <c r="E2909">
        <v>877</v>
      </c>
      <c r="F2909" s="767">
        <v>5495.44</v>
      </c>
    </row>
    <row r="2910" spans="1:6">
      <c r="A2910" s="143">
        <v>11100</v>
      </c>
      <c r="B2910" t="s">
        <v>3384</v>
      </c>
      <c r="C2910" t="s">
        <v>3828</v>
      </c>
      <c r="D2910" t="s">
        <v>3849</v>
      </c>
      <c r="E2910">
        <v>877</v>
      </c>
      <c r="F2910" s="767">
        <v>2837.88</v>
      </c>
    </row>
    <row r="2911" spans="1:6">
      <c r="A2911" s="143">
        <v>11100</v>
      </c>
      <c r="B2911" t="s">
        <v>3384</v>
      </c>
      <c r="C2911" t="s">
        <v>3828</v>
      </c>
      <c r="D2911" t="s">
        <v>3850</v>
      </c>
      <c r="E2911">
        <v>877</v>
      </c>
      <c r="F2911" s="767">
        <v>5003.57</v>
      </c>
    </row>
    <row r="2912" spans="1:6">
      <c r="A2912" s="143">
        <v>11100</v>
      </c>
      <c r="B2912" t="s">
        <v>3384</v>
      </c>
      <c r="C2912" t="s">
        <v>3828</v>
      </c>
      <c r="D2912" t="s">
        <v>3851</v>
      </c>
      <c r="E2912">
        <v>877</v>
      </c>
      <c r="F2912" s="767">
        <v>2104.65</v>
      </c>
    </row>
    <row r="2913" spans="1:6">
      <c r="A2913" s="143">
        <v>11100</v>
      </c>
      <c r="B2913" t="s">
        <v>3384</v>
      </c>
      <c r="C2913" t="s">
        <v>3828</v>
      </c>
      <c r="D2913" t="s">
        <v>3852</v>
      </c>
      <c r="E2913">
        <v>877</v>
      </c>
      <c r="F2913" s="767">
        <v>2837.88</v>
      </c>
    </row>
    <row r="2914" spans="1:6">
      <c r="A2914" s="143">
        <v>11100</v>
      </c>
      <c r="B2914" t="s">
        <v>3384</v>
      </c>
      <c r="C2914" t="s">
        <v>3828</v>
      </c>
      <c r="D2914" t="s">
        <v>3853</v>
      </c>
      <c r="E2914">
        <v>877</v>
      </c>
      <c r="F2914" s="767">
        <v>5383.01</v>
      </c>
    </row>
    <row r="2915" spans="1:6">
      <c r="A2915" s="143">
        <v>11100</v>
      </c>
      <c r="B2915" t="s">
        <v>3384</v>
      </c>
      <c r="C2915" t="s">
        <v>3828</v>
      </c>
      <c r="D2915" t="s">
        <v>3854</v>
      </c>
      <c r="E2915">
        <v>877</v>
      </c>
      <c r="F2915" s="767">
        <v>2104.65</v>
      </c>
    </row>
    <row r="2916" spans="1:6">
      <c r="A2916" s="143">
        <v>11100</v>
      </c>
      <c r="B2916" t="s">
        <v>3384</v>
      </c>
      <c r="C2916" t="s">
        <v>3828</v>
      </c>
      <c r="D2916" t="s">
        <v>3855</v>
      </c>
      <c r="E2916">
        <v>877</v>
      </c>
      <c r="F2916" s="767">
        <v>2837.88</v>
      </c>
    </row>
    <row r="2917" spans="1:6">
      <c r="A2917" s="143">
        <v>11100</v>
      </c>
      <c r="B2917" t="s">
        <v>3384</v>
      </c>
      <c r="C2917" t="s">
        <v>3828</v>
      </c>
      <c r="D2917" t="s">
        <v>3856</v>
      </c>
      <c r="E2917">
        <v>877</v>
      </c>
      <c r="F2917" s="767">
        <v>6726.52</v>
      </c>
    </row>
    <row r="2918" spans="1:6">
      <c r="A2918" s="143">
        <v>11100</v>
      </c>
      <c r="B2918" t="s">
        <v>3384</v>
      </c>
      <c r="C2918" t="s">
        <v>3828</v>
      </c>
      <c r="D2918" t="s">
        <v>3857</v>
      </c>
      <c r="E2918">
        <v>877</v>
      </c>
      <c r="F2918" s="767">
        <v>2104.65</v>
      </c>
    </row>
    <row r="2919" spans="1:6">
      <c r="A2919" s="143">
        <v>11100</v>
      </c>
      <c r="B2919" t="s">
        <v>3384</v>
      </c>
      <c r="C2919" t="s">
        <v>3828</v>
      </c>
      <c r="D2919" t="s">
        <v>3858</v>
      </c>
      <c r="E2919">
        <v>877</v>
      </c>
      <c r="F2919" s="767">
        <v>2837.88</v>
      </c>
    </row>
    <row r="2920" spans="1:6">
      <c r="A2920" s="143">
        <v>11100</v>
      </c>
      <c r="B2920" t="s">
        <v>3384</v>
      </c>
      <c r="C2920" t="s">
        <v>3828</v>
      </c>
      <c r="D2920" t="s">
        <v>3859</v>
      </c>
      <c r="E2920">
        <v>877</v>
      </c>
      <c r="F2920" s="767">
        <v>4767.47</v>
      </c>
    </row>
    <row r="2921" spans="1:6">
      <c r="A2921" s="143">
        <v>11100</v>
      </c>
      <c r="B2921" t="s">
        <v>3384</v>
      </c>
      <c r="C2921" t="s">
        <v>3828</v>
      </c>
      <c r="D2921" t="s">
        <v>3860</v>
      </c>
      <c r="E2921">
        <v>877</v>
      </c>
      <c r="F2921" s="767">
        <v>2104.65</v>
      </c>
    </row>
    <row r="2922" spans="1:6">
      <c r="A2922" s="143">
        <v>11100</v>
      </c>
      <c r="B2922" t="s">
        <v>3384</v>
      </c>
      <c r="C2922" t="s">
        <v>3828</v>
      </c>
      <c r="D2922" t="s">
        <v>3861</v>
      </c>
      <c r="E2922">
        <v>877</v>
      </c>
      <c r="F2922" s="767">
        <v>2837.88</v>
      </c>
    </row>
    <row r="2923" spans="1:6">
      <c r="A2923" s="143">
        <v>11100</v>
      </c>
      <c r="B2923" t="s">
        <v>3384</v>
      </c>
      <c r="C2923" t="s">
        <v>3828</v>
      </c>
      <c r="D2923" t="s">
        <v>3862</v>
      </c>
      <c r="E2923">
        <v>877</v>
      </c>
      <c r="F2923" s="767">
        <v>4756.2299999999996</v>
      </c>
    </row>
    <row r="2924" spans="1:6">
      <c r="A2924" s="143">
        <v>11100</v>
      </c>
      <c r="B2924" t="s">
        <v>3384</v>
      </c>
      <c r="C2924" t="s">
        <v>3828</v>
      </c>
      <c r="D2924" t="s">
        <v>3863</v>
      </c>
      <c r="E2924">
        <v>877</v>
      </c>
      <c r="F2924" s="767">
        <v>2104.65</v>
      </c>
    </row>
    <row r="2925" spans="1:6">
      <c r="A2925" s="143">
        <v>11100</v>
      </c>
      <c r="B2925" t="s">
        <v>3384</v>
      </c>
      <c r="C2925" t="s">
        <v>3828</v>
      </c>
      <c r="D2925" t="s">
        <v>3864</v>
      </c>
      <c r="E2925">
        <v>877</v>
      </c>
      <c r="F2925" s="767">
        <v>2837.88</v>
      </c>
    </row>
    <row r="2926" spans="1:6">
      <c r="A2926" s="143">
        <v>11100</v>
      </c>
      <c r="B2926" t="s">
        <v>3384</v>
      </c>
      <c r="C2926" t="s">
        <v>3828</v>
      </c>
      <c r="D2926" t="s">
        <v>3865</v>
      </c>
      <c r="E2926">
        <v>877</v>
      </c>
      <c r="F2926" s="767">
        <v>5236.8500000000004</v>
      </c>
    </row>
    <row r="2927" spans="1:6">
      <c r="A2927" s="143">
        <v>11100</v>
      </c>
      <c r="B2927" t="s">
        <v>3384</v>
      </c>
      <c r="C2927" t="s">
        <v>3828</v>
      </c>
      <c r="D2927" t="s">
        <v>3866</v>
      </c>
      <c r="E2927">
        <v>877</v>
      </c>
      <c r="F2927" s="767">
        <v>2104.65</v>
      </c>
    </row>
    <row r="2928" spans="1:6">
      <c r="A2928" s="143">
        <v>11100</v>
      </c>
      <c r="B2928" t="s">
        <v>3384</v>
      </c>
      <c r="C2928" t="s">
        <v>3828</v>
      </c>
      <c r="D2928" t="s">
        <v>3867</v>
      </c>
      <c r="E2928">
        <v>877</v>
      </c>
      <c r="F2928" s="767">
        <v>2837.88</v>
      </c>
    </row>
    <row r="2929" spans="1:6">
      <c r="A2929" s="143">
        <v>11100</v>
      </c>
      <c r="B2929" t="s">
        <v>3384</v>
      </c>
      <c r="C2929" t="s">
        <v>3828</v>
      </c>
      <c r="D2929" t="s">
        <v>3868</v>
      </c>
      <c r="E2929">
        <v>877</v>
      </c>
      <c r="F2929" s="767">
        <v>4879.8999999999996</v>
      </c>
    </row>
    <row r="2930" spans="1:6">
      <c r="A2930" s="143">
        <v>11100</v>
      </c>
      <c r="B2930" t="s">
        <v>3384</v>
      </c>
      <c r="C2930" t="s">
        <v>3828</v>
      </c>
      <c r="D2930" t="s">
        <v>3869</v>
      </c>
      <c r="E2930">
        <v>877</v>
      </c>
      <c r="F2930" s="767">
        <v>2104.65</v>
      </c>
    </row>
    <row r="2931" spans="1:6">
      <c r="A2931" s="143">
        <v>11100</v>
      </c>
      <c r="B2931" t="s">
        <v>3384</v>
      </c>
      <c r="C2931" t="s">
        <v>3828</v>
      </c>
      <c r="D2931" t="s">
        <v>3870</v>
      </c>
      <c r="E2931">
        <v>877</v>
      </c>
      <c r="F2931" s="767">
        <v>2837.88</v>
      </c>
    </row>
    <row r="2932" spans="1:6">
      <c r="A2932" s="143">
        <v>11100</v>
      </c>
      <c r="B2932" t="s">
        <v>3384</v>
      </c>
      <c r="C2932" t="s">
        <v>3828</v>
      </c>
      <c r="D2932" t="s">
        <v>3871</v>
      </c>
      <c r="E2932">
        <v>877</v>
      </c>
      <c r="F2932" s="767">
        <v>4936.1099999999997</v>
      </c>
    </row>
    <row r="2933" spans="1:6">
      <c r="A2933" s="143">
        <v>11100</v>
      </c>
      <c r="B2933" t="s">
        <v>3384</v>
      </c>
      <c r="C2933" t="s">
        <v>3828</v>
      </c>
      <c r="D2933" t="s">
        <v>3872</v>
      </c>
      <c r="E2933">
        <v>877</v>
      </c>
      <c r="F2933" s="767">
        <v>2104.65</v>
      </c>
    </row>
    <row r="2934" spans="1:6">
      <c r="A2934" s="143">
        <v>11100</v>
      </c>
      <c r="B2934" t="s">
        <v>3384</v>
      </c>
      <c r="C2934" t="s">
        <v>3828</v>
      </c>
      <c r="D2934" t="s">
        <v>3873</v>
      </c>
      <c r="E2934">
        <v>877</v>
      </c>
      <c r="F2934" s="767">
        <v>2837.88</v>
      </c>
    </row>
    <row r="2935" spans="1:6">
      <c r="A2935" s="143">
        <v>11100</v>
      </c>
      <c r="B2935" t="s">
        <v>3384</v>
      </c>
      <c r="C2935" t="s">
        <v>3828</v>
      </c>
      <c r="D2935" t="s">
        <v>3874</v>
      </c>
      <c r="E2935">
        <v>877</v>
      </c>
      <c r="F2935" s="767">
        <v>5009.1899999999996</v>
      </c>
    </row>
    <row r="2936" spans="1:6">
      <c r="A2936" s="143">
        <v>11100</v>
      </c>
      <c r="B2936" t="s">
        <v>3384</v>
      </c>
      <c r="C2936" t="s">
        <v>3828</v>
      </c>
      <c r="D2936" t="s">
        <v>3875</v>
      </c>
      <c r="E2936">
        <v>877</v>
      </c>
      <c r="F2936" s="767">
        <v>2104.65</v>
      </c>
    </row>
    <row r="2937" spans="1:6">
      <c r="A2937" s="143">
        <v>11100</v>
      </c>
      <c r="B2937" t="s">
        <v>3384</v>
      </c>
      <c r="C2937" t="s">
        <v>3828</v>
      </c>
      <c r="D2937" t="s">
        <v>3876</v>
      </c>
      <c r="E2937">
        <v>877</v>
      </c>
      <c r="F2937" s="767">
        <v>2837.88</v>
      </c>
    </row>
    <row r="2938" spans="1:6">
      <c r="A2938" s="143">
        <v>11100</v>
      </c>
      <c r="B2938" t="s">
        <v>3384</v>
      </c>
      <c r="C2938" t="s">
        <v>3828</v>
      </c>
      <c r="D2938" t="s">
        <v>3877</v>
      </c>
      <c r="E2938">
        <v>877</v>
      </c>
      <c r="F2938" s="767">
        <v>5003.57</v>
      </c>
    </row>
    <row r="2939" spans="1:6">
      <c r="A2939" s="143">
        <v>11100</v>
      </c>
      <c r="B2939" t="s">
        <v>3384</v>
      </c>
      <c r="C2939" t="s">
        <v>3828</v>
      </c>
      <c r="D2939" t="s">
        <v>3878</v>
      </c>
      <c r="E2939">
        <v>877</v>
      </c>
      <c r="F2939" s="767">
        <v>2104.65</v>
      </c>
    </row>
    <row r="2940" spans="1:6">
      <c r="A2940" s="143">
        <v>11100</v>
      </c>
      <c r="B2940" t="s">
        <v>3384</v>
      </c>
      <c r="C2940" t="s">
        <v>3828</v>
      </c>
      <c r="D2940" t="s">
        <v>3879</v>
      </c>
      <c r="E2940">
        <v>877</v>
      </c>
      <c r="F2940" s="767">
        <v>2965.57</v>
      </c>
    </row>
    <row r="2941" spans="1:6">
      <c r="A2941" s="143">
        <v>11100</v>
      </c>
      <c r="B2941" t="s">
        <v>3384</v>
      </c>
      <c r="C2941" t="s">
        <v>3828</v>
      </c>
      <c r="D2941" t="s">
        <v>3880</v>
      </c>
      <c r="E2941">
        <v>877</v>
      </c>
      <c r="F2941" s="767">
        <v>5657.51</v>
      </c>
    </row>
    <row r="2942" spans="1:6">
      <c r="A2942" s="143">
        <v>11100</v>
      </c>
      <c r="B2942" t="s">
        <v>3384</v>
      </c>
      <c r="C2942" t="s">
        <v>3828</v>
      </c>
      <c r="D2942" t="s">
        <v>3881</v>
      </c>
      <c r="E2942">
        <v>877</v>
      </c>
      <c r="F2942" s="767">
        <v>2199.35</v>
      </c>
    </row>
    <row r="2943" spans="1:6">
      <c r="A2943" s="143">
        <v>11100</v>
      </c>
      <c r="B2943" t="s">
        <v>3384</v>
      </c>
      <c r="C2943" t="s">
        <v>3828</v>
      </c>
      <c r="D2943" t="s">
        <v>3882</v>
      </c>
      <c r="E2943">
        <v>877</v>
      </c>
      <c r="F2943" s="767">
        <v>2965.57</v>
      </c>
    </row>
    <row r="2944" spans="1:6">
      <c r="A2944" s="143">
        <v>11100</v>
      </c>
      <c r="B2944" t="s">
        <v>3384</v>
      </c>
      <c r="C2944" t="s">
        <v>3828</v>
      </c>
      <c r="D2944" t="s">
        <v>3883</v>
      </c>
      <c r="E2944">
        <v>877</v>
      </c>
      <c r="F2944" s="767">
        <v>10826.84</v>
      </c>
    </row>
    <row r="2945" spans="1:6">
      <c r="A2945" s="143">
        <v>11100</v>
      </c>
      <c r="B2945" t="s">
        <v>3384</v>
      </c>
      <c r="C2945" t="s">
        <v>3828</v>
      </c>
      <c r="D2945" t="s">
        <v>3884</v>
      </c>
      <c r="E2945">
        <v>877</v>
      </c>
      <c r="F2945" s="767">
        <v>2199.35</v>
      </c>
    </row>
    <row r="2946" spans="1:6">
      <c r="A2946" s="143">
        <v>11100</v>
      </c>
      <c r="B2946" t="s">
        <v>3384</v>
      </c>
      <c r="C2946" t="s">
        <v>3828</v>
      </c>
      <c r="D2946" t="s">
        <v>3885</v>
      </c>
      <c r="E2946">
        <v>877</v>
      </c>
      <c r="F2946" s="767">
        <v>2965.57</v>
      </c>
    </row>
    <row r="2947" spans="1:6">
      <c r="A2947" s="143">
        <v>11100</v>
      </c>
      <c r="B2947" t="s">
        <v>3384</v>
      </c>
      <c r="C2947" t="s">
        <v>3828</v>
      </c>
      <c r="D2947" t="s">
        <v>3886</v>
      </c>
      <c r="E2947">
        <v>877</v>
      </c>
      <c r="F2947" s="767">
        <v>6568.01</v>
      </c>
    </row>
    <row r="2948" spans="1:6">
      <c r="A2948" s="143">
        <v>11100</v>
      </c>
      <c r="B2948" t="s">
        <v>3384</v>
      </c>
      <c r="C2948" t="s">
        <v>3828</v>
      </c>
      <c r="D2948" t="s">
        <v>3887</v>
      </c>
      <c r="E2948">
        <v>877</v>
      </c>
      <c r="F2948" s="767">
        <v>2199.35</v>
      </c>
    </row>
    <row r="2949" spans="1:6">
      <c r="A2949" s="143">
        <v>11100</v>
      </c>
      <c r="B2949" t="s">
        <v>3384</v>
      </c>
      <c r="C2949" t="s">
        <v>3828</v>
      </c>
      <c r="D2949" t="s">
        <v>3888</v>
      </c>
      <c r="E2949">
        <v>877</v>
      </c>
      <c r="F2949" s="767">
        <v>2965.57</v>
      </c>
    </row>
    <row r="2950" spans="1:6">
      <c r="A2950" s="143">
        <v>11100</v>
      </c>
      <c r="B2950" t="s">
        <v>3384</v>
      </c>
      <c r="C2950" t="s">
        <v>3828</v>
      </c>
      <c r="D2950" t="s">
        <v>3889</v>
      </c>
      <c r="E2950">
        <v>877</v>
      </c>
      <c r="F2950" s="767">
        <v>7070.26</v>
      </c>
    </row>
    <row r="2951" spans="1:6">
      <c r="A2951" s="143">
        <v>11100</v>
      </c>
      <c r="B2951" t="s">
        <v>3384</v>
      </c>
      <c r="C2951" t="s">
        <v>3828</v>
      </c>
      <c r="D2951" t="s">
        <v>3890</v>
      </c>
      <c r="E2951">
        <v>877</v>
      </c>
      <c r="F2951" s="767">
        <v>2199.35</v>
      </c>
    </row>
    <row r="2952" spans="1:6">
      <c r="A2952" s="143">
        <v>11100</v>
      </c>
      <c r="B2952" t="s">
        <v>3384</v>
      </c>
      <c r="C2952" t="s">
        <v>3828</v>
      </c>
      <c r="D2952" t="s">
        <v>3891</v>
      </c>
      <c r="E2952">
        <v>877</v>
      </c>
      <c r="F2952" s="767">
        <v>2965.57</v>
      </c>
    </row>
    <row r="2953" spans="1:6">
      <c r="A2953" s="143">
        <v>11100</v>
      </c>
      <c r="B2953" t="s">
        <v>3384</v>
      </c>
      <c r="C2953" t="s">
        <v>3828</v>
      </c>
      <c r="D2953" t="s">
        <v>3892</v>
      </c>
      <c r="E2953">
        <v>877</v>
      </c>
      <c r="F2953" s="767">
        <v>5713.31</v>
      </c>
    </row>
    <row r="2954" spans="1:6">
      <c r="A2954" s="143">
        <v>11100</v>
      </c>
      <c r="B2954" t="s">
        <v>3384</v>
      </c>
      <c r="C2954" t="s">
        <v>3828</v>
      </c>
      <c r="D2954" t="s">
        <v>3893</v>
      </c>
      <c r="E2954">
        <v>877</v>
      </c>
      <c r="F2954" s="767">
        <v>2199.35</v>
      </c>
    </row>
    <row r="2955" spans="1:6">
      <c r="A2955" s="143">
        <v>11100</v>
      </c>
      <c r="B2955" t="s">
        <v>3384</v>
      </c>
      <c r="C2955" t="s">
        <v>3828</v>
      </c>
      <c r="D2955" t="s">
        <v>3894</v>
      </c>
      <c r="E2955">
        <v>877</v>
      </c>
      <c r="F2955" s="767">
        <v>2965.57</v>
      </c>
    </row>
    <row r="2956" spans="1:6">
      <c r="A2956" s="143">
        <v>11100</v>
      </c>
      <c r="B2956" t="s">
        <v>3384</v>
      </c>
      <c r="C2956" t="s">
        <v>3828</v>
      </c>
      <c r="D2956" t="s">
        <v>3895</v>
      </c>
      <c r="E2956">
        <v>877</v>
      </c>
      <c r="F2956" s="767">
        <v>6215.56</v>
      </c>
    </row>
    <row r="2957" spans="1:6">
      <c r="A2957" s="143">
        <v>11100</v>
      </c>
      <c r="B2957" t="s">
        <v>3384</v>
      </c>
      <c r="C2957" t="s">
        <v>3828</v>
      </c>
      <c r="D2957" t="s">
        <v>3896</v>
      </c>
      <c r="E2957">
        <v>877</v>
      </c>
      <c r="F2957" s="767">
        <v>2199.35</v>
      </c>
    </row>
    <row r="2958" spans="1:6">
      <c r="A2958" s="143">
        <v>11100</v>
      </c>
      <c r="B2958" t="s">
        <v>3384</v>
      </c>
      <c r="C2958" t="s">
        <v>3828</v>
      </c>
      <c r="D2958" t="s">
        <v>3897</v>
      </c>
      <c r="E2958">
        <v>877</v>
      </c>
      <c r="F2958" s="767">
        <v>2965.57</v>
      </c>
    </row>
    <row r="2959" spans="1:6">
      <c r="A2959" s="143">
        <v>11100</v>
      </c>
      <c r="B2959" t="s">
        <v>3384</v>
      </c>
      <c r="C2959" t="s">
        <v>3828</v>
      </c>
      <c r="D2959" t="s">
        <v>3898</v>
      </c>
      <c r="E2959">
        <v>877</v>
      </c>
      <c r="F2959" s="767">
        <v>6612.07</v>
      </c>
    </row>
    <row r="2960" spans="1:6">
      <c r="A2960" s="143">
        <v>11100</v>
      </c>
      <c r="B2960" t="s">
        <v>3384</v>
      </c>
      <c r="C2960" t="s">
        <v>3828</v>
      </c>
      <c r="D2960" t="s">
        <v>3899</v>
      </c>
      <c r="E2960">
        <v>877</v>
      </c>
      <c r="F2960" s="767">
        <v>2199.35</v>
      </c>
    </row>
    <row r="2961" spans="1:6">
      <c r="A2961" s="143">
        <v>11100</v>
      </c>
      <c r="B2961" t="s">
        <v>3384</v>
      </c>
      <c r="C2961" t="s">
        <v>3828</v>
      </c>
      <c r="D2961" t="s">
        <v>3900</v>
      </c>
      <c r="E2961">
        <v>877</v>
      </c>
      <c r="F2961" s="767">
        <v>2965.57</v>
      </c>
    </row>
    <row r="2962" spans="1:6">
      <c r="A2962" s="143">
        <v>11100</v>
      </c>
      <c r="B2962" t="s">
        <v>3384</v>
      </c>
      <c r="C2962" t="s">
        <v>3828</v>
      </c>
      <c r="D2962" t="s">
        <v>3901</v>
      </c>
      <c r="E2962">
        <v>877</v>
      </c>
      <c r="F2962" s="767">
        <v>6024.65</v>
      </c>
    </row>
    <row r="2963" spans="1:6">
      <c r="A2963" s="143">
        <v>11100</v>
      </c>
      <c r="B2963" t="s">
        <v>3384</v>
      </c>
      <c r="C2963" t="s">
        <v>3828</v>
      </c>
      <c r="D2963" t="s">
        <v>3902</v>
      </c>
      <c r="E2963">
        <v>877</v>
      </c>
      <c r="F2963" s="767">
        <v>2199.35</v>
      </c>
    </row>
    <row r="2964" spans="1:6">
      <c r="A2964" s="143">
        <v>11100</v>
      </c>
      <c r="B2964" t="s">
        <v>3384</v>
      </c>
      <c r="C2964" t="s">
        <v>3828</v>
      </c>
      <c r="D2964" t="s">
        <v>3903</v>
      </c>
      <c r="E2964">
        <v>877</v>
      </c>
      <c r="F2964" s="767">
        <v>2965.57</v>
      </c>
    </row>
    <row r="2965" spans="1:6">
      <c r="A2965" s="143">
        <v>11100</v>
      </c>
      <c r="B2965" t="s">
        <v>3384</v>
      </c>
      <c r="C2965" t="s">
        <v>3828</v>
      </c>
      <c r="D2965" t="s">
        <v>3904</v>
      </c>
      <c r="E2965">
        <v>877</v>
      </c>
      <c r="F2965" s="767">
        <v>5863.1</v>
      </c>
    </row>
    <row r="2966" spans="1:6">
      <c r="A2966" s="143">
        <v>11100</v>
      </c>
      <c r="B2966" t="s">
        <v>3384</v>
      </c>
      <c r="C2966" t="s">
        <v>3828</v>
      </c>
      <c r="D2966" t="s">
        <v>3905</v>
      </c>
      <c r="E2966">
        <v>877</v>
      </c>
      <c r="F2966" s="767">
        <v>2199.35</v>
      </c>
    </row>
    <row r="2967" spans="1:6">
      <c r="A2967" s="143">
        <v>11100</v>
      </c>
      <c r="B2967" t="s">
        <v>3384</v>
      </c>
      <c r="C2967" t="s">
        <v>3828</v>
      </c>
      <c r="D2967" t="s">
        <v>3906</v>
      </c>
      <c r="E2967">
        <v>877</v>
      </c>
      <c r="F2967" s="767">
        <v>6068.7</v>
      </c>
    </row>
    <row r="2968" spans="1:6">
      <c r="A2968" s="143">
        <v>11100</v>
      </c>
      <c r="B2968" t="s">
        <v>3384</v>
      </c>
      <c r="C2968" t="s">
        <v>3828</v>
      </c>
      <c r="D2968" t="s">
        <v>3907</v>
      </c>
      <c r="E2968">
        <v>877</v>
      </c>
      <c r="F2968" s="767">
        <v>2199.35</v>
      </c>
    </row>
    <row r="2969" spans="1:6">
      <c r="A2969" s="143">
        <v>11100</v>
      </c>
      <c r="B2969" t="s">
        <v>3384</v>
      </c>
      <c r="C2969" t="s">
        <v>3828</v>
      </c>
      <c r="D2969" t="s">
        <v>3908</v>
      </c>
      <c r="E2969">
        <v>877</v>
      </c>
      <c r="F2969" s="767">
        <v>2965.57</v>
      </c>
    </row>
    <row r="2970" spans="1:6">
      <c r="A2970" s="143">
        <v>11100</v>
      </c>
      <c r="B2970" t="s">
        <v>3384</v>
      </c>
      <c r="C2970" t="s">
        <v>3828</v>
      </c>
      <c r="D2970" t="s">
        <v>3909</v>
      </c>
      <c r="E2970">
        <v>877</v>
      </c>
      <c r="F2970" s="767">
        <v>5716.25</v>
      </c>
    </row>
    <row r="2971" spans="1:6">
      <c r="A2971" s="143">
        <v>11100</v>
      </c>
      <c r="B2971" t="s">
        <v>3384</v>
      </c>
      <c r="C2971" t="s">
        <v>3828</v>
      </c>
      <c r="D2971" t="s">
        <v>3910</v>
      </c>
      <c r="E2971">
        <v>877</v>
      </c>
      <c r="F2971" s="767">
        <v>2199.35</v>
      </c>
    </row>
    <row r="2972" spans="1:6">
      <c r="A2972" s="143">
        <v>11100</v>
      </c>
      <c r="B2972" t="s">
        <v>3384</v>
      </c>
      <c r="C2972" t="s">
        <v>3828</v>
      </c>
      <c r="D2972" t="s">
        <v>3911</v>
      </c>
      <c r="E2972">
        <v>877</v>
      </c>
      <c r="F2972" s="767">
        <v>2965.57</v>
      </c>
    </row>
    <row r="2973" spans="1:6">
      <c r="A2973" s="143">
        <v>11100</v>
      </c>
      <c r="B2973" t="s">
        <v>3384</v>
      </c>
      <c r="C2973" t="s">
        <v>3828</v>
      </c>
      <c r="D2973" t="s">
        <v>3912</v>
      </c>
      <c r="E2973">
        <v>877</v>
      </c>
      <c r="F2973" s="767">
        <v>2837.87</v>
      </c>
    </row>
    <row r="2974" spans="1:6">
      <c r="A2974" s="143">
        <v>11100</v>
      </c>
      <c r="B2974" t="s">
        <v>3384</v>
      </c>
      <c r="C2974" t="s">
        <v>3828</v>
      </c>
      <c r="D2974" t="s">
        <v>3913</v>
      </c>
      <c r="E2974">
        <v>877</v>
      </c>
      <c r="F2974" s="767">
        <v>2199.35</v>
      </c>
    </row>
    <row r="2975" spans="1:6">
      <c r="A2975" s="143">
        <v>11100</v>
      </c>
      <c r="B2975" t="s">
        <v>3384</v>
      </c>
      <c r="C2975" t="s">
        <v>3828</v>
      </c>
      <c r="D2975" t="s">
        <v>3914</v>
      </c>
      <c r="E2975">
        <v>877</v>
      </c>
      <c r="F2975" s="767">
        <v>3084.17</v>
      </c>
    </row>
    <row r="2976" spans="1:6">
      <c r="A2976" s="143">
        <v>11100</v>
      </c>
      <c r="B2976" t="s">
        <v>3384</v>
      </c>
      <c r="C2976" t="s">
        <v>3828</v>
      </c>
      <c r="D2976" t="s">
        <v>3915</v>
      </c>
      <c r="E2976">
        <v>877</v>
      </c>
      <c r="F2976" s="767">
        <v>6066.73</v>
      </c>
    </row>
    <row r="2977" spans="1:6">
      <c r="A2977" s="143">
        <v>11100</v>
      </c>
      <c r="B2977" t="s">
        <v>3384</v>
      </c>
      <c r="C2977" t="s">
        <v>3828</v>
      </c>
      <c r="D2977" t="s">
        <v>3916</v>
      </c>
      <c r="E2977">
        <v>877</v>
      </c>
      <c r="F2977" s="767">
        <v>2287.31</v>
      </c>
    </row>
    <row r="2978" spans="1:6">
      <c r="A2978" s="143">
        <v>11100</v>
      </c>
      <c r="B2978" t="s">
        <v>3384</v>
      </c>
      <c r="C2978" t="s">
        <v>3828</v>
      </c>
      <c r="D2978" t="s">
        <v>3917</v>
      </c>
      <c r="E2978">
        <v>877</v>
      </c>
      <c r="F2978" s="767">
        <v>3084.17</v>
      </c>
    </row>
    <row r="2979" spans="1:6">
      <c r="A2979" s="143">
        <v>11100</v>
      </c>
      <c r="B2979" t="s">
        <v>3384</v>
      </c>
      <c r="C2979" t="s">
        <v>3828</v>
      </c>
      <c r="D2979" t="s">
        <v>3918</v>
      </c>
      <c r="E2979">
        <v>877</v>
      </c>
      <c r="F2979" s="767">
        <v>2287.31</v>
      </c>
    </row>
    <row r="2980" spans="1:6">
      <c r="A2980" s="143">
        <v>11100</v>
      </c>
      <c r="B2980" t="s">
        <v>3384</v>
      </c>
      <c r="C2980" t="s">
        <v>3828</v>
      </c>
      <c r="D2980" t="s">
        <v>3919</v>
      </c>
      <c r="E2980">
        <v>877</v>
      </c>
      <c r="F2980" s="767">
        <v>5944.56</v>
      </c>
    </row>
    <row r="2981" spans="1:6">
      <c r="A2981" s="143">
        <v>11100</v>
      </c>
      <c r="B2981" t="s">
        <v>3384</v>
      </c>
      <c r="C2981" t="s">
        <v>3828</v>
      </c>
      <c r="D2981" t="s">
        <v>3920</v>
      </c>
      <c r="E2981">
        <v>877</v>
      </c>
      <c r="F2981" s="767">
        <v>3084.17</v>
      </c>
    </row>
    <row r="2982" spans="1:6">
      <c r="A2982" s="143">
        <v>11100</v>
      </c>
      <c r="B2982" t="s">
        <v>3384</v>
      </c>
      <c r="C2982" t="s">
        <v>3828</v>
      </c>
      <c r="D2982" t="s">
        <v>3921</v>
      </c>
      <c r="E2982">
        <v>877</v>
      </c>
      <c r="F2982" s="767">
        <v>2951.36</v>
      </c>
    </row>
    <row r="2983" spans="1:6">
      <c r="A2983" s="143">
        <v>11100</v>
      </c>
      <c r="B2983" t="s">
        <v>3384</v>
      </c>
      <c r="C2983" t="s">
        <v>3828</v>
      </c>
      <c r="D2983" t="s">
        <v>3922</v>
      </c>
      <c r="E2983">
        <v>877</v>
      </c>
      <c r="F2983" s="767">
        <v>2287.31</v>
      </c>
    </row>
    <row r="2984" spans="1:6">
      <c r="A2984" s="143">
        <v>11100</v>
      </c>
      <c r="B2984" t="s">
        <v>3384</v>
      </c>
      <c r="C2984" t="s">
        <v>3828</v>
      </c>
      <c r="D2984" t="s">
        <v>3923</v>
      </c>
      <c r="E2984">
        <v>877</v>
      </c>
      <c r="F2984" s="767">
        <v>3084.17</v>
      </c>
    </row>
    <row r="2985" spans="1:6">
      <c r="A2985" s="143">
        <v>11100</v>
      </c>
      <c r="B2985" t="s">
        <v>3384</v>
      </c>
      <c r="C2985" t="s">
        <v>3828</v>
      </c>
      <c r="D2985" t="s">
        <v>3924</v>
      </c>
      <c r="E2985">
        <v>877</v>
      </c>
      <c r="F2985" s="767">
        <v>6311.07</v>
      </c>
    </row>
    <row r="2986" spans="1:6">
      <c r="A2986" s="143">
        <v>11100</v>
      </c>
      <c r="B2986" t="s">
        <v>3384</v>
      </c>
      <c r="C2986" t="s">
        <v>3828</v>
      </c>
      <c r="D2986" t="s">
        <v>3925</v>
      </c>
      <c r="E2986">
        <v>877</v>
      </c>
      <c r="F2986" s="767">
        <v>2287.31</v>
      </c>
    </row>
    <row r="2987" spans="1:6">
      <c r="A2987" s="143">
        <v>11100</v>
      </c>
      <c r="B2987" t="s">
        <v>3384</v>
      </c>
      <c r="C2987" t="s">
        <v>3828</v>
      </c>
      <c r="D2987" t="s">
        <v>3926</v>
      </c>
      <c r="E2987">
        <v>877</v>
      </c>
      <c r="F2987" s="767">
        <v>3084.17</v>
      </c>
    </row>
    <row r="2988" spans="1:6">
      <c r="A2988" s="143">
        <v>11100</v>
      </c>
      <c r="B2988" t="s">
        <v>3384</v>
      </c>
      <c r="C2988" t="s">
        <v>3828</v>
      </c>
      <c r="D2988" t="s">
        <v>3927</v>
      </c>
      <c r="E2988">
        <v>877</v>
      </c>
      <c r="F2988" s="767">
        <v>5333.7</v>
      </c>
    </row>
    <row r="2989" spans="1:6">
      <c r="A2989" s="143">
        <v>11100</v>
      </c>
      <c r="B2989" t="s">
        <v>3384</v>
      </c>
      <c r="C2989" t="s">
        <v>3828</v>
      </c>
      <c r="D2989" t="s">
        <v>3928</v>
      </c>
      <c r="E2989">
        <v>877</v>
      </c>
      <c r="F2989" s="767">
        <v>2287.31</v>
      </c>
    </row>
    <row r="2990" spans="1:6">
      <c r="A2990" s="143">
        <v>11100</v>
      </c>
      <c r="B2990" t="s">
        <v>3384</v>
      </c>
      <c r="C2990" t="s">
        <v>3828</v>
      </c>
      <c r="D2990" t="s">
        <v>3929</v>
      </c>
      <c r="E2990">
        <v>877</v>
      </c>
      <c r="F2990" s="767">
        <v>3084.17</v>
      </c>
    </row>
    <row r="2991" spans="1:6">
      <c r="A2991" s="143">
        <v>11100</v>
      </c>
      <c r="B2991" t="s">
        <v>3384</v>
      </c>
      <c r="C2991" t="s">
        <v>3828</v>
      </c>
      <c r="D2991" t="s">
        <v>3930</v>
      </c>
      <c r="E2991">
        <v>877</v>
      </c>
      <c r="F2991" s="767">
        <v>2951.36</v>
      </c>
    </row>
    <row r="2992" spans="1:6">
      <c r="A2992" s="143">
        <v>11123</v>
      </c>
      <c r="B2992" t="s">
        <v>3385</v>
      </c>
      <c r="C2992" t="s">
        <v>3532</v>
      </c>
      <c r="D2992" t="s">
        <v>3931</v>
      </c>
      <c r="E2992">
        <v>877</v>
      </c>
      <c r="F2992" s="767">
        <v>1788.62</v>
      </c>
    </row>
    <row r="2993" spans="1:6">
      <c r="A2993" s="143">
        <v>11123</v>
      </c>
      <c r="B2993" t="s">
        <v>3385</v>
      </c>
      <c r="C2993" t="s">
        <v>3532</v>
      </c>
      <c r="D2993" t="s">
        <v>3932</v>
      </c>
      <c r="E2993">
        <v>877</v>
      </c>
      <c r="F2993">
        <v>168.81</v>
      </c>
    </row>
    <row r="2994" spans="1:6">
      <c r="A2994" s="143">
        <v>11123</v>
      </c>
      <c r="B2994" t="s">
        <v>3385</v>
      </c>
      <c r="C2994" t="s">
        <v>3532</v>
      </c>
      <c r="D2994" t="s">
        <v>3933</v>
      </c>
      <c r="E2994">
        <v>877</v>
      </c>
      <c r="F2994">
        <v>184.16</v>
      </c>
    </row>
    <row r="2995" spans="1:6">
      <c r="A2995" s="143">
        <v>11123</v>
      </c>
      <c r="B2995" t="s">
        <v>3385</v>
      </c>
      <c r="C2995" t="s">
        <v>3532</v>
      </c>
      <c r="D2995" t="s">
        <v>3934</v>
      </c>
      <c r="E2995">
        <v>877</v>
      </c>
      <c r="F2995" s="767">
        <v>8795.2199999999993</v>
      </c>
    </row>
    <row r="2996" spans="1:6">
      <c r="A2996" s="143">
        <v>11127</v>
      </c>
      <c r="B2996" t="s">
        <v>3386</v>
      </c>
      <c r="C2996" t="s">
        <v>3935</v>
      </c>
      <c r="D2996" t="s">
        <v>3936</v>
      </c>
      <c r="E2996">
        <v>877</v>
      </c>
      <c r="F2996">
        <v>842.52</v>
      </c>
    </row>
    <row r="2997" spans="1:6">
      <c r="A2997" s="143">
        <v>11295</v>
      </c>
      <c r="B2997" t="s">
        <v>3389</v>
      </c>
      <c r="C2997" t="s">
        <v>3534</v>
      </c>
      <c r="D2997" t="s">
        <v>3937</v>
      </c>
      <c r="E2997">
        <v>877</v>
      </c>
      <c r="F2997" s="767">
        <v>4202.95</v>
      </c>
    </row>
    <row r="2998" spans="1:6">
      <c r="A2998" s="143">
        <v>11295</v>
      </c>
      <c r="B2998" t="s">
        <v>3389</v>
      </c>
      <c r="C2998" t="s">
        <v>3534</v>
      </c>
      <c r="D2998" t="s">
        <v>3938</v>
      </c>
      <c r="E2998">
        <v>877</v>
      </c>
      <c r="F2998" s="767">
        <v>3408.59</v>
      </c>
    </row>
    <row r="2999" spans="1:6">
      <c r="A2999" s="143">
        <v>11312</v>
      </c>
      <c r="B2999" t="s">
        <v>3390</v>
      </c>
      <c r="C2999" t="s">
        <v>3535</v>
      </c>
      <c r="D2999" t="s">
        <v>3939</v>
      </c>
      <c r="E2999">
        <v>877</v>
      </c>
      <c r="F2999" s="767">
        <v>8072.51</v>
      </c>
    </row>
    <row r="3000" spans="1:6">
      <c r="A3000" s="143">
        <v>11321</v>
      </c>
      <c r="B3000" t="s">
        <v>3391</v>
      </c>
      <c r="C3000" t="s">
        <v>3466</v>
      </c>
      <c r="D3000" t="s">
        <v>3940</v>
      </c>
      <c r="E3000">
        <v>877</v>
      </c>
      <c r="F3000" s="767">
        <v>4095.97</v>
      </c>
    </row>
    <row r="3001" spans="1:6">
      <c r="A3001" s="143">
        <v>11341</v>
      </c>
      <c r="B3001" t="s">
        <v>3393</v>
      </c>
      <c r="C3001" t="s">
        <v>3941</v>
      </c>
      <c r="D3001" t="s">
        <v>3942</v>
      </c>
      <c r="E3001">
        <v>877</v>
      </c>
      <c r="F3001" s="767">
        <v>1697.42</v>
      </c>
    </row>
    <row r="3002" spans="1:6">
      <c r="A3002" s="143">
        <v>11390</v>
      </c>
      <c r="B3002" t="s">
        <v>1228</v>
      </c>
      <c r="C3002" t="s">
        <v>3536</v>
      </c>
      <c r="D3002" t="s">
        <v>3943</v>
      </c>
      <c r="E3002">
        <v>877</v>
      </c>
      <c r="F3002" s="767">
        <v>2521.2600000000002</v>
      </c>
    </row>
    <row r="3003" spans="1:6">
      <c r="A3003" s="143">
        <v>11423</v>
      </c>
      <c r="B3003" t="s">
        <v>3397</v>
      </c>
      <c r="C3003" t="s">
        <v>3537</v>
      </c>
      <c r="D3003" t="s">
        <v>3944</v>
      </c>
      <c r="E3003">
        <v>877</v>
      </c>
      <c r="F3003" s="767">
        <v>6970.76</v>
      </c>
    </row>
    <row r="3004" spans="1:6">
      <c r="A3004" s="143">
        <v>11423</v>
      </c>
      <c r="B3004" t="s">
        <v>3397</v>
      </c>
      <c r="C3004" t="s">
        <v>3537</v>
      </c>
      <c r="D3004" t="s">
        <v>3945</v>
      </c>
      <c r="E3004">
        <v>877</v>
      </c>
      <c r="F3004" s="767">
        <v>6031.42</v>
      </c>
    </row>
    <row r="3005" spans="1:6">
      <c r="A3005" s="143">
        <v>11423</v>
      </c>
      <c r="B3005" t="s">
        <v>3397</v>
      </c>
      <c r="C3005" t="s">
        <v>3537</v>
      </c>
      <c r="D3005" t="s">
        <v>3946</v>
      </c>
      <c r="E3005">
        <v>877</v>
      </c>
      <c r="F3005" s="767">
        <v>1502.75</v>
      </c>
    </row>
    <row r="3006" spans="1:6">
      <c r="A3006" s="143">
        <v>11441</v>
      </c>
      <c r="B3006" t="s">
        <v>3447</v>
      </c>
      <c r="C3006" t="s">
        <v>3448</v>
      </c>
      <c r="D3006" t="s">
        <v>3947</v>
      </c>
      <c r="E3006">
        <v>877</v>
      </c>
      <c r="F3006" s="767">
        <v>4889.04</v>
      </c>
    </row>
    <row r="3007" spans="1:6">
      <c r="A3007" s="143">
        <v>11441</v>
      </c>
      <c r="B3007" t="s">
        <v>3447</v>
      </c>
      <c r="C3007" t="s">
        <v>3448</v>
      </c>
      <c r="D3007" t="s">
        <v>3948</v>
      </c>
      <c r="E3007">
        <v>877</v>
      </c>
      <c r="F3007" s="767">
        <v>4889.04</v>
      </c>
    </row>
    <row r="3008" spans="1:6">
      <c r="A3008" s="143">
        <v>11441</v>
      </c>
      <c r="B3008" t="s">
        <v>3447</v>
      </c>
      <c r="C3008" t="s">
        <v>3448</v>
      </c>
      <c r="D3008" t="s">
        <v>3949</v>
      </c>
      <c r="E3008">
        <v>877</v>
      </c>
      <c r="F3008" s="767">
        <v>4889.04</v>
      </c>
    </row>
    <row r="3009" spans="1:6">
      <c r="A3009" s="143">
        <v>11441</v>
      </c>
      <c r="B3009" t="s">
        <v>3447</v>
      </c>
      <c r="C3009" t="s">
        <v>3448</v>
      </c>
      <c r="D3009" t="s">
        <v>3950</v>
      </c>
      <c r="E3009">
        <v>877</v>
      </c>
      <c r="F3009" s="767">
        <v>4889.04</v>
      </c>
    </row>
    <row r="3010" spans="1:6">
      <c r="A3010" s="143">
        <v>11441</v>
      </c>
      <c r="B3010" t="s">
        <v>3447</v>
      </c>
      <c r="C3010" t="s">
        <v>3448</v>
      </c>
      <c r="D3010" t="s">
        <v>3951</v>
      </c>
      <c r="E3010">
        <v>877</v>
      </c>
      <c r="F3010" s="767">
        <v>4889.04</v>
      </c>
    </row>
    <row r="3011" spans="1:6">
      <c r="A3011" s="143">
        <v>11441</v>
      </c>
      <c r="B3011" t="s">
        <v>3447</v>
      </c>
      <c r="C3011" t="s">
        <v>3448</v>
      </c>
      <c r="D3011" t="s">
        <v>3952</v>
      </c>
      <c r="E3011">
        <v>877</v>
      </c>
      <c r="F3011" s="767">
        <v>4889.04</v>
      </c>
    </row>
    <row r="3012" spans="1:6">
      <c r="A3012" s="143">
        <v>11448</v>
      </c>
      <c r="B3012" t="s">
        <v>3400</v>
      </c>
      <c r="C3012" t="s">
        <v>3538</v>
      </c>
      <c r="D3012" t="s">
        <v>3953</v>
      </c>
      <c r="E3012">
        <v>877</v>
      </c>
      <c r="F3012" s="767">
        <v>3836.76</v>
      </c>
    </row>
    <row r="3013" spans="1:6">
      <c r="A3013" s="143">
        <v>11472</v>
      </c>
      <c r="B3013" t="s">
        <v>3401</v>
      </c>
      <c r="C3013" t="s">
        <v>3788</v>
      </c>
      <c r="D3013" t="s">
        <v>3954</v>
      </c>
      <c r="E3013">
        <v>877</v>
      </c>
      <c r="F3013" s="767">
        <v>10789.44</v>
      </c>
    </row>
    <row r="3014" spans="1:6">
      <c r="A3014" s="143">
        <v>11472</v>
      </c>
      <c r="B3014" t="s">
        <v>3401</v>
      </c>
      <c r="C3014" t="s">
        <v>3788</v>
      </c>
      <c r="D3014" t="s">
        <v>3955</v>
      </c>
      <c r="E3014">
        <v>877</v>
      </c>
      <c r="F3014" s="767">
        <v>11615.22</v>
      </c>
    </row>
    <row r="3015" spans="1:6">
      <c r="A3015" s="143">
        <v>11472</v>
      </c>
      <c r="B3015" t="s">
        <v>3401</v>
      </c>
      <c r="C3015" t="s">
        <v>3788</v>
      </c>
      <c r="D3015" t="s">
        <v>3956</v>
      </c>
      <c r="E3015">
        <v>877</v>
      </c>
      <c r="F3015" s="767">
        <v>8947.31</v>
      </c>
    </row>
    <row r="3016" spans="1:6">
      <c r="A3016" s="143">
        <v>11472</v>
      </c>
      <c r="B3016" t="s">
        <v>3401</v>
      </c>
      <c r="C3016" t="s">
        <v>3788</v>
      </c>
      <c r="D3016" t="s">
        <v>3957</v>
      </c>
      <c r="E3016">
        <v>877</v>
      </c>
      <c r="F3016" s="767">
        <v>10598.87</v>
      </c>
    </row>
    <row r="3017" spans="1:6">
      <c r="A3017" s="143">
        <v>11472</v>
      </c>
      <c r="B3017" t="s">
        <v>3401</v>
      </c>
      <c r="C3017" t="s">
        <v>3788</v>
      </c>
      <c r="D3017" t="s">
        <v>3958</v>
      </c>
      <c r="E3017">
        <v>877</v>
      </c>
      <c r="F3017" s="767">
        <v>10313.030000000001</v>
      </c>
    </row>
    <row r="3018" spans="1:6">
      <c r="A3018" s="143">
        <v>11472</v>
      </c>
      <c r="B3018" t="s">
        <v>3401</v>
      </c>
      <c r="C3018" t="s">
        <v>3788</v>
      </c>
      <c r="D3018" t="s">
        <v>3959</v>
      </c>
      <c r="E3018">
        <v>877</v>
      </c>
      <c r="F3018" s="767">
        <v>9550.77</v>
      </c>
    </row>
    <row r="3019" spans="1:6">
      <c r="A3019" s="143">
        <v>11472</v>
      </c>
      <c r="B3019" t="s">
        <v>3401</v>
      </c>
      <c r="C3019" t="s">
        <v>3788</v>
      </c>
      <c r="D3019" t="s">
        <v>3960</v>
      </c>
      <c r="E3019">
        <v>877</v>
      </c>
      <c r="F3019" s="767">
        <v>9741.33</v>
      </c>
    </row>
    <row r="3020" spans="1:6">
      <c r="A3020" s="143">
        <v>11472</v>
      </c>
      <c r="B3020" t="s">
        <v>3401</v>
      </c>
      <c r="C3020" t="s">
        <v>3788</v>
      </c>
      <c r="D3020" t="s">
        <v>3961</v>
      </c>
      <c r="E3020">
        <v>877</v>
      </c>
      <c r="F3020" s="767">
        <v>9010.83</v>
      </c>
    </row>
    <row r="3021" spans="1:6">
      <c r="A3021" s="143">
        <v>11472</v>
      </c>
      <c r="B3021" t="s">
        <v>3401</v>
      </c>
      <c r="C3021" t="s">
        <v>3788</v>
      </c>
      <c r="D3021" t="s">
        <v>3962</v>
      </c>
      <c r="E3021">
        <v>877</v>
      </c>
      <c r="F3021" s="767">
        <v>9010.83</v>
      </c>
    </row>
    <row r="3022" spans="1:6">
      <c r="A3022" s="143">
        <v>11472</v>
      </c>
      <c r="B3022" t="s">
        <v>3401</v>
      </c>
      <c r="C3022" t="s">
        <v>3788</v>
      </c>
      <c r="D3022" t="s">
        <v>3963</v>
      </c>
      <c r="E3022">
        <v>877</v>
      </c>
      <c r="F3022" s="767">
        <v>13692.14</v>
      </c>
    </row>
    <row r="3023" spans="1:6">
      <c r="A3023" s="143">
        <v>11472</v>
      </c>
      <c r="B3023" t="s">
        <v>3401</v>
      </c>
      <c r="C3023" t="s">
        <v>3788</v>
      </c>
      <c r="D3023" t="s">
        <v>3964</v>
      </c>
      <c r="E3023">
        <v>877</v>
      </c>
      <c r="F3023" s="767">
        <v>12267.57</v>
      </c>
    </row>
    <row r="3024" spans="1:6">
      <c r="A3024" s="143">
        <v>11472</v>
      </c>
      <c r="B3024" t="s">
        <v>3401</v>
      </c>
      <c r="C3024" t="s">
        <v>3788</v>
      </c>
      <c r="D3024" t="s">
        <v>3965</v>
      </c>
      <c r="E3024">
        <v>877</v>
      </c>
      <c r="F3024" s="767">
        <v>20407.98</v>
      </c>
    </row>
    <row r="3025" spans="1:6">
      <c r="A3025" s="143">
        <v>11472</v>
      </c>
      <c r="B3025" t="s">
        <v>3401</v>
      </c>
      <c r="C3025" t="s">
        <v>3788</v>
      </c>
      <c r="D3025" t="s">
        <v>3966</v>
      </c>
      <c r="E3025">
        <v>877</v>
      </c>
      <c r="F3025" s="767">
        <v>17949.96</v>
      </c>
    </row>
    <row r="3026" spans="1:6">
      <c r="A3026" s="143">
        <v>11485</v>
      </c>
      <c r="B3026" t="s">
        <v>3637</v>
      </c>
      <c r="C3026" t="s">
        <v>3638</v>
      </c>
      <c r="D3026" t="s">
        <v>3967</v>
      </c>
      <c r="E3026">
        <v>877</v>
      </c>
      <c r="F3026" s="767">
        <v>3153.08</v>
      </c>
    </row>
    <row r="3027" spans="1:6">
      <c r="A3027" s="143">
        <v>11485</v>
      </c>
      <c r="B3027" t="s">
        <v>3637</v>
      </c>
      <c r="C3027" t="s">
        <v>3638</v>
      </c>
      <c r="D3027" t="s">
        <v>3968</v>
      </c>
      <c r="E3027">
        <v>877</v>
      </c>
      <c r="F3027" s="767">
        <v>3153.08</v>
      </c>
    </row>
    <row r="3028" spans="1:6">
      <c r="A3028" s="143">
        <v>11573</v>
      </c>
      <c r="B3028" t="s">
        <v>3432</v>
      </c>
      <c r="C3028" t="s">
        <v>3476</v>
      </c>
      <c r="D3028" t="s">
        <v>3969</v>
      </c>
      <c r="E3028">
        <v>877</v>
      </c>
      <c r="F3028" s="767">
        <v>17713.900000000001</v>
      </c>
    </row>
    <row r="3029" spans="1:6">
      <c r="A3029" s="143">
        <v>11573</v>
      </c>
      <c r="B3029" t="s">
        <v>3432</v>
      </c>
      <c r="C3029" t="s">
        <v>3476</v>
      </c>
      <c r="D3029" t="s">
        <v>3970</v>
      </c>
      <c r="E3029">
        <v>877</v>
      </c>
      <c r="F3029" s="767">
        <v>17713.900000000001</v>
      </c>
    </row>
    <row r="3030" spans="1:6">
      <c r="A3030" s="143">
        <v>11604</v>
      </c>
      <c r="B3030" t="s">
        <v>3497</v>
      </c>
      <c r="C3030" t="s">
        <v>3498</v>
      </c>
      <c r="D3030" t="s">
        <v>3971</v>
      </c>
      <c r="E3030">
        <v>877</v>
      </c>
      <c r="F3030" s="767">
        <v>5108.22</v>
      </c>
    </row>
    <row r="3031" spans="1:6">
      <c r="A3031" s="143">
        <v>11604</v>
      </c>
      <c r="B3031" t="s">
        <v>3497</v>
      </c>
      <c r="C3031" t="s">
        <v>3498</v>
      </c>
      <c r="D3031" t="s">
        <v>3972</v>
      </c>
      <c r="E3031">
        <v>877</v>
      </c>
      <c r="F3031" s="767">
        <v>5089.78</v>
      </c>
    </row>
    <row r="3032" spans="1:6">
      <c r="A3032" s="143">
        <v>11604</v>
      </c>
      <c r="B3032" t="s">
        <v>3497</v>
      </c>
      <c r="C3032" t="s">
        <v>3498</v>
      </c>
      <c r="D3032" t="s">
        <v>3973</v>
      </c>
      <c r="E3032">
        <v>877</v>
      </c>
      <c r="F3032" s="767">
        <v>6868.38</v>
      </c>
    </row>
    <row r="3033" spans="1:6">
      <c r="A3033" s="143">
        <v>11604</v>
      </c>
      <c r="B3033" t="s">
        <v>3497</v>
      </c>
      <c r="C3033" t="s">
        <v>3498</v>
      </c>
      <c r="D3033" t="s">
        <v>3974</v>
      </c>
      <c r="E3033">
        <v>877</v>
      </c>
      <c r="F3033" s="767">
        <v>7249.51</v>
      </c>
    </row>
    <row r="3034" spans="1:6">
      <c r="A3034" s="143">
        <v>11604</v>
      </c>
      <c r="B3034" t="s">
        <v>3497</v>
      </c>
      <c r="C3034" t="s">
        <v>3498</v>
      </c>
      <c r="D3034" t="s">
        <v>3975</v>
      </c>
      <c r="E3034">
        <v>877</v>
      </c>
      <c r="F3034" s="767">
        <v>6646.06</v>
      </c>
    </row>
    <row r="3035" spans="1:6">
      <c r="A3035" s="143">
        <v>11604</v>
      </c>
      <c r="B3035" t="s">
        <v>3497</v>
      </c>
      <c r="C3035" t="s">
        <v>3498</v>
      </c>
      <c r="D3035" t="s">
        <v>3976</v>
      </c>
      <c r="E3035">
        <v>877</v>
      </c>
      <c r="F3035" s="767">
        <v>14868.96</v>
      </c>
    </row>
    <row r="3036" spans="1:6">
      <c r="A3036" s="143">
        <v>11604</v>
      </c>
      <c r="B3036" t="s">
        <v>3497</v>
      </c>
      <c r="C3036" t="s">
        <v>3498</v>
      </c>
      <c r="D3036" t="s">
        <v>3977</v>
      </c>
      <c r="E3036">
        <v>877</v>
      </c>
      <c r="F3036" s="767">
        <v>3374.7</v>
      </c>
    </row>
    <row r="3037" spans="1:6">
      <c r="A3037" s="143">
        <v>11604</v>
      </c>
      <c r="B3037" t="s">
        <v>3497</v>
      </c>
      <c r="C3037" t="s">
        <v>3498</v>
      </c>
      <c r="D3037" t="s">
        <v>3978</v>
      </c>
      <c r="E3037">
        <v>877</v>
      </c>
      <c r="F3037" s="767">
        <v>3342.93</v>
      </c>
    </row>
    <row r="3038" spans="1:6">
      <c r="A3038" s="143">
        <v>11604</v>
      </c>
      <c r="B3038" t="s">
        <v>3497</v>
      </c>
      <c r="C3038" t="s">
        <v>3498</v>
      </c>
      <c r="D3038" t="s">
        <v>3979</v>
      </c>
      <c r="E3038">
        <v>877</v>
      </c>
      <c r="F3038" s="767">
        <v>1818.42</v>
      </c>
    </row>
    <row r="3039" spans="1:6">
      <c r="A3039" s="143">
        <v>11604</v>
      </c>
      <c r="B3039" t="s">
        <v>3497</v>
      </c>
      <c r="C3039" t="s">
        <v>3498</v>
      </c>
      <c r="D3039" t="s">
        <v>3980</v>
      </c>
      <c r="E3039">
        <v>877</v>
      </c>
      <c r="F3039">
        <v>704.56</v>
      </c>
    </row>
    <row r="3040" spans="1:6">
      <c r="A3040" s="143">
        <v>11669</v>
      </c>
      <c r="B3040" t="s">
        <v>1144</v>
      </c>
      <c r="C3040" t="s">
        <v>3674</v>
      </c>
      <c r="D3040" t="s">
        <v>3736</v>
      </c>
      <c r="E3040">
        <v>877</v>
      </c>
      <c r="F3040" s="767">
        <v>1373.91</v>
      </c>
    </row>
    <row r="3041" spans="1:6">
      <c r="A3041" s="143">
        <v>11669</v>
      </c>
      <c r="B3041" t="s">
        <v>1144</v>
      </c>
      <c r="C3041" t="s">
        <v>3674</v>
      </c>
      <c r="D3041" t="s">
        <v>3981</v>
      </c>
      <c r="E3041">
        <v>877</v>
      </c>
      <c r="F3041" s="767">
        <v>1840.82</v>
      </c>
    </row>
    <row r="3042" spans="1:6">
      <c r="A3042" s="143">
        <v>11723</v>
      </c>
      <c r="B3042" t="s">
        <v>2849</v>
      </c>
      <c r="C3042" t="s">
        <v>3478</v>
      </c>
      <c r="D3042" t="s">
        <v>3982</v>
      </c>
      <c r="E3042">
        <v>877</v>
      </c>
      <c r="F3042" s="767">
        <v>2561.34</v>
      </c>
    </row>
    <row r="3043" spans="1:6">
      <c r="A3043" s="143">
        <v>11762</v>
      </c>
      <c r="B3043" t="s">
        <v>1032</v>
      </c>
      <c r="C3043" t="s">
        <v>3984</v>
      </c>
      <c r="D3043" t="s">
        <v>3985</v>
      </c>
      <c r="E3043">
        <v>877</v>
      </c>
      <c r="F3043" s="767">
        <v>1206.9100000000001</v>
      </c>
    </row>
    <row r="3044" spans="1:6">
      <c r="A3044" s="143">
        <v>11779</v>
      </c>
      <c r="B3044" t="s">
        <v>1184</v>
      </c>
      <c r="C3044" t="s">
        <v>3737</v>
      </c>
      <c r="D3044" t="s">
        <v>3738</v>
      </c>
      <c r="E3044">
        <v>877</v>
      </c>
      <c r="F3044">
        <v>841.26</v>
      </c>
    </row>
    <row r="3045" spans="1:6">
      <c r="A3045" s="143">
        <v>11809</v>
      </c>
      <c r="B3045" t="s">
        <v>3414</v>
      </c>
      <c r="C3045" t="s">
        <v>3793</v>
      </c>
      <c r="D3045" t="s">
        <v>3986</v>
      </c>
      <c r="E3045">
        <v>877</v>
      </c>
      <c r="F3045" s="767">
        <v>1163.31</v>
      </c>
    </row>
    <row r="3046" spans="1:6">
      <c r="A3046" s="143">
        <v>11811</v>
      </c>
      <c r="B3046" t="s">
        <v>3415</v>
      </c>
      <c r="C3046" t="s">
        <v>3987</v>
      </c>
      <c r="D3046" t="s">
        <v>3988</v>
      </c>
      <c r="E3046">
        <v>877</v>
      </c>
      <c r="F3046" s="767">
        <v>5917.69</v>
      </c>
    </row>
    <row r="3047" spans="1:6">
      <c r="A3047" s="143">
        <v>11811</v>
      </c>
      <c r="B3047" t="s">
        <v>3415</v>
      </c>
      <c r="C3047" t="s">
        <v>3987</v>
      </c>
      <c r="D3047" t="s">
        <v>3989</v>
      </c>
      <c r="E3047">
        <v>877</v>
      </c>
      <c r="F3047" s="767">
        <v>5155.43</v>
      </c>
    </row>
    <row r="3048" spans="1:6">
      <c r="A3048" s="143">
        <v>11823</v>
      </c>
      <c r="B3048" t="s">
        <v>2097</v>
      </c>
      <c r="C3048" t="s">
        <v>3990</v>
      </c>
      <c r="D3048" t="s">
        <v>3991</v>
      </c>
      <c r="E3048">
        <v>877</v>
      </c>
      <c r="F3048" s="767">
        <v>2851.84</v>
      </c>
    </row>
    <row r="3049" spans="1:6">
      <c r="A3049" s="143">
        <v>11823</v>
      </c>
      <c r="B3049" t="s">
        <v>2097</v>
      </c>
      <c r="C3049" t="s">
        <v>3990</v>
      </c>
      <c r="D3049" t="s">
        <v>3992</v>
      </c>
      <c r="E3049">
        <v>877</v>
      </c>
      <c r="F3049" s="767">
        <v>2693.03</v>
      </c>
    </row>
    <row r="3050" spans="1:6">
      <c r="A3050" s="143">
        <v>11867</v>
      </c>
      <c r="B3050" t="s">
        <v>1202</v>
      </c>
      <c r="C3050" t="s">
        <v>3484</v>
      </c>
      <c r="D3050" t="s">
        <v>3993</v>
      </c>
      <c r="E3050">
        <v>877</v>
      </c>
      <c r="F3050">
        <v>60.05</v>
      </c>
    </row>
    <row r="3051" spans="1:6">
      <c r="A3051" s="143">
        <v>11867</v>
      </c>
      <c r="B3051" t="s">
        <v>1202</v>
      </c>
      <c r="C3051" t="s">
        <v>3484</v>
      </c>
      <c r="D3051" t="s">
        <v>3994</v>
      </c>
      <c r="E3051">
        <v>877</v>
      </c>
      <c r="F3051" s="767">
        <v>1534.71</v>
      </c>
    </row>
    <row r="3052" spans="1:6">
      <c r="A3052" s="143">
        <v>11867</v>
      </c>
      <c r="B3052" t="s">
        <v>1202</v>
      </c>
      <c r="C3052" t="s">
        <v>3484</v>
      </c>
      <c r="D3052" t="s">
        <v>3995</v>
      </c>
      <c r="E3052">
        <v>877</v>
      </c>
      <c r="F3052" s="767">
        <v>1999.86</v>
      </c>
    </row>
    <row r="3053" spans="1:6">
      <c r="A3053" s="143">
        <v>11867</v>
      </c>
      <c r="B3053" t="s">
        <v>1202</v>
      </c>
      <c r="C3053" t="s">
        <v>3484</v>
      </c>
      <c r="D3053" t="s">
        <v>3996</v>
      </c>
      <c r="E3053">
        <v>877</v>
      </c>
      <c r="F3053" s="767">
        <v>2412.75</v>
      </c>
    </row>
    <row r="3054" spans="1:6">
      <c r="A3054" s="143">
        <v>11867</v>
      </c>
      <c r="B3054" t="s">
        <v>1202</v>
      </c>
      <c r="C3054" t="s">
        <v>3484</v>
      </c>
      <c r="D3054" t="s">
        <v>3997</v>
      </c>
      <c r="E3054">
        <v>877</v>
      </c>
      <c r="F3054">
        <v>157.74</v>
      </c>
    </row>
    <row r="3055" spans="1:6">
      <c r="A3055" s="143">
        <v>11867</v>
      </c>
      <c r="B3055" t="s">
        <v>1202</v>
      </c>
      <c r="C3055" t="s">
        <v>3484</v>
      </c>
      <c r="D3055" t="s">
        <v>3998</v>
      </c>
      <c r="E3055">
        <v>877</v>
      </c>
      <c r="F3055" s="767">
        <v>1659.61</v>
      </c>
    </row>
    <row r="3056" spans="1:6">
      <c r="A3056" s="143">
        <v>11867</v>
      </c>
      <c r="B3056" t="s">
        <v>1202</v>
      </c>
      <c r="C3056" t="s">
        <v>3484</v>
      </c>
      <c r="D3056" t="s">
        <v>3999</v>
      </c>
      <c r="E3056">
        <v>877</v>
      </c>
      <c r="F3056">
        <v>62.45</v>
      </c>
    </row>
    <row r="3057" spans="1:6">
      <c r="A3057" s="143">
        <v>11905</v>
      </c>
      <c r="B3057" t="s">
        <v>3421</v>
      </c>
      <c r="C3057" t="s">
        <v>3576</v>
      </c>
      <c r="D3057" t="s">
        <v>4000</v>
      </c>
      <c r="E3057">
        <v>877</v>
      </c>
      <c r="F3057" s="767">
        <v>1177.0999999999999</v>
      </c>
    </row>
    <row r="3058" spans="1:6">
      <c r="A3058" s="143">
        <v>11944</v>
      </c>
      <c r="B3058" t="s">
        <v>3424</v>
      </c>
      <c r="C3058" t="s">
        <v>3454</v>
      </c>
      <c r="D3058" t="s">
        <v>4001</v>
      </c>
      <c r="E3058">
        <v>877</v>
      </c>
      <c r="F3058" s="767">
        <v>2564.83</v>
      </c>
    </row>
    <row r="3059" spans="1:6">
      <c r="A3059" s="143">
        <v>11944</v>
      </c>
      <c r="B3059" t="s">
        <v>3424</v>
      </c>
      <c r="C3059" t="s">
        <v>3454</v>
      </c>
      <c r="D3059" t="s">
        <v>4002</v>
      </c>
      <c r="E3059">
        <v>877</v>
      </c>
      <c r="F3059" s="767">
        <v>2564.83</v>
      </c>
    </row>
    <row r="3060" spans="1:6">
      <c r="A3060" s="143">
        <v>11944</v>
      </c>
      <c r="B3060" t="s">
        <v>3424</v>
      </c>
      <c r="C3060" t="s">
        <v>3454</v>
      </c>
      <c r="D3060" t="s">
        <v>3739</v>
      </c>
      <c r="E3060">
        <v>877</v>
      </c>
      <c r="F3060" s="767">
        <v>1846.66</v>
      </c>
    </row>
    <row r="3061" spans="1:6">
      <c r="A3061" s="143">
        <v>11945</v>
      </c>
      <c r="B3061" t="s">
        <v>2878</v>
      </c>
      <c r="C3061" t="s">
        <v>3983</v>
      </c>
      <c r="D3061" t="s">
        <v>4003</v>
      </c>
      <c r="E3061">
        <v>877</v>
      </c>
      <c r="F3061" s="767">
        <v>5854.1</v>
      </c>
    </row>
    <row r="3062" spans="1:6">
      <c r="A3062" s="143">
        <v>11945</v>
      </c>
      <c r="B3062" t="s">
        <v>2878</v>
      </c>
      <c r="C3062" t="s">
        <v>3983</v>
      </c>
      <c r="D3062" t="s">
        <v>4004</v>
      </c>
      <c r="E3062">
        <v>877</v>
      </c>
      <c r="F3062" s="767">
        <v>4914.57</v>
      </c>
    </row>
    <row r="3063" spans="1:6">
      <c r="A3063" s="143">
        <v>21017</v>
      </c>
      <c r="B3063" t="s">
        <v>3434</v>
      </c>
      <c r="C3063" t="s">
        <v>3660</v>
      </c>
      <c r="D3063" t="s">
        <v>4005</v>
      </c>
      <c r="E3063">
        <v>877</v>
      </c>
      <c r="F3063" s="767">
        <v>54885.41</v>
      </c>
    </row>
    <row r="3064" spans="1:6">
      <c r="A3064" s="143">
        <v>21062</v>
      </c>
      <c r="B3064" t="s">
        <v>3436</v>
      </c>
      <c r="C3064" t="s">
        <v>3521</v>
      </c>
      <c r="D3064" t="s">
        <v>4006</v>
      </c>
      <c r="E3064">
        <v>877</v>
      </c>
      <c r="F3064" s="767">
        <v>32985.64</v>
      </c>
    </row>
    <row r="3065" spans="1:6">
      <c r="A3065" s="143">
        <v>21073</v>
      </c>
      <c r="B3065" t="s">
        <v>3451</v>
      </c>
      <c r="C3065" t="s">
        <v>3452</v>
      </c>
      <c r="D3065" t="s">
        <v>4007</v>
      </c>
      <c r="E3065">
        <v>877</v>
      </c>
      <c r="F3065" s="767">
        <v>2270.42</v>
      </c>
    </row>
    <row r="3066" spans="1:6">
      <c r="A3066" s="143">
        <v>21073</v>
      </c>
      <c r="B3066" t="s">
        <v>3451</v>
      </c>
      <c r="C3066" t="s">
        <v>3452</v>
      </c>
      <c r="D3066" t="s">
        <v>4008</v>
      </c>
      <c r="E3066">
        <v>877</v>
      </c>
      <c r="F3066" s="767">
        <v>1849.75</v>
      </c>
    </row>
    <row r="3067" spans="1:6">
      <c r="A3067" s="143">
        <v>21073</v>
      </c>
      <c r="B3067" t="s">
        <v>3451</v>
      </c>
      <c r="C3067" t="s">
        <v>3452</v>
      </c>
      <c r="D3067" t="s">
        <v>4009</v>
      </c>
      <c r="E3067">
        <v>877</v>
      </c>
      <c r="F3067" s="767">
        <v>2467.34</v>
      </c>
    </row>
    <row r="3068" spans="1:6">
      <c r="A3068" s="143">
        <v>21073</v>
      </c>
      <c r="B3068" t="s">
        <v>3451</v>
      </c>
      <c r="C3068" t="s">
        <v>3452</v>
      </c>
      <c r="D3068" t="s">
        <v>4010</v>
      </c>
      <c r="E3068">
        <v>877</v>
      </c>
      <c r="F3068" s="767">
        <v>1948.05</v>
      </c>
    </row>
    <row r="3069" spans="1:6">
      <c r="A3069" s="143">
        <v>21073</v>
      </c>
      <c r="B3069" t="s">
        <v>3451</v>
      </c>
      <c r="C3069" t="s">
        <v>3452</v>
      </c>
      <c r="D3069" t="s">
        <v>4011</v>
      </c>
      <c r="E3069">
        <v>877</v>
      </c>
      <c r="F3069">
        <v>810.54</v>
      </c>
    </row>
    <row r="3070" spans="1:6">
      <c r="A3070" s="143">
        <v>21073</v>
      </c>
      <c r="B3070" t="s">
        <v>3451</v>
      </c>
      <c r="C3070" t="s">
        <v>3452</v>
      </c>
      <c r="D3070" t="s">
        <v>4012</v>
      </c>
      <c r="E3070">
        <v>877</v>
      </c>
      <c r="F3070" s="767">
        <v>1363.52</v>
      </c>
    </row>
    <row r="3071" spans="1:6">
      <c r="A3071" s="143">
        <v>21073</v>
      </c>
      <c r="B3071" t="s">
        <v>3451</v>
      </c>
      <c r="C3071" t="s">
        <v>3452</v>
      </c>
      <c r="D3071" t="s">
        <v>4013</v>
      </c>
      <c r="E3071">
        <v>877</v>
      </c>
      <c r="F3071" s="767">
        <v>1929.32</v>
      </c>
    </row>
    <row r="3072" spans="1:6">
      <c r="A3072" s="143">
        <v>21073</v>
      </c>
      <c r="B3072" t="s">
        <v>3451</v>
      </c>
      <c r="C3072" t="s">
        <v>3452</v>
      </c>
      <c r="D3072" t="s">
        <v>4014</v>
      </c>
      <c r="E3072">
        <v>877</v>
      </c>
      <c r="F3072">
        <v>586.79</v>
      </c>
    </row>
    <row r="3073" spans="1:6">
      <c r="A3073" s="143">
        <v>21083</v>
      </c>
      <c r="B3073" t="s">
        <v>3437</v>
      </c>
      <c r="C3073" t="s">
        <v>4015</v>
      </c>
      <c r="D3073" t="s">
        <v>4016</v>
      </c>
      <c r="E3073">
        <v>877</v>
      </c>
      <c r="F3073" s="767">
        <v>5133.08</v>
      </c>
    </row>
    <row r="3074" spans="1:6">
      <c r="A3074" s="143">
        <v>21087</v>
      </c>
      <c r="B3074" t="s">
        <v>1036</v>
      </c>
      <c r="C3074" t="s">
        <v>3590</v>
      </c>
      <c r="D3074" t="s">
        <v>4017</v>
      </c>
      <c r="E3074">
        <v>877</v>
      </c>
      <c r="F3074" s="767">
        <v>10480.43</v>
      </c>
    </row>
    <row r="3075" spans="1:6">
      <c r="A3075" s="143">
        <v>21087</v>
      </c>
      <c r="B3075" t="s">
        <v>1036</v>
      </c>
      <c r="C3075" t="s">
        <v>3590</v>
      </c>
      <c r="D3075" t="s">
        <v>4018</v>
      </c>
      <c r="E3075">
        <v>877</v>
      </c>
      <c r="F3075" s="767">
        <v>11335.57</v>
      </c>
    </row>
    <row r="3076" spans="1:6">
      <c r="A3076" s="143">
        <v>21087</v>
      </c>
      <c r="B3076" t="s">
        <v>1036</v>
      </c>
      <c r="C3076" t="s">
        <v>3590</v>
      </c>
      <c r="D3076" t="s">
        <v>4019</v>
      </c>
      <c r="E3076">
        <v>877</v>
      </c>
      <c r="F3076" s="767">
        <v>13431.57</v>
      </c>
    </row>
    <row r="3077" spans="1:6">
      <c r="A3077" s="143">
        <v>21093</v>
      </c>
      <c r="B3077" t="s">
        <v>3769</v>
      </c>
      <c r="C3077" t="s">
        <v>3770</v>
      </c>
      <c r="D3077" t="s">
        <v>4020</v>
      </c>
      <c r="E3077">
        <v>877</v>
      </c>
      <c r="F3077">
        <v>609.80999999999995</v>
      </c>
    </row>
    <row r="3078" spans="1:6">
      <c r="A3078" s="143">
        <v>21093</v>
      </c>
      <c r="B3078" t="s">
        <v>3769</v>
      </c>
      <c r="C3078" t="s">
        <v>3770</v>
      </c>
      <c r="D3078" t="s">
        <v>4021</v>
      </c>
      <c r="E3078">
        <v>877</v>
      </c>
      <c r="F3078" s="767">
        <v>2127.9699999999998</v>
      </c>
    </row>
    <row r="3079" spans="1:6">
      <c r="A3079" s="143">
        <v>21093</v>
      </c>
      <c r="B3079" t="s">
        <v>3769</v>
      </c>
      <c r="C3079" t="s">
        <v>3770</v>
      </c>
      <c r="D3079" t="s">
        <v>4022</v>
      </c>
      <c r="E3079">
        <v>877</v>
      </c>
      <c r="F3079" s="767">
        <v>1043.98</v>
      </c>
    </row>
    <row r="3080" spans="1:6">
      <c r="A3080" s="143">
        <v>21093</v>
      </c>
      <c r="B3080" t="s">
        <v>3769</v>
      </c>
      <c r="C3080" t="s">
        <v>3770</v>
      </c>
      <c r="D3080" t="s">
        <v>4023</v>
      </c>
      <c r="E3080">
        <v>877</v>
      </c>
      <c r="F3080" s="767">
        <v>1048.1099999999999</v>
      </c>
    </row>
    <row r="3081" spans="1:6">
      <c r="A3081" s="143">
        <v>21093</v>
      </c>
      <c r="B3081" t="s">
        <v>3769</v>
      </c>
      <c r="C3081" t="s">
        <v>3770</v>
      </c>
      <c r="D3081" t="s">
        <v>4024</v>
      </c>
      <c r="E3081">
        <v>877</v>
      </c>
      <c r="F3081">
        <v>847.96</v>
      </c>
    </row>
    <row r="3082" spans="1:6">
      <c r="A3082" s="143">
        <v>21093</v>
      </c>
      <c r="B3082" t="s">
        <v>3769</v>
      </c>
      <c r="C3082" t="s">
        <v>3770</v>
      </c>
      <c r="D3082" t="s">
        <v>4025</v>
      </c>
      <c r="E3082">
        <v>877</v>
      </c>
      <c r="F3082" s="767">
        <v>3566.52</v>
      </c>
    </row>
    <row r="3083" spans="1:6">
      <c r="A3083" s="143">
        <v>31027</v>
      </c>
      <c r="B3083" t="s">
        <v>1037</v>
      </c>
      <c r="C3083" t="s">
        <v>3498</v>
      </c>
      <c r="D3083" t="s">
        <v>4026</v>
      </c>
      <c r="E3083">
        <v>877</v>
      </c>
      <c r="F3083" s="767">
        <v>12972.41</v>
      </c>
    </row>
    <row r="3084" spans="1:6">
      <c r="A3084" s="143">
        <v>31027</v>
      </c>
      <c r="B3084" t="s">
        <v>1037</v>
      </c>
      <c r="C3084" t="s">
        <v>3498</v>
      </c>
      <c r="D3084" t="s">
        <v>4027</v>
      </c>
      <c r="E3084">
        <v>877</v>
      </c>
      <c r="F3084" s="767">
        <v>12636.44</v>
      </c>
    </row>
    <row r="3085" spans="1:6">
      <c r="A3085" s="143">
        <v>31027</v>
      </c>
      <c r="B3085" t="s">
        <v>1037</v>
      </c>
      <c r="C3085" t="s">
        <v>3498</v>
      </c>
      <c r="D3085" t="s">
        <v>4028</v>
      </c>
      <c r="E3085">
        <v>877</v>
      </c>
      <c r="F3085" s="767">
        <v>6200.79</v>
      </c>
    </row>
    <row r="3086" spans="1:6">
      <c r="A3086" s="143">
        <v>31027</v>
      </c>
      <c r="B3086" t="s">
        <v>1037</v>
      </c>
      <c r="C3086" t="s">
        <v>3498</v>
      </c>
      <c r="D3086" t="s">
        <v>4029</v>
      </c>
      <c r="E3086">
        <v>877</v>
      </c>
      <c r="F3086" s="767">
        <v>4673.05</v>
      </c>
    </row>
    <row r="3087" spans="1:6">
      <c r="A3087" s="143">
        <v>31027</v>
      </c>
      <c r="B3087" t="s">
        <v>1037</v>
      </c>
      <c r="C3087" t="s">
        <v>3498</v>
      </c>
      <c r="D3087" t="s">
        <v>4030</v>
      </c>
      <c r="E3087">
        <v>877</v>
      </c>
      <c r="F3087" s="767">
        <v>6200.79</v>
      </c>
    </row>
    <row r="3088" spans="1:6">
      <c r="A3088" s="143">
        <v>31027</v>
      </c>
      <c r="B3088" t="s">
        <v>1037</v>
      </c>
      <c r="C3088" t="s">
        <v>3498</v>
      </c>
      <c r="D3088" t="s">
        <v>4031</v>
      </c>
      <c r="E3088">
        <v>877</v>
      </c>
      <c r="F3088" s="767">
        <v>4062.19</v>
      </c>
    </row>
    <row r="3089" spans="1:6">
      <c r="A3089" s="143">
        <v>31027</v>
      </c>
      <c r="B3089" t="s">
        <v>1037</v>
      </c>
      <c r="C3089" t="s">
        <v>3498</v>
      </c>
      <c r="D3089" t="s">
        <v>4032</v>
      </c>
      <c r="E3089">
        <v>877</v>
      </c>
      <c r="F3089" s="767">
        <v>6200.79</v>
      </c>
    </row>
    <row r="3090" spans="1:6">
      <c r="A3090" s="143">
        <v>31027</v>
      </c>
      <c r="B3090" t="s">
        <v>1037</v>
      </c>
      <c r="C3090" t="s">
        <v>3498</v>
      </c>
      <c r="D3090" t="s">
        <v>4033</v>
      </c>
      <c r="E3090">
        <v>877</v>
      </c>
      <c r="F3090" s="767">
        <v>1701.51</v>
      </c>
    </row>
    <row r="3091" spans="1:6">
      <c r="A3091" s="143">
        <v>31027</v>
      </c>
      <c r="B3091" t="s">
        <v>1037</v>
      </c>
      <c r="C3091" t="s">
        <v>3498</v>
      </c>
      <c r="D3091" t="s">
        <v>4034</v>
      </c>
      <c r="E3091">
        <v>877</v>
      </c>
      <c r="F3091" s="767">
        <v>4275.99</v>
      </c>
    </row>
    <row r="3092" spans="1:6">
      <c r="A3092" s="143">
        <v>31027</v>
      </c>
      <c r="B3092" t="s">
        <v>1037</v>
      </c>
      <c r="C3092" t="s">
        <v>3498</v>
      </c>
      <c r="D3092" t="s">
        <v>4035</v>
      </c>
      <c r="E3092">
        <v>877</v>
      </c>
      <c r="F3092" s="767">
        <v>3468.63</v>
      </c>
    </row>
    <row r="3093" spans="1:6">
      <c r="A3093" s="143">
        <v>31027</v>
      </c>
      <c r="B3093" t="s">
        <v>1037</v>
      </c>
      <c r="C3093" t="s">
        <v>3498</v>
      </c>
      <c r="D3093" t="s">
        <v>4036</v>
      </c>
      <c r="E3093">
        <v>877</v>
      </c>
      <c r="F3093" s="767">
        <v>4573.5600000000004</v>
      </c>
    </row>
    <row r="3094" spans="1:6">
      <c r="A3094" s="143">
        <v>31027</v>
      </c>
      <c r="B3094" t="s">
        <v>1037</v>
      </c>
      <c r="C3094" t="s">
        <v>3498</v>
      </c>
      <c r="D3094" t="s">
        <v>4037</v>
      </c>
      <c r="E3094">
        <v>877</v>
      </c>
      <c r="F3094" s="767">
        <v>1769.58</v>
      </c>
    </row>
    <row r="3095" spans="1:6">
      <c r="A3095" s="143">
        <v>31027</v>
      </c>
      <c r="B3095" t="s">
        <v>1037</v>
      </c>
      <c r="C3095" t="s">
        <v>3498</v>
      </c>
      <c r="D3095" t="s">
        <v>4038</v>
      </c>
      <c r="E3095">
        <v>877</v>
      </c>
      <c r="F3095" s="767">
        <v>4954.68</v>
      </c>
    </row>
    <row r="3096" spans="1:6">
      <c r="A3096" s="143">
        <v>31027</v>
      </c>
      <c r="B3096" t="s">
        <v>1037</v>
      </c>
      <c r="C3096" t="s">
        <v>3498</v>
      </c>
      <c r="D3096" t="s">
        <v>4039</v>
      </c>
      <c r="E3096">
        <v>877</v>
      </c>
      <c r="F3096" s="767">
        <v>1769.58</v>
      </c>
    </row>
    <row r="3097" spans="1:6">
      <c r="A3097" s="143">
        <v>31027</v>
      </c>
      <c r="B3097" t="s">
        <v>1037</v>
      </c>
      <c r="C3097" t="s">
        <v>3498</v>
      </c>
      <c r="D3097" t="s">
        <v>4040</v>
      </c>
      <c r="E3097">
        <v>877</v>
      </c>
      <c r="F3097" s="767">
        <v>4287.71</v>
      </c>
    </row>
    <row r="3098" spans="1:6">
      <c r="A3098" s="143">
        <v>31027</v>
      </c>
      <c r="B3098" t="s">
        <v>1037</v>
      </c>
      <c r="C3098" t="s">
        <v>3498</v>
      </c>
      <c r="D3098" t="s">
        <v>4041</v>
      </c>
      <c r="E3098">
        <v>877</v>
      </c>
      <c r="F3098" s="767">
        <v>1769.58</v>
      </c>
    </row>
    <row r="3099" spans="1:6">
      <c r="A3099" s="143">
        <v>31027</v>
      </c>
      <c r="B3099" t="s">
        <v>1037</v>
      </c>
      <c r="C3099" t="s">
        <v>3498</v>
      </c>
      <c r="D3099" t="s">
        <v>4042</v>
      </c>
      <c r="E3099">
        <v>877</v>
      </c>
      <c r="F3099" s="767">
        <v>4192.43</v>
      </c>
    </row>
    <row r="3100" spans="1:6">
      <c r="A3100" s="143">
        <v>31027</v>
      </c>
      <c r="B3100" t="s">
        <v>1037</v>
      </c>
      <c r="C3100" t="s">
        <v>3498</v>
      </c>
      <c r="D3100" t="s">
        <v>4043</v>
      </c>
      <c r="E3100">
        <v>877</v>
      </c>
      <c r="F3100" s="767">
        <v>6448.82</v>
      </c>
    </row>
    <row r="3101" spans="1:6">
      <c r="A3101" s="143">
        <v>31027</v>
      </c>
      <c r="B3101" t="s">
        <v>1037</v>
      </c>
      <c r="C3101" t="s">
        <v>3498</v>
      </c>
      <c r="D3101" t="s">
        <v>4044</v>
      </c>
      <c r="E3101">
        <v>877</v>
      </c>
      <c r="F3101" s="767">
        <v>1769.58</v>
      </c>
    </row>
    <row r="3102" spans="1:6">
      <c r="A3102" s="143">
        <v>31027</v>
      </c>
      <c r="B3102" t="s">
        <v>1037</v>
      </c>
      <c r="C3102" t="s">
        <v>3498</v>
      </c>
      <c r="D3102" t="s">
        <v>4045</v>
      </c>
      <c r="E3102">
        <v>877</v>
      </c>
      <c r="F3102" s="767">
        <v>12442.59</v>
      </c>
    </row>
    <row r="3103" spans="1:6">
      <c r="A3103" s="143">
        <v>31027</v>
      </c>
      <c r="B3103" t="s">
        <v>1037</v>
      </c>
      <c r="C3103" t="s">
        <v>3498</v>
      </c>
      <c r="D3103" t="s">
        <v>4046</v>
      </c>
      <c r="E3103">
        <v>877</v>
      </c>
      <c r="F3103" s="767">
        <v>1390.93</v>
      </c>
    </row>
    <row r="3104" spans="1:6">
      <c r="A3104" s="143">
        <v>31028</v>
      </c>
      <c r="B3104" t="s">
        <v>2164</v>
      </c>
      <c r="C3104" t="s">
        <v>3786</v>
      </c>
      <c r="D3104" t="s">
        <v>4047</v>
      </c>
      <c r="E3104">
        <v>877</v>
      </c>
      <c r="F3104" s="767">
        <v>30519.81</v>
      </c>
    </row>
    <row r="3105" spans="1:6">
      <c r="A3105" s="143">
        <v>51021</v>
      </c>
      <c r="B3105" t="s">
        <v>3437</v>
      </c>
      <c r="C3105" t="s">
        <v>4015</v>
      </c>
      <c r="D3105" t="s">
        <v>4048</v>
      </c>
      <c r="E3105">
        <v>877</v>
      </c>
      <c r="F3105" s="767">
        <v>4362.1099999999997</v>
      </c>
    </row>
    <row r="3106" spans="1:6">
      <c r="A3106" s="143">
        <v>51021</v>
      </c>
      <c r="B3106" t="s">
        <v>3437</v>
      </c>
      <c r="C3106" t="s">
        <v>4015</v>
      </c>
      <c r="D3106" t="s">
        <v>4049</v>
      </c>
      <c r="E3106">
        <v>877</v>
      </c>
      <c r="F3106" s="767">
        <v>3184.06</v>
      </c>
    </row>
    <row r="3107" spans="1:6">
      <c r="A3107" s="143">
        <v>11604</v>
      </c>
      <c r="B3107" t="s">
        <v>3497</v>
      </c>
      <c r="C3107" t="s">
        <v>3498</v>
      </c>
      <c r="D3107" t="s">
        <v>3740</v>
      </c>
      <c r="E3107">
        <v>878</v>
      </c>
      <c r="F3107" s="767">
        <v>20008.919999999998</v>
      </c>
    </row>
    <row r="3108" spans="1:6">
      <c r="A3108" s="143">
        <v>11749</v>
      </c>
      <c r="B3108" t="s">
        <v>3613</v>
      </c>
      <c r="C3108" t="s">
        <v>3614</v>
      </c>
      <c r="D3108" t="s">
        <v>3741</v>
      </c>
      <c r="E3108">
        <v>878</v>
      </c>
      <c r="F3108">
        <v>434.51</v>
      </c>
    </row>
    <row r="3109" spans="1:6">
      <c r="A3109" s="143">
        <v>11749</v>
      </c>
      <c r="B3109" t="s">
        <v>3613</v>
      </c>
      <c r="C3109" t="s">
        <v>3614</v>
      </c>
      <c r="D3109" t="s">
        <v>3742</v>
      </c>
      <c r="E3109">
        <v>878</v>
      </c>
      <c r="F3109">
        <v>960.75</v>
      </c>
    </row>
    <row r="3110" spans="1:6">
      <c r="A3110" s="143">
        <v>11749</v>
      </c>
      <c r="B3110" t="s">
        <v>3613</v>
      </c>
      <c r="C3110" t="s">
        <v>3614</v>
      </c>
      <c r="D3110" t="s">
        <v>3743</v>
      </c>
      <c r="E3110">
        <v>878</v>
      </c>
      <c r="F3110">
        <v>16.96</v>
      </c>
    </row>
    <row r="3111" spans="1:6">
      <c r="A3111" s="143">
        <v>31009</v>
      </c>
      <c r="B3111" t="s">
        <v>3382</v>
      </c>
      <c r="C3111" t="s">
        <v>3459</v>
      </c>
      <c r="D3111" t="s">
        <v>3744</v>
      </c>
      <c r="E3111">
        <v>878</v>
      </c>
      <c r="F3111" s="767">
        <v>1446.57</v>
      </c>
    </row>
    <row r="3112" spans="1:6">
      <c r="A3112" s="143">
        <v>31027</v>
      </c>
      <c r="B3112" t="s">
        <v>1037</v>
      </c>
      <c r="C3112" t="s">
        <v>3498</v>
      </c>
      <c r="D3112" t="s">
        <v>3745</v>
      </c>
      <c r="E3112">
        <v>878</v>
      </c>
      <c r="F3112">
        <v>791.25</v>
      </c>
    </row>
    <row r="3113" spans="1:6">
      <c r="A3113" s="143">
        <v>31027</v>
      </c>
      <c r="B3113" t="s">
        <v>1037</v>
      </c>
      <c r="C3113" t="s">
        <v>3498</v>
      </c>
      <c r="D3113" t="s">
        <v>3746</v>
      </c>
      <c r="E3113">
        <v>878</v>
      </c>
      <c r="F3113" s="767">
        <v>1390.93</v>
      </c>
    </row>
    <row r="3114" spans="1:6">
      <c r="A3114" s="143">
        <v>31027</v>
      </c>
      <c r="B3114" t="s">
        <v>1037</v>
      </c>
      <c r="C3114" t="s">
        <v>3498</v>
      </c>
      <c r="D3114" t="s">
        <v>3747</v>
      </c>
      <c r="E3114">
        <v>878</v>
      </c>
      <c r="F3114" s="767">
        <v>2577.8000000000002</v>
      </c>
    </row>
    <row r="3115" spans="1:6">
      <c r="A3115" s="143">
        <v>31031</v>
      </c>
      <c r="B3115" t="s">
        <v>3440</v>
      </c>
      <c r="C3115" t="s">
        <v>3526</v>
      </c>
      <c r="D3115" t="s">
        <v>3748</v>
      </c>
      <c r="E3115">
        <v>878</v>
      </c>
      <c r="F3115" s="767">
        <v>13534.03</v>
      </c>
    </row>
    <row r="3116" spans="1:6">
      <c r="A3116" s="143">
        <v>11002</v>
      </c>
      <c r="B3116" t="s">
        <v>1127</v>
      </c>
      <c r="C3116" t="s">
        <v>3528</v>
      </c>
      <c r="D3116" t="s">
        <v>3749</v>
      </c>
      <c r="E3116">
        <v>879</v>
      </c>
      <c r="F3116" s="767">
        <v>23471.53</v>
      </c>
    </row>
    <row r="3117" spans="1:6">
      <c r="A3117" s="143">
        <v>11002</v>
      </c>
      <c r="B3117" t="s">
        <v>1127</v>
      </c>
      <c r="C3117" t="s">
        <v>3528</v>
      </c>
      <c r="D3117" t="s">
        <v>3750</v>
      </c>
      <c r="E3117">
        <v>879</v>
      </c>
      <c r="F3117" s="767">
        <v>15704.22</v>
      </c>
    </row>
    <row r="3118" spans="1:6">
      <c r="A3118" s="143">
        <v>11944</v>
      </c>
      <c r="B3118" t="s">
        <v>3424</v>
      </c>
      <c r="C3118" t="s">
        <v>3454</v>
      </c>
      <c r="D3118" t="s">
        <v>3751</v>
      </c>
      <c r="E3118">
        <v>904</v>
      </c>
      <c r="F3118" s="767">
        <v>1846.66</v>
      </c>
    </row>
    <row r="3119" spans="1:6">
      <c r="A3119" s="143">
        <v>11604</v>
      </c>
      <c r="B3119" t="s">
        <v>3497</v>
      </c>
      <c r="C3119" t="s">
        <v>3498</v>
      </c>
      <c r="D3119" t="s">
        <v>3752</v>
      </c>
      <c r="E3119">
        <v>905</v>
      </c>
      <c r="F3119" s="767">
        <v>33203.17</v>
      </c>
    </row>
    <row r="3120" spans="1:6">
      <c r="A3120" s="143">
        <v>11669</v>
      </c>
      <c r="B3120" t="s">
        <v>1144</v>
      </c>
      <c r="C3120" t="s">
        <v>3674</v>
      </c>
      <c r="D3120" t="s">
        <v>3753</v>
      </c>
      <c r="E3120">
        <v>905</v>
      </c>
      <c r="F3120" s="767">
        <v>1407.82</v>
      </c>
    </row>
    <row r="3121" spans="1:6">
      <c r="A3121" s="143">
        <v>31027</v>
      </c>
      <c r="B3121" t="s">
        <v>1037</v>
      </c>
      <c r="C3121" t="s">
        <v>3498</v>
      </c>
      <c r="D3121" t="s">
        <v>3754</v>
      </c>
      <c r="E3121">
        <v>905</v>
      </c>
      <c r="F3121">
        <v>791.25</v>
      </c>
    </row>
    <row r="3122" spans="1:6">
      <c r="A3122" s="143">
        <v>31027</v>
      </c>
      <c r="B3122" t="s">
        <v>1037</v>
      </c>
      <c r="C3122" t="s">
        <v>3498</v>
      </c>
      <c r="D3122" t="s">
        <v>3755</v>
      </c>
      <c r="E3122">
        <v>905</v>
      </c>
      <c r="F3122" s="767">
        <v>1390.93</v>
      </c>
    </row>
    <row r="3123" spans="1:6">
      <c r="A3123" s="143">
        <v>31027</v>
      </c>
      <c r="B3123" t="s">
        <v>1037</v>
      </c>
      <c r="C3123" t="s">
        <v>3498</v>
      </c>
      <c r="D3123" t="s">
        <v>3756</v>
      </c>
      <c r="E3123">
        <v>905</v>
      </c>
      <c r="F3123" s="767">
        <v>3086.57</v>
      </c>
    </row>
    <row r="3124" spans="1:6">
      <c r="A3124" s="143">
        <v>11749</v>
      </c>
      <c r="B3124" t="s">
        <v>3613</v>
      </c>
      <c r="C3124" t="s">
        <v>3614</v>
      </c>
      <c r="D3124" t="s">
        <v>3757</v>
      </c>
      <c r="E3124">
        <v>906</v>
      </c>
      <c r="F3124">
        <v>960.75</v>
      </c>
    </row>
    <row r="3125" spans="1:6">
      <c r="A3125" s="143">
        <v>31031</v>
      </c>
      <c r="B3125" t="s">
        <v>3440</v>
      </c>
      <c r="C3125" t="s">
        <v>3526</v>
      </c>
      <c r="D3125" t="s">
        <v>3758</v>
      </c>
      <c r="E3125">
        <v>907</v>
      </c>
      <c r="F3125" s="767">
        <v>13500.11</v>
      </c>
    </row>
    <row r="3126" spans="1:6">
      <c r="A3126" s="143">
        <v>11441</v>
      </c>
      <c r="B3126" t="s">
        <v>3447</v>
      </c>
      <c r="C3126" t="s">
        <v>3448</v>
      </c>
      <c r="D3126" t="s">
        <v>3759</v>
      </c>
      <c r="E3126">
        <v>911</v>
      </c>
      <c r="F3126" s="767">
        <v>10070.25</v>
      </c>
    </row>
    <row r="3127" spans="1:6">
      <c r="A3127" s="143">
        <v>31027</v>
      </c>
      <c r="B3127" t="s">
        <v>1037</v>
      </c>
      <c r="C3127" t="s">
        <v>3498</v>
      </c>
      <c r="D3127" t="s">
        <v>3762</v>
      </c>
      <c r="E3127">
        <v>931</v>
      </c>
      <c r="F3127">
        <v>791.25</v>
      </c>
    </row>
    <row r="3128" spans="1:6">
      <c r="A3128" s="143">
        <v>31027</v>
      </c>
      <c r="B3128" t="s">
        <v>1037</v>
      </c>
      <c r="C3128" t="s">
        <v>3498</v>
      </c>
      <c r="D3128" t="s">
        <v>3760</v>
      </c>
      <c r="E3128">
        <v>931</v>
      </c>
      <c r="F3128" s="767">
        <v>1390.93</v>
      </c>
    </row>
    <row r="3129" spans="1:6">
      <c r="A3129" s="143">
        <v>31027</v>
      </c>
      <c r="B3129" t="s">
        <v>1037</v>
      </c>
      <c r="C3129" t="s">
        <v>3498</v>
      </c>
      <c r="D3129" t="s">
        <v>3761</v>
      </c>
      <c r="E3129">
        <v>931</v>
      </c>
      <c r="F3129" s="767">
        <v>3052.66</v>
      </c>
    </row>
    <row r="3130" spans="1:6">
      <c r="A3130" s="143">
        <v>31031</v>
      </c>
      <c r="B3130" t="s">
        <v>3440</v>
      </c>
      <c r="C3130" t="s">
        <v>3526</v>
      </c>
      <c r="D3130" t="s">
        <v>3763</v>
      </c>
      <c r="E3130">
        <v>932</v>
      </c>
      <c r="F3130" s="767">
        <v>9645.6299999999992</v>
      </c>
    </row>
    <row r="3131" spans="1:6">
      <c r="A3131" s="143">
        <v>11836</v>
      </c>
      <c r="B3131" t="s">
        <v>2883</v>
      </c>
      <c r="C3131" t="s">
        <v>3512</v>
      </c>
      <c r="D3131" t="s">
        <v>3764</v>
      </c>
      <c r="E3131">
        <v>933</v>
      </c>
      <c r="F3131">
        <v>237.43</v>
      </c>
    </row>
    <row r="3132" spans="1:6">
      <c r="A3132" s="143">
        <v>21066</v>
      </c>
      <c r="B3132" t="s">
        <v>3765</v>
      </c>
      <c r="C3132" t="s">
        <v>3638</v>
      </c>
      <c r="D3132" t="s">
        <v>3766</v>
      </c>
      <c r="E3132">
        <v>933</v>
      </c>
      <c r="F3132" s="767">
        <v>2272.5300000000002</v>
      </c>
    </row>
    <row r="3133" spans="1:6">
      <c r="A3133" s="143">
        <v>21073</v>
      </c>
      <c r="B3133" t="s">
        <v>3451</v>
      </c>
      <c r="C3133" t="s">
        <v>3452</v>
      </c>
      <c r="D3133" t="s">
        <v>3767</v>
      </c>
      <c r="E3133">
        <v>933</v>
      </c>
      <c r="F3133" s="767">
        <v>2980.8</v>
      </c>
    </row>
    <row r="3134" spans="1:6">
      <c r="A3134" s="143">
        <v>21073</v>
      </c>
      <c r="B3134" t="s">
        <v>3451</v>
      </c>
      <c r="C3134" t="s">
        <v>3452</v>
      </c>
      <c r="D3134" t="s">
        <v>3768</v>
      </c>
      <c r="E3134">
        <v>933</v>
      </c>
      <c r="F3134">
        <v>949.72</v>
      </c>
    </row>
    <row r="3135" spans="1:6">
      <c r="A3135" s="143">
        <v>21093</v>
      </c>
      <c r="B3135" t="s">
        <v>3769</v>
      </c>
      <c r="C3135" t="s">
        <v>3770</v>
      </c>
      <c r="D3135" t="s">
        <v>3771</v>
      </c>
      <c r="E3135">
        <v>933</v>
      </c>
      <c r="F3135">
        <v>271.35000000000002</v>
      </c>
    </row>
    <row r="3136" spans="1:6">
      <c r="A3136" s="143">
        <v>11480</v>
      </c>
      <c r="B3136" t="s">
        <v>3403</v>
      </c>
      <c r="C3136" t="s">
        <v>3494</v>
      </c>
      <c r="D3136" t="s">
        <v>3772</v>
      </c>
      <c r="E3136">
        <v>934</v>
      </c>
      <c r="F3136">
        <v>754.68</v>
      </c>
    </row>
    <row r="3137" spans="1:6">
      <c r="A3137" s="143">
        <v>11669</v>
      </c>
      <c r="B3137" t="s">
        <v>1144</v>
      </c>
      <c r="C3137" t="s">
        <v>3674</v>
      </c>
      <c r="D3137" t="s">
        <v>3773</v>
      </c>
      <c r="E3137">
        <v>934</v>
      </c>
      <c r="F3137" s="767">
        <v>1441.74</v>
      </c>
    </row>
    <row r="3138" spans="1:6">
      <c r="A3138" s="143">
        <v>11702</v>
      </c>
      <c r="B3138" t="s">
        <v>3409</v>
      </c>
      <c r="C3138" t="s">
        <v>3774</v>
      </c>
      <c r="D3138" t="s">
        <v>3775</v>
      </c>
      <c r="E3138">
        <v>934</v>
      </c>
      <c r="F3138" s="767">
        <v>1263.3599999999999</v>
      </c>
    </row>
    <row r="3139" spans="1:6">
      <c r="A3139" s="143">
        <v>11779</v>
      </c>
      <c r="B3139" t="s">
        <v>1184</v>
      </c>
      <c r="C3139" t="s">
        <v>3737</v>
      </c>
      <c r="D3139" t="s">
        <v>3776</v>
      </c>
      <c r="E3139">
        <v>934</v>
      </c>
      <c r="F3139">
        <v>841.26</v>
      </c>
    </row>
    <row r="3140" spans="1:6">
      <c r="A3140" s="143">
        <v>11818</v>
      </c>
      <c r="B3140" t="s">
        <v>2094</v>
      </c>
      <c r="C3140" t="s">
        <v>3509</v>
      </c>
      <c r="D3140" t="s">
        <v>3777</v>
      </c>
      <c r="E3140">
        <v>934</v>
      </c>
      <c r="F3140">
        <v>239.11</v>
      </c>
    </row>
    <row r="3141" spans="1:6">
      <c r="A3141" s="143">
        <v>11855</v>
      </c>
      <c r="B3141" t="s">
        <v>3778</v>
      </c>
      <c r="C3141" t="s">
        <v>3779</v>
      </c>
      <c r="D3141" t="s">
        <v>3780</v>
      </c>
      <c r="E3141">
        <v>935</v>
      </c>
      <c r="F3141">
        <v>681.72</v>
      </c>
    </row>
    <row r="3142" spans="1:6">
      <c r="A3142" s="143">
        <v>11921</v>
      </c>
      <c r="B3142" t="s">
        <v>3422</v>
      </c>
      <c r="C3142" t="s">
        <v>3781</v>
      </c>
      <c r="D3142" t="s">
        <v>3782</v>
      </c>
      <c r="E3142">
        <v>935</v>
      </c>
      <c r="F3142" s="767">
        <v>2883.35</v>
      </c>
    </row>
    <row r="3143" spans="1:6">
      <c r="A3143" s="143">
        <v>11669</v>
      </c>
      <c r="B3143" t="s">
        <v>1144</v>
      </c>
      <c r="C3143" t="s">
        <v>3674</v>
      </c>
      <c r="D3143" t="s">
        <v>3783</v>
      </c>
      <c r="E3143">
        <v>938</v>
      </c>
      <c r="F3143" s="767">
        <v>1848.76</v>
      </c>
    </row>
    <row r="3144" spans="1:6">
      <c r="A3144" s="143">
        <v>31031</v>
      </c>
      <c r="B3144" t="s">
        <v>3440</v>
      </c>
      <c r="C3144" t="s">
        <v>3526</v>
      </c>
      <c r="D3144" t="s">
        <v>3784</v>
      </c>
      <c r="E3144">
        <v>938</v>
      </c>
      <c r="F3144" s="767">
        <v>37221.29</v>
      </c>
    </row>
    <row r="3145" spans="1:6">
      <c r="A3145" s="143">
        <v>11444</v>
      </c>
      <c r="B3145" t="s">
        <v>3399</v>
      </c>
      <c r="C3145" t="s">
        <v>3460</v>
      </c>
      <c r="D3145" t="s">
        <v>3785</v>
      </c>
      <c r="E3145">
        <v>939</v>
      </c>
      <c r="F3145" s="767">
        <v>6783.26</v>
      </c>
    </row>
    <row r="3146" spans="1:6">
      <c r="A3146" s="143">
        <v>31028</v>
      </c>
      <c r="B3146" t="s">
        <v>2164</v>
      </c>
      <c r="C3146" t="s">
        <v>3786</v>
      </c>
      <c r="D3146" t="s">
        <v>3787</v>
      </c>
      <c r="E3146">
        <v>940</v>
      </c>
      <c r="F3146" s="767">
        <v>7274.58</v>
      </c>
    </row>
    <row r="3147" spans="1:6">
      <c r="A3147" s="143">
        <v>11472</v>
      </c>
      <c r="B3147" t="s">
        <v>3401</v>
      </c>
      <c r="C3147" t="s">
        <v>3788</v>
      </c>
      <c r="D3147" t="s">
        <v>3789</v>
      </c>
      <c r="E3147">
        <v>948</v>
      </c>
      <c r="F3147" s="767">
        <v>11844.64</v>
      </c>
    </row>
    <row r="3148" spans="1:6">
      <c r="A3148" s="143">
        <v>11604</v>
      </c>
      <c r="B3148" t="s">
        <v>3497</v>
      </c>
      <c r="C3148" t="s">
        <v>3498</v>
      </c>
      <c r="D3148" t="s">
        <v>3790</v>
      </c>
      <c r="E3148">
        <v>948</v>
      </c>
      <c r="F3148" s="767">
        <v>5457.93</v>
      </c>
    </row>
    <row r="3149" spans="1:6">
      <c r="A3149" s="143">
        <v>11669</v>
      </c>
      <c r="B3149" t="s">
        <v>1144</v>
      </c>
      <c r="C3149" t="s">
        <v>3674</v>
      </c>
      <c r="D3149" t="s">
        <v>3791</v>
      </c>
      <c r="E3149">
        <v>948</v>
      </c>
      <c r="F3149" s="767">
        <v>7987.99</v>
      </c>
    </row>
    <row r="3150" spans="1:6">
      <c r="A3150" s="143">
        <v>11779</v>
      </c>
      <c r="B3150" t="s">
        <v>1184</v>
      </c>
      <c r="C3150" t="s">
        <v>3737</v>
      </c>
      <c r="D3150" t="s">
        <v>3792</v>
      </c>
      <c r="E3150">
        <v>948</v>
      </c>
      <c r="F3150">
        <v>841.26</v>
      </c>
    </row>
    <row r="3151" spans="1:6">
      <c r="A3151" s="143">
        <v>11809</v>
      </c>
      <c r="B3151" t="s">
        <v>3414</v>
      </c>
      <c r="C3151" t="s">
        <v>3793</v>
      </c>
      <c r="D3151" t="s">
        <v>3794</v>
      </c>
      <c r="E3151">
        <v>948</v>
      </c>
      <c r="F3151" s="767">
        <v>1159.92</v>
      </c>
    </row>
    <row r="3152" spans="1:6">
      <c r="A3152" s="143">
        <v>11944</v>
      </c>
      <c r="B3152" t="s">
        <v>3424</v>
      </c>
      <c r="C3152" t="s">
        <v>3454</v>
      </c>
      <c r="D3152" t="s">
        <v>3795</v>
      </c>
      <c r="E3152">
        <v>948</v>
      </c>
      <c r="F3152" s="767">
        <v>2564.83</v>
      </c>
    </row>
    <row r="3153" spans="1:6">
      <c r="A3153" s="143">
        <v>31031</v>
      </c>
      <c r="B3153" t="s">
        <v>3440</v>
      </c>
      <c r="C3153" t="s">
        <v>3526</v>
      </c>
      <c r="D3153" t="s">
        <v>3796</v>
      </c>
      <c r="E3153">
        <v>948</v>
      </c>
      <c r="F3153">
        <v>135.66999999999999</v>
      </c>
    </row>
    <row r="3154" spans="1:6">
      <c r="A3154" s="143">
        <v>31024</v>
      </c>
      <c r="B3154" t="s">
        <v>3399</v>
      </c>
      <c r="C3154" t="s">
        <v>3460</v>
      </c>
      <c r="D3154" t="s">
        <v>7463</v>
      </c>
      <c r="E3154">
        <v>964</v>
      </c>
      <c r="F3154" s="767">
        <v>2049.52</v>
      </c>
    </row>
    <row r="3155" spans="1:6">
      <c r="A3155" s="143">
        <v>11444</v>
      </c>
      <c r="B3155" t="s">
        <v>3399</v>
      </c>
      <c r="C3155" t="s">
        <v>3460</v>
      </c>
      <c r="D3155" t="s">
        <v>3797</v>
      </c>
      <c r="E3155">
        <v>977</v>
      </c>
      <c r="F3155" s="767">
        <v>97821.09</v>
      </c>
    </row>
    <row r="3156" spans="1:6">
      <c r="A3156" s="143">
        <v>11472</v>
      </c>
      <c r="B3156" t="s">
        <v>3401</v>
      </c>
      <c r="C3156" t="s">
        <v>3788</v>
      </c>
      <c r="D3156" t="s">
        <v>3798</v>
      </c>
      <c r="E3156">
        <v>998</v>
      </c>
      <c r="F3156" s="767">
        <v>14965.14</v>
      </c>
    </row>
    <row r="3157" spans="1:6">
      <c r="A3157" s="143">
        <v>11604</v>
      </c>
      <c r="B3157" t="s">
        <v>3497</v>
      </c>
      <c r="C3157" t="s">
        <v>3498</v>
      </c>
      <c r="D3157" t="s">
        <v>3799</v>
      </c>
      <c r="E3157">
        <v>998</v>
      </c>
      <c r="F3157" s="767">
        <v>5220.5</v>
      </c>
    </row>
    <row r="3158" spans="1:6">
      <c r="A3158" s="143">
        <v>11749</v>
      </c>
      <c r="B3158" t="s">
        <v>3613</v>
      </c>
      <c r="C3158" t="s">
        <v>3614</v>
      </c>
      <c r="D3158" t="s">
        <v>3800</v>
      </c>
      <c r="E3158">
        <v>998</v>
      </c>
      <c r="F3158">
        <v>434.51</v>
      </c>
    </row>
    <row r="3159" spans="1:6">
      <c r="A3159" s="143">
        <v>11944</v>
      </c>
      <c r="B3159" t="s">
        <v>3424</v>
      </c>
      <c r="C3159" t="s">
        <v>3454</v>
      </c>
      <c r="D3159" t="s">
        <v>3801</v>
      </c>
      <c r="E3159">
        <v>998</v>
      </c>
      <c r="F3159" s="767">
        <v>2564.83</v>
      </c>
    </row>
    <row r="3160" spans="1:6">
      <c r="A3160" s="143">
        <v>31027</v>
      </c>
      <c r="B3160" t="s">
        <v>1037</v>
      </c>
      <c r="C3160" t="s">
        <v>3498</v>
      </c>
      <c r="D3160" t="s">
        <v>3802</v>
      </c>
      <c r="E3160">
        <v>998</v>
      </c>
      <c r="F3160" s="767">
        <v>3256.17</v>
      </c>
    </row>
    <row r="3161" spans="1:6">
      <c r="A3161" s="143">
        <v>31027</v>
      </c>
      <c r="B3161" t="s">
        <v>1037</v>
      </c>
      <c r="C3161" t="s">
        <v>3498</v>
      </c>
      <c r="D3161" t="s">
        <v>3803</v>
      </c>
      <c r="E3161">
        <v>998</v>
      </c>
      <c r="F3161" s="767">
        <v>1390.93</v>
      </c>
    </row>
    <row r="3162" spans="1:6">
      <c r="A3162" s="143">
        <v>31027</v>
      </c>
      <c r="B3162" t="s">
        <v>1037</v>
      </c>
      <c r="C3162" t="s">
        <v>3498</v>
      </c>
      <c r="D3162" t="s">
        <v>3804</v>
      </c>
      <c r="E3162">
        <v>998</v>
      </c>
      <c r="F3162">
        <v>791.25</v>
      </c>
    </row>
    <row r="3163" spans="1:6">
      <c r="A3163" s="143">
        <v>11953</v>
      </c>
      <c r="B3163" t="s">
        <v>3644</v>
      </c>
      <c r="C3163" t="s">
        <v>3645</v>
      </c>
      <c r="D3163" t="s">
        <v>3805</v>
      </c>
      <c r="E3163">
        <v>1001</v>
      </c>
      <c r="F3163" s="767">
        <v>1025.93</v>
      </c>
    </row>
    <row r="3164" spans="1:6">
      <c r="A3164" s="143">
        <v>11953</v>
      </c>
      <c r="B3164" t="s">
        <v>3644</v>
      </c>
      <c r="C3164" t="s">
        <v>3645</v>
      </c>
      <c r="D3164" t="s">
        <v>3806</v>
      </c>
      <c r="E3164">
        <v>1001</v>
      </c>
      <c r="F3164">
        <v>502.12</v>
      </c>
    </row>
    <row r="3165" spans="1:6">
      <c r="A3165" s="143">
        <v>11312</v>
      </c>
      <c r="B3165" t="s">
        <v>3390</v>
      </c>
      <c r="C3165" t="s">
        <v>3535</v>
      </c>
      <c r="D3165" t="s">
        <v>3807</v>
      </c>
      <c r="E3165">
        <v>1024</v>
      </c>
      <c r="F3165" s="767">
        <v>152395.37</v>
      </c>
    </row>
    <row r="3166" spans="1:6">
      <c r="A3166" s="143">
        <v>11472</v>
      </c>
      <c r="B3166" t="s">
        <v>3401</v>
      </c>
      <c r="C3166" t="s">
        <v>3788</v>
      </c>
      <c r="D3166" t="s">
        <v>3808</v>
      </c>
      <c r="E3166">
        <v>1024</v>
      </c>
      <c r="F3166" s="767">
        <v>23207.31</v>
      </c>
    </row>
    <row r="3167" spans="1:6">
      <c r="A3167" s="143">
        <v>11669</v>
      </c>
      <c r="B3167" t="s">
        <v>1144</v>
      </c>
      <c r="C3167" t="s">
        <v>3674</v>
      </c>
      <c r="D3167" t="s">
        <v>3809</v>
      </c>
      <c r="E3167">
        <v>1024</v>
      </c>
      <c r="F3167" s="767">
        <v>1950.52</v>
      </c>
    </row>
    <row r="3168" spans="1:6">
      <c r="A3168" s="143">
        <v>11801</v>
      </c>
      <c r="B3168" t="s">
        <v>2082</v>
      </c>
      <c r="C3168" t="s">
        <v>3506</v>
      </c>
      <c r="D3168" t="s">
        <v>3810</v>
      </c>
      <c r="E3168">
        <v>1024</v>
      </c>
      <c r="F3168" s="767">
        <v>3057.27</v>
      </c>
    </row>
    <row r="3169" spans="1:7">
      <c r="A3169" s="143">
        <v>11944</v>
      </c>
      <c r="B3169" t="s">
        <v>3424</v>
      </c>
      <c r="C3169" t="s">
        <v>3454</v>
      </c>
      <c r="D3169" t="s">
        <v>3811</v>
      </c>
      <c r="E3169">
        <v>1024</v>
      </c>
      <c r="F3169" s="767">
        <v>2564.8200000000002</v>
      </c>
    </row>
    <row r="3170" spans="1:7">
      <c r="A3170" s="143">
        <v>21093</v>
      </c>
      <c r="B3170" t="s">
        <v>3769</v>
      </c>
      <c r="C3170" t="s">
        <v>3770</v>
      </c>
      <c r="D3170" t="s">
        <v>3812</v>
      </c>
      <c r="E3170">
        <v>1024</v>
      </c>
      <c r="F3170" s="767">
        <v>20486.71</v>
      </c>
    </row>
    <row r="3171" spans="1:7">
      <c r="A3171" s="143">
        <v>31009</v>
      </c>
      <c r="B3171" t="s">
        <v>3382</v>
      </c>
      <c r="C3171" t="s">
        <v>3459</v>
      </c>
      <c r="D3171" t="s">
        <v>3813</v>
      </c>
      <c r="E3171">
        <v>1024</v>
      </c>
      <c r="F3171" s="767">
        <v>1446.57</v>
      </c>
    </row>
    <row r="3172" spans="1:7">
      <c r="A3172" s="143">
        <v>11370</v>
      </c>
      <c r="B3172" t="s">
        <v>3394</v>
      </c>
      <c r="C3172" t="s">
        <v>3634</v>
      </c>
      <c r="D3172" t="s">
        <v>3814</v>
      </c>
      <c r="E3172">
        <v>1054</v>
      </c>
      <c r="F3172">
        <v>653.25</v>
      </c>
    </row>
    <row r="3173" spans="1:7">
      <c r="A3173" s="143">
        <v>11390</v>
      </c>
      <c r="B3173" t="s">
        <v>1228</v>
      </c>
      <c r="C3173" t="s">
        <v>3536</v>
      </c>
      <c r="D3173" t="s">
        <v>3815</v>
      </c>
      <c r="E3173">
        <v>1054</v>
      </c>
      <c r="F3173" s="767">
        <v>1130.6099999999999</v>
      </c>
    </row>
    <row r="3174" spans="1:7">
      <c r="A3174" s="143">
        <v>11472</v>
      </c>
      <c r="B3174" t="s">
        <v>3401</v>
      </c>
      <c r="C3174" t="s">
        <v>3788</v>
      </c>
      <c r="D3174" t="s">
        <v>3816</v>
      </c>
      <c r="E3174">
        <v>1054</v>
      </c>
      <c r="F3174" s="767">
        <v>20833.02</v>
      </c>
    </row>
    <row r="3175" spans="1:7">
      <c r="A3175" s="143">
        <v>11604</v>
      </c>
      <c r="B3175" t="s">
        <v>3497</v>
      </c>
      <c r="C3175" t="s">
        <v>3498</v>
      </c>
      <c r="D3175" t="s">
        <v>3817</v>
      </c>
      <c r="E3175">
        <v>1054</v>
      </c>
      <c r="F3175" s="767">
        <v>1469.37</v>
      </c>
    </row>
    <row r="3176" spans="1:7">
      <c r="A3176" s="143">
        <v>11604</v>
      </c>
      <c r="B3176" t="s">
        <v>3497</v>
      </c>
      <c r="C3176" t="s">
        <v>3498</v>
      </c>
      <c r="D3176" t="s">
        <v>3818</v>
      </c>
      <c r="E3176">
        <v>1054</v>
      </c>
      <c r="F3176" s="767">
        <v>4884.25</v>
      </c>
    </row>
    <row r="3177" spans="1:7">
      <c r="A3177" s="143">
        <v>21066</v>
      </c>
      <c r="B3177" t="s">
        <v>3765</v>
      </c>
      <c r="C3177" t="s">
        <v>3638</v>
      </c>
      <c r="D3177" t="s">
        <v>3819</v>
      </c>
      <c r="E3177">
        <v>1054</v>
      </c>
      <c r="F3177" s="767">
        <v>2001.19</v>
      </c>
    </row>
    <row r="3178" spans="1:7">
      <c r="A3178" s="143">
        <v>11944</v>
      </c>
      <c r="B3178" t="s">
        <v>3424</v>
      </c>
      <c r="C3178" t="s">
        <v>3454</v>
      </c>
      <c r="D3178" t="s">
        <v>3820</v>
      </c>
      <c r="E3178">
        <v>1055</v>
      </c>
      <c r="F3178" s="767">
        <v>2564.8200000000002</v>
      </c>
    </row>
    <row r="3179" spans="1:7">
      <c r="A3179" s="143">
        <v>11712</v>
      </c>
      <c r="B3179" t="s">
        <v>3410</v>
      </c>
      <c r="C3179" t="s">
        <v>3821</v>
      </c>
      <c r="D3179" t="s">
        <v>3823</v>
      </c>
      <c r="E3179">
        <v>1061</v>
      </c>
      <c r="F3179" s="767">
        <v>2666.57</v>
      </c>
    </row>
    <row r="3180" spans="1:7">
      <c r="A3180" s="143">
        <v>11712</v>
      </c>
      <c r="B3180" t="s">
        <v>3410</v>
      </c>
      <c r="C3180" t="s">
        <v>3821</v>
      </c>
      <c r="D3180" t="s">
        <v>3822</v>
      </c>
      <c r="E3180">
        <v>1061</v>
      </c>
      <c r="F3180" s="767">
        <v>4232.4799999999996</v>
      </c>
    </row>
    <row r="3181" spans="1:7" ht="15">
      <c r="A3181" s="1549"/>
      <c r="B3181" s="1546" t="s">
        <v>7464</v>
      </c>
      <c r="C3181" s="1549"/>
      <c r="D3181" s="1549"/>
      <c r="E3181" s="1549"/>
      <c r="F3181" s="1550"/>
      <c r="G3181" s="1548">
        <f>SUM(F2692:F3180)</f>
        <v>2928494.52</v>
      </c>
    </row>
    <row r="3182" spans="1:7">
      <c r="A3182" s="143"/>
    </row>
    <row r="3183" spans="1:7">
      <c r="B3183" s="1551" t="s">
        <v>4216</v>
      </c>
      <c r="C3183" s="1551"/>
      <c r="D3183" s="1551"/>
      <c r="E3183" s="1551"/>
      <c r="F3183" s="1544">
        <f>SUM(F2058:F3182)</f>
        <v>9724372.9900000002</v>
      </c>
      <c r="G3183" s="1544">
        <f>SUM(G2058:G3182)</f>
        <v>9724372.9899999984</v>
      </c>
    </row>
  </sheetData>
  <mergeCells count="7">
    <mergeCell ref="A2056:B2056"/>
    <mergeCell ref="D2056:F2056"/>
    <mergeCell ref="K2041:M2041"/>
    <mergeCell ref="K2042:M2042"/>
    <mergeCell ref="K2043:M2043"/>
    <mergeCell ref="K2044:M2044"/>
    <mergeCell ref="A2055:F2055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2">
    <pageSetUpPr fitToPage="1"/>
  </sheetPr>
  <dimension ref="A3:S449"/>
  <sheetViews>
    <sheetView topLeftCell="A58" workbookViewId="0">
      <selection activeCell="E48" sqref="E48:F51"/>
    </sheetView>
  </sheetViews>
  <sheetFormatPr baseColWidth="10" defaultRowHeight="12.75"/>
  <cols>
    <col min="1" max="1" width="18.28515625" customWidth="1"/>
    <col min="2" max="2" width="29.140625" customWidth="1"/>
    <col min="3" max="3" width="25.85546875" customWidth="1"/>
    <col min="4" max="4" width="27.5703125" customWidth="1"/>
    <col min="5" max="5" width="24.140625" customWidth="1"/>
    <col min="6" max="6" width="24" customWidth="1"/>
    <col min="7" max="7" width="13.5703125" customWidth="1"/>
    <col min="8" max="8" width="12.85546875" customWidth="1"/>
    <col min="11" max="11" width="60.28515625" customWidth="1"/>
    <col min="12" max="12" width="16.28515625" customWidth="1"/>
    <col min="13" max="13" width="14" customWidth="1"/>
    <col min="14" max="14" width="12.85546875" bestFit="1" customWidth="1"/>
    <col min="16" max="16" width="74" customWidth="1"/>
    <col min="18" max="18" width="15.28515625" customWidth="1"/>
    <col min="19" max="19" width="14.5703125" customWidth="1"/>
    <col min="222" max="222" width="18.28515625" customWidth="1"/>
    <col min="223" max="223" width="29.140625" customWidth="1"/>
    <col min="224" max="224" width="25.85546875" customWidth="1"/>
    <col min="225" max="225" width="27.5703125" customWidth="1"/>
    <col min="226" max="226" width="23.28515625" customWidth="1"/>
    <col min="227" max="227" width="22.5703125" customWidth="1"/>
    <col min="228" max="228" width="13.5703125" customWidth="1"/>
    <col min="229" max="229" width="12.85546875" customWidth="1"/>
    <col min="232" max="232" width="40.42578125" customWidth="1"/>
    <col min="233" max="233" width="13.7109375" customWidth="1"/>
    <col min="234" max="234" width="14" customWidth="1"/>
    <col min="235" max="235" width="12.85546875" bestFit="1" customWidth="1"/>
    <col min="478" max="478" width="18.28515625" customWidth="1"/>
    <col min="479" max="479" width="29.140625" customWidth="1"/>
    <col min="480" max="480" width="25.85546875" customWidth="1"/>
    <col min="481" max="481" width="27.5703125" customWidth="1"/>
    <col min="482" max="482" width="23.28515625" customWidth="1"/>
    <col min="483" max="483" width="22.5703125" customWidth="1"/>
    <col min="484" max="484" width="13.5703125" customWidth="1"/>
    <col min="485" max="485" width="12.85546875" customWidth="1"/>
    <col min="488" max="488" width="40.42578125" customWidth="1"/>
    <col min="489" max="489" width="13.7109375" customWidth="1"/>
    <col min="490" max="490" width="14" customWidth="1"/>
    <col min="491" max="491" width="12.85546875" bestFit="1" customWidth="1"/>
    <col min="734" max="734" width="18.28515625" customWidth="1"/>
    <col min="735" max="735" width="29.140625" customWidth="1"/>
    <col min="736" max="736" width="25.85546875" customWidth="1"/>
    <col min="737" max="737" width="27.5703125" customWidth="1"/>
    <col min="738" max="738" width="23.28515625" customWidth="1"/>
    <col min="739" max="739" width="22.5703125" customWidth="1"/>
    <col min="740" max="740" width="13.5703125" customWidth="1"/>
    <col min="741" max="741" width="12.85546875" customWidth="1"/>
    <col min="744" max="744" width="40.42578125" customWidth="1"/>
    <col min="745" max="745" width="13.7109375" customWidth="1"/>
    <col min="746" max="746" width="14" customWidth="1"/>
    <col min="747" max="747" width="12.85546875" bestFit="1" customWidth="1"/>
    <col min="990" max="990" width="18.28515625" customWidth="1"/>
    <col min="991" max="991" width="29.140625" customWidth="1"/>
    <col min="992" max="992" width="25.85546875" customWidth="1"/>
    <col min="993" max="993" width="27.5703125" customWidth="1"/>
    <col min="994" max="994" width="23.28515625" customWidth="1"/>
    <col min="995" max="995" width="22.5703125" customWidth="1"/>
    <col min="996" max="996" width="13.5703125" customWidth="1"/>
    <col min="997" max="997" width="12.85546875" customWidth="1"/>
    <col min="1000" max="1000" width="40.42578125" customWidth="1"/>
    <col min="1001" max="1001" width="13.7109375" customWidth="1"/>
    <col min="1002" max="1002" width="14" customWidth="1"/>
    <col min="1003" max="1003" width="12.85546875" bestFit="1" customWidth="1"/>
    <col min="1246" max="1246" width="18.28515625" customWidth="1"/>
    <col min="1247" max="1247" width="29.140625" customWidth="1"/>
    <col min="1248" max="1248" width="25.85546875" customWidth="1"/>
    <col min="1249" max="1249" width="27.5703125" customWidth="1"/>
    <col min="1250" max="1250" width="23.28515625" customWidth="1"/>
    <col min="1251" max="1251" width="22.5703125" customWidth="1"/>
    <col min="1252" max="1252" width="13.5703125" customWidth="1"/>
    <col min="1253" max="1253" width="12.85546875" customWidth="1"/>
    <col min="1256" max="1256" width="40.42578125" customWidth="1"/>
    <col min="1257" max="1257" width="13.7109375" customWidth="1"/>
    <col min="1258" max="1258" width="14" customWidth="1"/>
    <col min="1259" max="1259" width="12.85546875" bestFit="1" customWidth="1"/>
    <col min="1502" max="1502" width="18.28515625" customWidth="1"/>
    <col min="1503" max="1503" width="29.140625" customWidth="1"/>
    <col min="1504" max="1504" width="25.85546875" customWidth="1"/>
    <col min="1505" max="1505" width="27.5703125" customWidth="1"/>
    <col min="1506" max="1506" width="23.28515625" customWidth="1"/>
    <col min="1507" max="1507" width="22.5703125" customWidth="1"/>
    <col min="1508" max="1508" width="13.5703125" customWidth="1"/>
    <col min="1509" max="1509" width="12.85546875" customWidth="1"/>
    <col min="1512" max="1512" width="40.42578125" customWidth="1"/>
    <col min="1513" max="1513" width="13.7109375" customWidth="1"/>
    <col min="1514" max="1514" width="14" customWidth="1"/>
    <col min="1515" max="1515" width="12.85546875" bestFit="1" customWidth="1"/>
    <col min="1758" max="1758" width="18.28515625" customWidth="1"/>
    <col min="1759" max="1759" width="29.140625" customWidth="1"/>
    <col min="1760" max="1760" width="25.85546875" customWidth="1"/>
    <col min="1761" max="1761" width="27.5703125" customWidth="1"/>
    <col min="1762" max="1762" width="23.28515625" customWidth="1"/>
    <col min="1763" max="1763" width="22.5703125" customWidth="1"/>
    <col min="1764" max="1764" width="13.5703125" customWidth="1"/>
    <col min="1765" max="1765" width="12.85546875" customWidth="1"/>
    <col min="1768" max="1768" width="40.42578125" customWidth="1"/>
    <col min="1769" max="1769" width="13.7109375" customWidth="1"/>
    <col min="1770" max="1770" width="14" customWidth="1"/>
    <col min="1771" max="1771" width="12.85546875" bestFit="1" customWidth="1"/>
    <col min="2014" max="2014" width="18.28515625" customWidth="1"/>
    <col min="2015" max="2015" width="29.140625" customWidth="1"/>
    <col min="2016" max="2016" width="25.85546875" customWidth="1"/>
    <col min="2017" max="2017" width="27.5703125" customWidth="1"/>
    <col min="2018" max="2018" width="23.28515625" customWidth="1"/>
    <col min="2019" max="2019" width="22.5703125" customWidth="1"/>
    <col min="2020" max="2020" width="13.5703125" customWidth="1"/>
    <col min="2021" max="2021" width="12.85546875" customWidth="1"/>
    <col min="2024" max="2024" width="40.42578125" customWidth="1"/>
    <col min="2025" max="2025" width="13.7109375" customWidth="1"/>
    <col min="2026" max="2026" width="14" customWidth="1"/>
    <col min="2027" max="2027" width="12.85546875" bestFit="1" customWidth="1"/>
    <col min="2270" max="2270" width="18.28515625" customWidth="1"/>
    <col min="2271" max="2271" width="29.140625" customWidth="1"/>
    <col min="2272" max="2272" width="25.85546875" customWidth="1"/>
    <col min="2273" max="2273" width="27.5703125" customWidth="1"/>
    <col min="2274" max="2274" width="23.28515625" customWidth="1"/>
    <col min="2275" max="2275" width="22.5703125" customWidth="1"/>
    <col min="2276" max="2276" width="13.5703125" customWidth="1"/>
    <col min="2277" max="2277" width="12.85546875" customWidth="1"/>
    <col min="2280" max="2280" width="40.42578125" customWidth="1"/>
    <col min="2281" max="2281" width="13.7109375" customWidth="1"/>
    <col min="2282" max="2282" width="14" customWidth="1"/>
    <col min="2283" max="2283" width="12.85546875" bestFit="1" customWidth="1"/>
    <col min="2526" max="2526" width="18.28515625" customWidth="1"/>
    <col min="2527" max="2527" width="29.140625" customWidth="1"/>
    <col min="2528" max="2528" width="25.85546875" customWidth="1"/>
    <col min="2529" max="2529" width="27.5703125" customWidth="1"/>
    <col min="2530" max="2530" width="23.28515625" customWidth="1"/>
    <col min="2531" max="2531" width="22.5703125" customWidth="1"/>
    <col min="2532" max="2532" width="13.5703125" customWidth="1"/>
    <col min="2533" max="2533" width="12.85546875" customWidth="1"/>
    <col min="2536" max="2536" width="40.42578125" customWidth="1"/>
    <col min="2537" max="2537" width="13.7109375" customWidth="1"/>
    <col min="2538" max="2538" width="14" customWidth="1"/>
    <col min="2539" max="2539" width="12.85546875" bestFit="1" customWidth="1"/>
    <col min="2782" max="2782" width="18.28515625" customWidth="1"/>
    <col min="2783" max="2783" width="29.140625" customWidth="1"/>
    <col min="2784" max="2784" width="25.85546875" customWidth="1"/>
    <col min="2785" max="2785" width="27.5703125" customWidth="1"/>
    <col min="2786" max="2786" width="23.28515625" customWidth="1"/>
    <col min="2787" max="2787" width="22.5703125" customWidth="1"/>
    <col min="2788" max="2788" width="13.5703125" customWidth="1"/>
    <col min="2789" max="2789" width="12.85546875" customWidth="1"/>
    <col min="2792" max="2792" width="40.42578125" customWidth="1"/>
    <col min="2793" max="2793" width="13.7109375" customWidth="1"/>
    <col min="2794" max="2794" width="14" customWidth="1"/>
    <col min="2795" max="2795" width="12.85546875" bestFit="1" customWidth="1"/>
    <col min="3038" max="3038" width="18.28515625" customWidth="1"/>
    <col min="3039" max="3039" width="29.140625" customWidth="1"/>
    <col min="3040" max="3040" width="25.85546875" customWidth="1"/>
    <col min="3041" max="3041" width="27.5703125" customWidth="1"/>
    <col min="3042" max="3042" width="23.28515625" customWidth="1"/>
    <col min="3043" max="3043" width="22.5703125" customWidth="1"/>
    <col min="3044" max="3044" width="13.5703125" customWidth="1"/>
    <col min="3045" max="3045" width="12.85546875" customWidth="1"/>
    <col min="3048" max="3048" width="40.42578125" customWidth="1"/>
    <col min="3049" max="3049" width="13.7109375" customWidth="1"/>
    <col min="3050" max="3050" width="14" customWidth="1"/>
    <col min="3051" max="3051" width="12.85546875" bestFit="1" customWidth="1"/>
    <col min="3294" max="3294" width="18.28515625" customWidth="1"/>
    <col min="3295" max="3295" width="29.140625" customWidth="1"/>
    <col min="3296" max="3296" width="25.85546875" customWidth="1"/>
    <col min="3297" max="3297" width="27.5703125" customWidth="1"/>
    <col min="3298" max="3298" width="23.28515625" customWidth="1"/>
    <col min="3299" max="3299" width="22.5703125" customWidth="1"/>
    <col min="3300" max="3300" width="13.5703125" customWidth="1"/>
    <col min="3301" max="3301" width="12.85546875" customWidth="1"/>
    <col min="3304" max="3304" width="40.42578125" customWidth="1"/>
    <col min="3305" max="3305" width="13.7109375" customWidth="1"/>
    <col min="3306" max="3306" width="14" customWidth="1"/>
    <col min="3307" max="3307" width="12.85546875" bestFit="1" customWidth="1"/>
    <col min="3550" max="3550" width="18.28515625" customWidth="1"/>
    <col min="3551" max="3551" width="29.140625" customWidth="1"/>
    <col min="3552" max="3552" width="25.85546875" customWidth="1"/>
    <col min="3553" max="3553" width="27.5703125" customWidth="1"/>
    <col min="3554" max="3554" width="23.28515625" customWidth="1"/>
    <col min="3555" max="3555" width="22.5703125" customWidth="1"/>
    <col min="3556" max="3556" width="13.5703125" customWidth="1"/>
    <col min="3557" max="3557" width="12.85546875" customWidth="1"/>
    <col min="3560" max="3560" width="40.42578125" customWidth="1"/>
    <col min="3561" max="3561" width="13.7109375" customWidth="1"/>
    <col min="3562" max="3562" width="14" customWidth="1"/>
    <col min="3563" max="3563" width="12.85546875" bestFit="1" customWidth="1"/>
    <col min="3806" max="3806" width="18.28515625" customWidth="1"/>
    <col min="3807" max="3807" width="29.140625" customWidth="1"/>
    <col min="3808" max="3808" width="25.85546875" customWidth="1"/>
    <col min="3809" max="3809" width="27.5703125" customWidth="1"/>
    <col min="3810" max="3810" width="23.28515625" customWidth="1"/>
    <col min="3811" max="3811" width="22.5703125" customWidth="1"/>
    <col min="3812" max="3812" width="13.5703125" customWidth="1"/>
    <col min="3813" max="3813" width="12.85546875" customWidth="1"/>
    <col min="3816" max="3816" width="40.42578125" customWidth="1"/>
    <col min="3817" max="3817" width="13.7109375" customWidth="1"/>
    <col min="3818" max="3818" width="14" customWidth="1"/>
    <col min="3819" max="3819" width="12.85546875" bestFit="1" customWidth="1"/>
    <col min="4062" max="4062" width="18.28515625" customWidth="1"/>
    <col min="4063" max="4063" width="29.140625" customWidth="1"/>
    <col min="4064" max="4064" width="25.85546875" customWidth="1"/>
    <col min="4065" max="4065" width="27.5703125" customWidth="1"/>
    <col min="4066" max="4066" width="23.28515625" customWidth="1"/>
    <col min="4067" max="4067" width="22.5703125" customWidth="1"/>
    <col min="4068" max="4068" width="13.5703125" customWidth="1"/>
    <col min="4069" max="4069" width="12.85546875" customWidth="1"/>
    <col min="4072" max="4072" width="40.42578125" customWidth="1"/>
    <col min="4073" max="4073" width="13.7109375" customWidth="1"/>
    <col min="4074" max="4074" width="14" customWidth="1"/>
    <col min="4075" max="4075" width="12.85546875" bestFit="1" customWidth="1"/>
    <col min="4318" max="4318" width="18.28515625" customWidth="1"/>
    <col min="4319" max="4319" width="29.140625" customWidth="1"/>
    <col min="4320" max="4320" width="25.85546875" customWidth="1"/>
    <col min="4321" max="4321" width="27.5703125" customWidth="1"/>
    <col min="4322" max="4322" width="23.28515625" customWidth="1"/>
    <col min="4323" max="4323" width="22.5703125" customWidth="1"/>
    <col min="4324" max="4324" width="13.5703125" customWidth="1"/>
    <col min="4325" max="4325" width="12.85546875" customWidth="1"/>
    <col min="4328" max="4328" width="40.42578125" customWidth="1"/>
    <col min="4329" max="4329" width="13.7109375" customWidth="1"/>
    <col min="4330" max="4330" width="14" customWidth="1"/>
    <col min="4331" max="4331" width="12.85546875" bestFit="1" customWidth="1"/>
    <col min="4574" max="4574" width="18.28515625" customWidth="1"/>
    <col min="4575" max="4575" width="29.140625" customWidth="1"/>
    <col min="4576" max="4576" width="25.85546875" customWidth="1"/>
    <col min="4577" max="4577" width="27.5703125" customWidth="1"/>
    <col min="4578" max="4578" width="23.28515625" customWidth="1"/>
    <col min="4579" max="4579" width="22.5703125" customWidth="1"/>
    <col min="4580" max="4580" width="13.5703125" customWidth="1"/>
    <col min="4581" max="4581" width="12.85546875" customWidth="1"/>
    <col min="4584" max="4584" width="40.42578125" customWidth="1"/>
    <col min="4585" max="4585" width="13.7109375" customWidth="1"/>
    <col min="4586" max="4586" width="14" customWidth="1"/>
    <col min="4587" max="4587" width="12.85546875" bestFit="1" customWidth="1"/>
    <col min="4830" max="4830" width="18.28515625" customWidth="1"/>
    <col min="4831" max="4831" width="29.140625" customWidth="1"/>
    <col min="4832" max="4832" width="25.85546875" customWidth="1"/>
    <col min="4833" max="4833" width="27.5703125" customWidth="1"/>
    <col min="4834" max="4834" width="23.28515625" customWidth="1"/>
    <col min="4835" max="4835" width="22.5703125" customWidth="1"/>
    <col min="4836" max="4836" width="13.5703125" customWidth="1"/>
    <col min="4837" max="4837" width="12.85546875" customWidth="1"/>
    <col min="4840" max="4840" width="40.42578125" customWidth="1"/>
    <col min="4841" max="4841" width="13.7109375" customWidth="1"/>
    <col min="4842" max="4842" width="14" customWidth="1"/>
    <col min="4843" max="4843" width="12.85546875" bestFit="1" customWidth="1"/>
    <col min="5086" max="5086" width="18.28515625" customWidth="1"/>
    <col min="5087" max="5087" width="29.140625" customWidth="1"/>
    <col min="5088" max="5088" width="25.85546875" customWidth="1"/>
    <col min="5089" max="5089" width="27.5703125" customWidth="1"/>
    <col min="5090" max="5090" width="23.28515625" customWidth="1"/>
    <col min="5091" max="5091" width="22.5703125" customWidth="1"/>
    <col min="5092" max="5092" width="13.5703125" customWidth="1"/>
    <col min="5093" max="5093" width="12.85546875" customWidth="1"/>
    <col min="5096" max="5096" width="40.42578125" customWidth="1"/>
    <col min="5097" max="5097" width="13.7109375" customWidth="1"/>
    <col min="5098" max="5098" width="14" customWidth="1"/>
    <col min="5099" max="5099" width="12.85546875" bestFit="1" customWidth="1"/>
    <col min="5342" max="5342" width="18.28515625" customWidth="1"/>
    <col min="5343" max="5343" width="29.140625" customWidth="1"/>
    <col min="5344" max="5344" width="25.85546875" customWidth="1"/>
    <col min="5345" max="5345" width="27.5703125" customWidth="1"/>
    <col min="5346" max="5346" width="23.28515625" customWidth="1"/>
    <col min="5347" max="5347" width="22.5703125" customWidth="1"/>
    <col min="5348" max="5348" width="13.5703125" customWidth="1"/>
    <col min="5349" max="5349" width="12.85546875" customWidth="1"/>
    <col min="5352" max="5352" width="40.42578125" customWidth="1"/>
    <col min="5353" max="5353" width="13.7109375" customWidth="1"/>
    <col min="5354" max="5354" width="14" customWidth="1"/>
    <col min="5355" max="5355" width="12.85546875" bestFit="1" customWidth="1"/>
    <col min="5598" max="5598" width="18.28515625" customWidth="1"/>
    <col min="5599" max="5599" width="29.140625" customWidth="1"/>
    <col min="5600" max="5600" width="25.85546875" customWidth="1"/>
    <col min="5601" max="5601" width="27.5703125" customWidth="1"/>
    <col min="5602" max="5602" width="23.28515625" customWidth="1"/>
    <col min="5603" max="5603" width="22.5703125" customWidth="1"/>
    <col min="5604" max="5604" width="13.5703125" customWidth="1"/>
    <col min="5605" max="5605" width="12.85546875" customWidth="1"/>
    <col min="5608" max="5608" width="40.42578125" customWidth="1"/>
    <col min="5609" max="5609" width="13.7109375" customWidth="1"/>
    <col min="5610" max="5610" width="14" customWidth="1"/>
    <col min="5611" max="5611" width="12.85546875" bestFit="1" customWidth="1"/>
    <col min="5854" max="5854" width="18.28515625" customWidth="1"/>
    <col min="5855" max="5855" width="29.140625" customWidth="1"/>
    <col min="5856" max="5856" width="25.85546875" customWidth="1"/>
    <col min="5857" max="5857" width="27.5703125" customWidth="1"/>
    <col min="5858" max="5858" width="23.28515625" customWidth="1"/>
    <col min="5859" max="5859" width="22.5703125" customWidth="1"/>
    <col min="5860" max="5860" width="13.5703125" customWidth="1"/>
    <col min="5861" max="5861" width="12.85546875" customWidth="1"/>
    <col min="5864" max="5864" width="40.42578125" customWidth="1"/>
    <col min="5865" max="5865" width="13.7109375" customWidth="1"/>
    <col min="5866" max="5866" width="14" customWidth="1"/>
    <col min="5867" max="5867" width="12.85546875" bestFit="1" customWidth="1"/>
    <col min="6110" max="6110" width="18.28515625" customWidth="1"/>
    <col min="6111" max="6111" width="29.140625" customWidth="1"/>
    <col min="6112" max="6112" width="25.85546875" customWidth="1"/>
    <col min="6113" max="6113" width="27.5703125" customWidth="1"/>
    <col min="6114" max="6114" width="23.28515625" customWidth="1"/>
    <col min="6115" max="6115" width="22.5703125" customWidth="1"/>
    <col min="6116" max="6116" width="13.5703125" customWidth="1"/>
    <col min="6117" max="6117" width="12.85546875" customWidth="1"/>
    <col min="6120" max="6120" width="40.42578125" customWidth="1"/>
    <col min="6121" max="6121" width="13.7109375" customWidth="1"/>
    <col min="6122" max="6122" width="14" customWidth="1"/>
    <col min="6123" max="6123" width="12.85546875" bestFit="1" customWidth="1"/>
    <col min="6366" max="6366" width="18.28515625" customWidth="1"/>
    <col min="6367" max="6367" width="29.140625" customWidth="1"/>
    <col min="6368" max="6368" width="25.85546875" customWidth="1"/>
    <col min="6369" max="6369" width="27.5703125" customWidth="1"/>
    <col min="6370" max="6370" width="23.28515625" customWidth="1"/>
    <col min="6371" max="6371" width="22.5703125" customWidth="1"/>
    <col min="6372" max="6372" width="13.5703125" customWidth="1"/>
    <col min="6373" max="6373" width="12.85546875" customWidth="1"/>
    <col min="6376" max="6376" width="40.42578125" customWidth="1"/>
    <col min="6377" max="6377" width="13.7109375" customWidth="1"/>
    <col min="6378" max="6378" width="14" customWidth="1"/>
    <col min="6379" max="6379" width="12.85546875" bestFit="1" customWidth="1"/>
    <col min="6622" max="6622" width="18.28515625" customWidth="1"/>
    <col min="6623" max="6623" width="29.140625" customWidth="1"/>
    <col min="6624" max="6624" width="25.85546875" customWidth="1"/>
    <col min="6625" max="6625" width="27.5703125" customWidth="1"/>
    <col min="6626" max="6626" width="23.28515625" customWidth="1"/>
    <col min="6627" max="6627" width="22.5703125" customWidth="1"/>
    <col min="6628" max="6628" width="13.5703125" customWidth="1"/>
    <col min="6629" max="6629" width="12.85546875" customWidth="1"/>
    <col min="6632" max="6632" width="40.42578125" customWidth="1"/>
    <col min="6633" max="6633" width="13.7109375" customWidth="1"/>
    <col min="6634" max="6634" width="14" customWidth="1"/>
    <col min="6635" max="6635" width="12.85546875" bestFit="1" customWidth="1"/>
    <col min="6878" max="6878" width="18.28515625" customWidth="1"/>
    <col min="6879" max="6879" width="29.140625" customWidth="1"/>
    <col min="6880" max="6880" width="25.85546875" customWidth="1"/>
    <col min="6881" max="6881" width="27.5703125" customWidth="1"/>
    <col min="6882" max="6882" width="23.28515625" customWidth="1"/>
    <col min="6883" max="6883" width="22.5703125" customWidth="1"/>
    <col min="6884" max="6884" width="13.5703125" customWidth="1"/>
    <col min="6885" max="6885" width="12.85546875" customWidth="1"/>
    <col min="6888" max="6888" width="40.42578125" customWidth="1"/>
    <col min="6889" max="6889" width="13.7109375" customWidth="1"/>
    <col min="6890" max="6890" width="14" customWidth="1"/>
    <col min="6891" max="6891" width="12.85546875" bestFit="1" customWidth="1"/>
    <col min="7134" max="7134" width="18.28515625" customWidth="1"/>
    <col min="7135" max="7135" width="29.140625" customWidth="1"/>
    <col min="7136" max="7136" width="25.85546875" customWidth="1"/>
    <col min="7137" max="7137" width="27.5703125" customWidth="1"/>
    <col min="7138" max="7138" width="23.28515625" customWidth="1"/>
    <col min="7139" max="7139" width="22.5703125" customWidth="1"/>
    <col min="7140" max="7140" width="13.5703125" customWidth="1"/>
    <col min="7141" max="7141" width="12.85546875" customWidth="1"/>
    <col min="7144" max="7144" width="40.42578125" customWidth="1"/>
    <col min="7145" max="7145" width="13.7109375" customWidth="1"/>
    <col min="7146" max="7146" width="14" customWidth="1"/>
    <col min="7147" max="7147" width="12.85546875" bestFit="1" customWidth="1"/>
    <col min="7390" max="7390" width="18.28515625" customWidth="1"/>
    <col min="7391" max="7391" width="29.140625" customWidth="1"/>
    <col min="7392" max="7392" width="25.85546875" customWidth="1"/>
    <col min="7393" max="7393" width="27.5703125" customWidth="1"/>
    <col min="7394" max="7394" width="23.28515625" customWidth="1"/>
    <col min="7395" max="7395" width="22.5703125" customWidth="1"/>
    <col min="7396" max="7396" width="13.5703125" customWidth="1"/>
    <col min="7397" max="7397" width="12.85546875" customWidth="1"/>
    <col min="7400" max="7400" width="40.42578125" customWidth="1"/>
    <col min="7401" max="7401" width="13.7109375" customWidth="1"/>
    <col min="7402" max="7402" width="14" customWidth="1"/>
    <col min="7403" max="7403" width="12.85546875" bestFit="1" customWidth="1"/>
    <col min="7646" max="7646" width="18.28515625" customWidth="1"/>
    <col min="7647" max="7647" width="29.140625" customWidth="1"/>
    <col min="7648" max="7648" width="25.85546875" customWidth="1"/>
    <col min="7649" max="7649" width="27.5703125" customWidth="1"/>
    <col min="7650" max="7650" width="23.28515625" customWidth="1"/>
    <col min="7651" max="7651" width="22.5703125" customWidth="1"/>
    <col min="7652" max="7652" width="13.5703125" customWidth="1"/>
    <col min="7653" max="7653" width="12.85546875" customWidth="1"/>
    <col min="7656" max="7656" width="40.42578125" customWidth="1"/>
    <col min="7657" max="7657" width="13.7109375" customWidth="1"/>
    <col min="7658" max="7658" width="14" customWidth="1"/>
    <col min="7659" max="7659" width="12.85546875" bestFit="1" customWidth="1"/>
    <col min="7902" max="7902" width="18.28515625" customWidth="1"/>
    <col min="7903" max="7903" width="29.140625" customWidth="1"/>
    <col min="7904" max="7904" width="25.85546875" customWidth="1"/>
    <col min="7905" max="7905" width="27.5703125" customWidth="1"/>
    <col min="7906" max="7906" width="23.28515625" customWidth="1"/>
    <col min="7907" max="7907" width="22.5703125" customWidth="1"/>
    <col min="7908" max="7908" width="13.5703125" customWidth="1"/>
    <col min="7909" max="7909" width="12.85546875" customWidth="1"/>
    <col min="7912" max="7912" width="40.42578125" customWidth="1"/>
    <col min="7913" max="7913" width="13.7109375" customWidth="1"/>
    <col min="7914" max="7914" width="14" customWidth="1"/>
    <col min="7915" max="7915" width="12.85546875" bestFit="1" customWidth="1"/>
    <col min="8158" max="8158" width="18.28515625" customWidth="1"/>
    <col min="8159" max="8159" width="29.140625" customWidth="1"/>
    <col min="8160" max="8160" width="25.85546875" customWidth="1"/>
    <col min="8161" max="8161" width="27.5703125" customWidth="1"/>
    <col min="8162" max="8162" width="23.28515625" customWidth="1"/>
    <col min="8163" max="8163" width="22.5703125" customWidth="1"/>
    <col min="8164" max="8164" width="13.5703125" customWidth="1"/>
    <col min="8165" max="8165" width="12.85546875" customWidth="1"/>
    <col min="8168" max="8168" width="40.42578125" customWidth="1"/>
    <col min="8169" max="8169" width="13.7109375" customWidth="1"/>
    <col min="8170" max="8170" width="14" customWidth="1"/>
    <col min="8171" max="8171" width="12.85546875" bestFit="1" customWidth="1"/>
    <col min="8414" max="8414" width="18.28515625" customWidth="1"/>
    <col min="8415" max="8415" width="29.140625" customWidth="1"/>
    <col min="8416" max="8416" width="25.85546875" customWidth="1"/>
    <col min="8417" max="8417" width="27.5703125" customWidth="1"/>
    <col min="8418" max="8418" width="23.28515625" customWidth="1"/>
    <col min="8419" max="8419" width="22.5703125" customWidth="1"/>
    <col min="8420" max="8420" width="13.5703125" customWidth="1"/>
    <col min="8421" max="8421" width="12.85546875" customWidth="1"/>
    <col min="8424" max="8424" width="40.42578125" customWidth="1"/>
    <col min="8425" max="8425" width="13.7109375" customWidth="1"/>
    <col min="8426" max="8426" width="14" customWidth="1"/>
    <col min="8427" max="8427" width="12.85546875" bestFit="1" customWidth="1"/>
    <col min="8670" max="8670" width="18.28515625" customWidth="1"/>
    <col min="8671" max="8671" width="29.140625" customWidth="1"/>
    <col min="8672" max="8672" width="25.85546875" customWidth="1"/>
    <col min="8673" max="8673" width="27.5703125" customWidth="1"/>
    <col min="8674" max="8674" width="23.28515625" customWidth="1"/>
    <col min="8675" max="8675" width="22.5703125" customWidth="1"/>
    <col min="8676" max="8676" width="13.5703125" customWidth="1"/>
    <col min="8677" max="8677" width="12.85546875" customWidth="1"/>
    <col min="8680" max="8680" width="40.42578125" customWidth="1"/>
    <col min="8681" max="8681" width="13.7109375" customWidth="1"/>
    <col min="8682" max="8682" width="14" customWidth="1"/>
    <col min="8683" max="8683" width="12.85546875" bestFit="1" customWidth="1"/>
    <col min="8926" max="8926" width="18.28515625" customWidth="1"/>
    <col min="8927" max="8927" width="29.140625" customWidth="1"/>
    <col min="8928" max="8928" width="25.85546875" customWidth="1"/>
    <col min="8929" max="8929" width="27.5703125" customWidth="1"/>
    <col min="8930" max="8930" width="23.28515625" customWidth="1"/>
    <col min="8931" max="8931" width="22.5703125" customWidth="1"/>
    <col min="8932" max="8932" width="13.5703125" customWidth="1"/>
    <col min="8933" max="8933" width="12.85546875" customWidth="1"/>
    <col min="8936" max="8936" width="40.42578125" customWidth="1"/>
    <col min="8937" max="8937" width="13.7109375" customWidth="1"/>
    <col min="8938" max="8938" width="14" customWidth="1"/>
    <col min="8939" max="8939" width="12.85546875" bestFit="1" customWidth="1"/>
    <col min="9182" max="9182" width="18.28515625" customWidth="1"/>
    <col min="9183" max="9183" width="29.140625" customWidth="1"/>
    <col min="9184" max="9184" width="25.85546875" customWidth="1"/>
    <col min="9185" max="9185" width="27.5703125" customWidth="1"/>
    <col min="9186" max="9186" width="23.28515625" customWidth="1"/>
    <col min="9187" max="9187" width="22.5703125" customWidth="1"/>
    <col min="9188" max="9188" width="13.5703125" customWidth="1"/>
    <col min="9189" max="9189" width="12.85546875" customWidth="1"/>
    <col min="9192" max="9192" width="40.42578125" customWidth="1"/>
    <col min="9193" max="9193" width="13.7109375" customWidth="1"/>
    <col min="9194" max="9194" width="14" customWidth="1"/>
    <col min="9195" max="9195" width="12.85546875" bestFit="1" customWidth="1"/>
    <col min="9438" max="9438" width="18.28515625" customWidth="1"/>
    <col min="9439" max="9439" width="29.140625" customWidth="1"/>
    <col min="9440" max="9440" width="25.85546875" customWidth="1"/>
    <col min="9441" max="9441" width="27.5703125" customWidth="1"/>
    <col min="9442" max="9442" width="23.28515625" customWidth="1"/>
    <col min="9443" max="9443" width="22.5703125" customWidth="1"/>
    <col min="9444" max="9444" width="13.5703125" customWidth="1"/>
    <col min="9445" max="9445" width="12.85546875" customWidth="1"/>
    <col min="9448" max="9448" width="40.42578125" customWidth="1"/>
    <col min="9449" max="9449" width="13.7109375" customWidth="1"/>
    <col min="9450" max="9450" width="14" customWidth="1"/>
    <col min="9451" max="9451" width="12.85546875" bestFit="1" customWidth="1"/>
    <col min="9694" max="9694" width="18.28515625" customWidth="1"/>
    <col min="9695" max="9695" width="29.140625" customWidth="1"/>
    <col min="9696" max="9696" width="25.85546875" customWidth="1"/>
    <col min="9697" max="9697" width="27.5703125" customWidth="1"/>
    <col min="9698" max="9698" width="23.28515625" customWidth="1"/>
    <col min="9699" max="9699" width="22.5703125" customWidth="1"/>
    <col min="9700" max="9700" width="13.5703125" customWidth="1"/>
    <col min="9701" max="9701" width="12.85546875" customWidth="1"/>
    <col min="9704" max="9704" width="40.42578125" customWidth="1"/>
    <col min="9705" max="9705" width="13.7109375" customWidth="1"/>
    <col min="9706" max="9706" width="14" customWidth="1"/>
    <col min="9707" max="9707" width="12.85546875" bestFit="1" customWidth="1"/>
    <col min="9950" max="9950" width="18.28515625" customWidth="1"/>
    <col min="9951" max="9951" width="29.140625" customWidth="1"/>
    <col min="9952" max="9952" width="25.85546875" customWidth="1"/>
    <col min="9953" max="9953" width="27.5703125" customWidth="1"/>
    <col min="9954" max="9954" width="23.28515625" customWidth="1"/>
    <col min="9955" max="9955" width="22.5703125" customWidth="1"/>
    <col min="9956" max="9956" width="13.5703125" customWidth="1"/>
    <col min="9957" max="9957" width="12.85546875" customWidth="1"/>
    <col min="9960" max="9960" width="40.42578125" customWidth="1"/>
    <col min="9961" max="9961" width="13.7109375" customWidth="1"/>
    <col min="9962" max="9962" width="14" customWidth="1"/>
    <col min="9963" max="9963" width="12.85546875" bestFit="1" customWidth="1"/>
    <col min="10206" max="10206" width="18.28515625" customWidth="1"/>
    <col min="10207" max="10207" width="29.140625" customWidth="1"/>
    <col min="10208" max="10208" width="25.85546875" customWidth="1"/>
    <col min="10209" max="10209" width="27.5703125" customWidth="1"/>
    <col min="10210" max="10210" width="23.28515625" customWidth="1"/>
    <col min="10211" max="10211" width="22.5703125" customWidth="1"/>
    <col min="10212" max="10212" width="13.5703125" customWidth="1"/>
    <col min="10213" max="10213" width="12.85546875" customWidth="1"/>
    <col min="10216" max="10216" width="40.42578125" customWidth="1"/>
    <col min="10217" max="10217" width="13.7109375" customWidth="1"/>
    <col min="10218" max="10218" width="14" customWidth="1"/>
    <col min="10219" max="10219" width="12.85546875" bestFit="1" customWidth="1"/>
    <col min="10462" max="10462" width="18.28515625" customWidth="1"/>
    <col min="10463" max="10463" width="29.140625" customWidth="1"/>
    <col min="10464" max="10464" width="25.85546875" customWidth="1"/>
    <col min="10465" max="10465" width="27.5703125" customWidth="1"/>
    <col min="10466" max="10466" width="23.28515625" customWidth="1"/>
    <col min="10467" max="10467" width="22.5703125" customWidth="1"/>
    <col min="10468" max="10468" width="13.5703125" customWidth="1"/>
    <col min="10469" max="10469" width="12.85546875" customWidth="1"/>
    <col min="10472" max="10472" width="40.42578125" customWidth="1"/>
    <col min="10473" max="10473" width="13.7109375" customWidth="1"/>
    <col min="10474" max="10474" width="14" customWidth="1"/>
    <col min="10475" max="10475" width="12.85546875" bestFit="1" customWidth="1"/>
    <col min="10718" max="10718" width="18.28515625" customWidth="1"/>
    <col min="10719" max="10719" width="29.140625" customWidth="1"/>
    <col min="10720" max="10720" width="25.85546875" customWidth="1"/>
    <col min="10721" max="10721" width="27.5703125" customWidth="1"/>
    <col min="10722" max="10722" width="23.28515625" customWidth="1"/>
    <col min="10723" max="10723" width="22.5703125" customWidth="1"/>
    <col min="10724" max="10724" width="13.5703125" customWidth="1"/>
    <col min="10725" max="10725" width="12.85546875" customWidth="1"/>
    <col min="10728" max="10728" width="40.42578125" customWidth="1"/>
    <col min="10729" max="10729" width="13.7109375" customWidth="1"/>
    <col min="10730" max="10730" width="14" customWidth="1"/>
    <col min="10731" max="10731" width="12.85546875" bestFit="1" customWidth="1"/>
    <col min="10974" max="10974" width="18.28515625" customWidth="1"/>
    <col min="10975" max="10975" width="29.140625" customWidth="1"/>
    <col min="10976" max="10976" width="25.85546875" customWidth="1"/>
    <col min="10977" max="10977" width="27.5703125" customWidth="1"/>
    <col min="10978" max="10978" width="23.28515625" customWidth="1"/>
    <col min="10979" max="10979" width="22.5703125" customWidth="1"/>
    <col min="10980" max="10980" width="13.5703125" customWidth="1"/>
    <col min="10981" max="10981" width="12.85546875" customWidth="1"/>
    <col min="10984" max="10984" width="40.42578125" customWidth="1"/>
    <col min="10985" max="10985" width="13.7109375" customWidth="1"/>
    <col min="10986" max="10986" width="14" customWidth="1"/>
    <col min="10987" max="10987" width="12.85546875" bestFit="1" customWidth="1"/>
    <col min="11230" max="11230" width="18.28515625" customWidth="1"/>
    <col min="11231" max="11231" width="29.140625" customWidth="1"/>
    <col min="11232" max="11232" width="25.85546875" customWidth="1"/>
    <col min="11233" max="11233" width="27.5703125" customWidth="1"/>
    <col min="11234" max="11234" width="23.28515625" customWidth="1"/>
    <col min="11235" max="11235" width="22.5703125" customWidth="1"/>
    <col min="11236" max="11236" width="13.5703125" customWidth="1"/>
    <col min="11237" max="11237" width="12.85546875" customWidth="1"/>
    <col min="11240" max="11240" width="40.42578125" customWidth="1"/>
    <col min="11241" max="11241" width="13.7109375" customWidth="1"/>
    <col min="11242" max="11242" width="14" customWidth="1"/>
    <col min="11243" max="11243" width="12.85546875" bestFit="1" customWidth="1"/>
    <col min="11486" max="11486" width="18.28515625" customWidth="1"/>
    <col min="11487" max="11487" width="29.140625" customWidth="1"/>
    <col min="11488" max="11488" width="25.85546875" customWidth="1"/>
    <col min="11489" max="11489" width="27.5703125" customWidth="1"/>
    <col min="11490" max="11490" width="23.28515625" customWidth="1"/>
    <col min="11491" max="11491" width="22.5703125" customWidth="1"/>
    <col min="11492" max="11492" width="13.5703125" customWidth="1"/>
    <col min="11493" max="11493" width="12.85546875" customWidth="1"/>
    <col min="11496" max="11496" width="40.42578125" customWidth="1"/>
    <col min="11497" max="11497" width="13.7109375" customWidth="1"/>
    <col min="11498" max="11498" width="14" customWidth="1"/>
    <col min="11499" max="11499" width="12.85546875" bestFit="1" customWidth="1"/>
    <col min="11742" max="11742" width="18.28515625" customWidth="1"/>
    <col min="11743" max="11743" width="29.140625" customWidth="1"/>
    <col min="11744" max="11744" width="25.85546875" customWidth="1"/>
    <col min="11745" max="11745" width="27.5703125" customWidth="1"/>
    <col min="11746" max="11746" width="23.28515625" customWidth="1"/>
    <col min="11747" max="11747" width="22.5703125" customWidth="1"/>
    <col min="11748" max="11748" width="13.5703125" customWidth="1"/>
    <col min="11749" max="11749" width="12.85546875" customWidth="1"/>
    <col min="11752" max="11752" width="40.42578125" customWidth="1"/>
    <col min="11753" max="11753" width="13.7109375" customWidth="1"/>
    <col min="11754" max="11754" width="14" customWidth="1"/>
    <col min="11755" max="11755" width="12.85546875" bestFit="1" customWidth="1"/>
    <col min="11998" max="11998" width="18.28515625" customWidth="1"/>
    <col min="11999" max="11999" width="29.140625" customWidth="1"/>
    <col min="12000" max="12000" width="25.85546875" customWidth="1"/>
    <col min="12001" max="12001" width="27.5703125" customWidth="1"/>
    <col min="12002" max="12002" width="23.28515625" customWidth="1"/>
    <col min="12003" max="12003" width="22.5703125" customWidth="1"/>
    <col min="12004" max="12004" width="13.5703125" customWidth="1"/>
    <col min="12005" max="12005" width="12.85546875" customWidth="1"/>
    <col min="12008" max="12008" width="40.42578125" customWidth="1"/>
    <col min="12009" max="12009" width="13.7109375" customWidth="1"/>
    <col min="12010" max="12010" width="14" customWidth="1"/>
    <col min="12011" max="12011" width="12.85546875" bestFit="1" customWidth="1"/>
    <col min="12254" max="12254" width="18.28515625" customWidth="1"/>
    <col min="12255" max="12255" width="29.140625" customWidth="1"/>
    <col min="12256" max="12256" width="25.85546875" customWidth="1"/>
    <col min="12257" max="12257" width="27.5703125" customWidth="1"/>
    <col min="12258" max="12258" width="23.28515625" customWidth="1"/>
    <col min="12259" max="12259" width="22.5703125" customWidth="1"/>
    <col min="12260" max="12260" width="13.5703125" customWidth="1"/>
    <col min="12261" max="12261" width="12.85546875" customWidth="1"/>
    <col min="12264" max="12264" width="40.42578125" customWidth="1"/>
    <col min="12265" max="12265" width="13.7109375" customWidth="1"/>
    <col min="12266" max="12266" width="14" customWidth="1"/>
    <col min="12267" max="12267" width="12.85546875" bestFit="1" customWidth="1"/>
    <col min="12510" max="12510" width="18.28515625" customWidth="1"/>
    <col min="12511" max="12511" width="29.140625" customWidth="1"/>
    <col min="12512" max="12512" width="25.85546875" customWidth="1"/>
    <col min="12513" max="12513" width="27.5703125" customWidth="1"/>
    <col min="12514" max="12514" width="23.28515625" customWidth="1"/>
    <col min="12515" max="12515" width="22.5703125" customWidth="1"/>
    <col min="12516" max="12516" width="13.5703125" customWidth="1"/>
    <col min="12517" max="12517" width="12.85546875" customWidth="1"/>
    <col min="12520" max="12520" width="40.42578125" customWidth="1"/>
    <col min="12521" max="12521" width="13.7109375" customWidth="1"/>
    <col min="12522" max="12522" width="14" customWidth="1"/>
    <col min="12523" max="12523" width="12.85546875" bestFit="1" customWidth="1"/>
    <col min="12766" max="12766" width="18.28515625" customWidth="1"/>
    <col min="12767" max="12767" width="29.140625" customWidth="1"/>
    <col min="12768" max="12768" width="25.85546875" customWidth="1"/>
    <col min="12769" max="12769" width="27.5703125" customWidth="1"/>
    <col min="12770" max="12770" width="23.28515625" customWidth="1"/>
    <col min="12771" max="12771" width="22.5703125" customWidth="1"/>
    <col min="12772" max="12772" width="13.5703125" customWidth="1"/>
    <col min="12773" max="12773" width="12.85546875" customWidth="1"/>
    <col min="12776" max="12776" width="40.42578125" customWidth="1"/>
    <col min="12777" max="12777" width="13.7109375" customWidth="1"/>
    <col min="12778" max="12778" width="14" customWidth="1"/>
    <col min="12779" max="12779" width="12.85546875" bestFit="1" customWidth="1"/>
    <col min="13022" max="13022" width="18.28515625" customWidth="1"/>
    <col min="13023" max="13023" width="29.140625" customWidth="1"/>
    <col min="13024" max="13024" width="25.85546875" customWidth="1"/>
    <col min="13025" max="13025" width="27.5703125" customWidth="1"/>
    <col min="13026" max="13026" width="23.28515625" customWidth="1"/>
    <col min="13027" max="13027" width="22.5703125" customWidth="1"/>
    <col min="13028" max="13028" width="13.5703125" customWidth="1"/>
    <col min="13029" max="13029" width="12.85546875" customWidth="1"/>
    <col min="13032" max="13032" width="40.42578125" customWidth="1"/>
    <col min="13033" max="13033" width="13.7109375" customWidth="1"/>
    <col min="13034" max="13034" width="14" customWidth="1"/>
    <col min="13035" max="13035" width="12.85546875" bestFit="1" customWidth="1"/>
    <col min="13278" max="13278" width="18.28515625" customWidth="1"/>
    <col min="13279" max="13279" width="29.140625" customWidth="1"/>
    <col min="13280" max="13280" width="25.85546875" customWidth="1"/>
    <col min="13281" max="13281" width="27.5703125" customWidth="1"/>
    <col min="13282" max="13282" width="23.28515625" customWidth="1"/>
    <col min="13283" max="13283" width="22.5703125" customWidth="1"/>
    <col min="13284" max="13284" width="13.5703125" customWidth="1"/>
    <col min="13285" max="13285" width="12.85546875" customWidth="1"/>
    <col min="13288" max="13288" width="40.42578125" customWidth="1"/>
    <col min="13289" max="13289" width="13.7109375" customWidth="1"/>
    <col min="13290" max="13290" width="14" customWidth="1"/>
    <col min="13291" max="13291" width="12.85546875" bestFit="1" customWidth="1"/>
    <col min="13534" max="13534" width="18.28515625" customWidth="1"/>
    <col min="13535" max="13535" width="29.140625" customWidth="1"/>
    <col min="13536" max="13536" width="25.85546875" customWidth="1"/>
    <col min="13537" max="13537" width="27.5703125" customWidth="1"/>
    <col min="13538" max="13538" width="23.28515625" customWidth="1"/>
    <col min="13539" max="13539" width="22.5703125" customWidth="1"/>
    <col min="13540" max="13540" width="13.5703125" customWidth="1"/>
    <col min="13541" max="13541" width="12.85546875" customWidth="1"/>
    <col min="13544" max="13544" width="40.42578125" customWidth="1"/>
    <col min="13545" max="13545" width="13.7109375" customWidth="1"/>
    <col min="13546" max="13546" width="14" customWidth="1"/>
    <col min="13547" max="13547" width="12.85546875" bestFit="1" customWidth="1"/>
    <col min="13790" max="13790" width="18.28515625" customWidth="1"/>
    <col min="13791" max="13791" width="29.140625" customWidth="1"/>
    <col min="13792" max="13792" width="25.85546875" customWidth="1"/>
    <col min="13793" max="13793" width="27.5703125" customWidth="1"/>
    <col min="13794" max="13794" width="23.28515625" customWidth="1"/>
    <col min="13795" max="13795" width="22.5703125" customWidth="1"/>
    <col min="13796" max="13796" width="13.5703125" customWidth="1"/>
    <col min="13797" max="13797" width="12.85546875" customWidth="1"/>
    <col min="13800" max="13800" width="40.42578125" customWidth="1"/>
    <col min="13801" max="13801" width="13.7109375" customWidth="1"/>
    <col min="13802" max="13802" width="14" customWidth="1"/>
    <col min="13803" max="13803" width="12.85546875" bestFit="1" customWidth="1"/>
    <col min="14046" max="14046" width="18.28515625" customWidth="1"/>
    <col min="14047" max="14047" width="29.140625" customWidth="1"/>
    <col min="14048" max="14048" width="25.85546875" customWidth="1"/>
    <col min="14049" max="14049" width="27.5703125" customWidth="1"/>
    <col min="14050" max="14050" width="23.28515625" customWidth="1"/>
    <col min="14051" max="14051" width="22.5703125" customWidth="1"/>
    <col min="14052" max="14052" width="13.5703125" customWidth="1"/>
    <col min="14053" max="14053" width="12.85546875" customWidth="1"/>
    <col min="14056" max="14056" width="40.42578125" customWidth="1"/>
    <col min="14057" max="14057" width="13.7109375" customWidth="1"/>
    <col min="14058" max="14058" width="14" customWidth="1"/>
    <col min="14059" max="14059" width="12.85546875" bestFit="1" customWidth="1"/>
    <col min="14302" max="14302" width="18.28515625" customWidth="1"/>
    <col min="14303" max="14303" width="29.140625" customWidth="1"/>
    <col min="14304" max="14304" width="25.85546875" customWidth="1"/>
    <col min="14305" max="14305" width="27.5703125" customWidth="1"/>
    <col min="14306" max="14306" width="23.28515625" customWidth="1"/>
    <col min="14307" max="14307" width="22.5703125" customWidth="1"/>
    <col min="14308" max="14308" width="13.5703125" customWidth="1"/>
    <col min="14309" max="14309" width="12.85546875" customWidth="1"/>
    <col min="14312" max="14312" width="40.42578125" customWidth="1"/>
    <col min="14313" max="14313" width="13.7109375" customWidth="1"/>
    <col min="14314" max="14314" width="14" customWidth="1"/>
    <col min="14315" max="14315" width="12.85546875" bestFit="1" customWidth="1"/>
    <col min="14558" max="14558" width="18.28515625" customWidth="1"/>
    <col min="14559" max="14559" width="29.140625" customWidth="1"/>
    <col min="14560" max="14560" width="25.85546875" customWidth="1"/>
    <col min="14561" max="14561" width="27.5703125" customWidth="1"/>
    <col min="14562" max="14562" width="23.28515625" customWidth="1"/>
    <col min="14563" max="14563" width="22.5703125" customWidth="1"/>
    <col min="14564" max="14564" width="13.5703125" customWidth="1"/>
    <col min="14565" max="14565" width="12.85546875" customWidth="1"/>
    <col min="14568" max="14568" width="40.42578125" customWidth="1"/>
    <col min="14569" max="14569" width="13.7109375" customWidth="1"/>
    <col min="14570" max="14570" width="14" customWidth="1"/>
    <col min="14571" max="14571" width="12.85546875" bestFit="1" customWidth="1"/>
    <col min="14814" max="14814" width="18.28515625" customWidth="1"/>
    <col min="14815" max="14815" width="29.140625" customWidth="1"/>
    <col min="14816" max="14816" width="25.85546875" customWidth="1"/>
    <col min="14817" max="14817" width="27.5703125" customWidth="1"/>
    <col min="14818" max="14818" width="23.28515625" customWidth="1"/>
    <col min="14819" max="14819" width="22.5703125" customWidth="1"/>
    <col min="14820" max="14820" width="13.5703125" customWidth="1"/>
    <col min="14821" max="14821" width="12.85546875" customWidth="1"/>
    <col min="14824" max="14824" width="40.42578125" customWidth="1"/>
    <col min="14825" max="14825" width="13.7109375" customWidth="1"/>
    <col min="14826" max="14826" width="14" customWidth="1"/>
    <col min="14827" max="14827" width="12.85546875" bestFit="1" customWidth="1"/>
    <col min="15070" max="15070" width="18.28515625" customWidth="1"/>
    <col min="15071" max="15071" width="29.140625" customWidth="1"/>
    <col min="15072" max="15072" width="25.85546875" customWidth="1"/>
    <col min="15073" max="15073" width="27.5703125" customWidth="1"/>
    <col min="15074" max="15074" width="23.28515625" customWidth="1"/>
    <col min="15075" max="15075" width="22.5703125" customWidth="1"/>
    <col min="15076" max="15076" width="13.5703125" customWidth="1"/>
    <col min="15077" max="15077" width="12.85546875" customWidth="1"/>
    <col min="15080" max="15080" width="40.42578125" customWidth="1"/>
    <col min="15081" max="15081" width="13.7109375" customWidth="1"/>
    <col min="15082" max="15082" width="14" customWidth="1"/>
    <col min="15083" max="15083" width="12.85546875" bestFit="1" customWidth="1"/>
    <col min="15326" max="15326" width="18.28515625" customWidth="1"/>
    <col min="15327" max="15327" width="29.140625" customWidth="1"/>
    <col min="15328" max="15328" width="25.85546875" customWidth="1"/>
    <col min="15329" max="15329" width="27.5703125" customWidth="1"/>
    <col min="15330" max="15330" width="23.28515625" customWidth="1"/>
    <col min="15331" max="15331" width="22.5703125" customWidth="1"/>
    <col min="15332" max="15332" width="13.5703125" customWidth="1"/>
    <col min="15333" max="15333" width="12.85546875" customWidth="1"/>
    <col min="15336" max="15336" width="40.42578125" customWidth="1"/>
    <col min="15337" max="15337" width="13.7109375" customWidth="1"/>
    <col min="15338" max="15338" width="14" customWidth="1"/>
    <col min="15339" max="15339" width="12.85546875" bestFit="1" customWidth="1"/>
    <col min="15582" max="15582" width="18.28515625" customWidth="1"/>
    <col min="15583" max="15583" width="29.140625" customWidth="1"/>
    <col min="15584" max="15584" width="25.85546875" customWidth="1"/>
    <col min="15585" max="15585" width="27.5703125" customWidth="1"/>
    <col min="15586" max="15586" width="23.28515625" customWidth="1"/>
    <col min="15587" max="15587" width="22.5703125" customWidth="1"/>
    <col min="15588" max="15588" width="13.5703125" customWidth="1"/>
    <col min="15589" max="15589" width="12.85546875" customWidth="1"/>
    <col min="15592" max="15592" width="40.42578125" customWidth="1"/>
    <col min="15593" max="15593" width="13.7109375" customWidth="1"/>
    <col min="15594" max="15594" width="14" customWidth="1"/>
    <col min="15595" max="15595" width="12.85546875" bestFit="1" customWidth="1"/>
    <col min="15838" max="15838" width="18.28515625" customWidth="1"/>
    <col min="15839" max="15839" width="29.140625" customWidth="1"/>
    <col min="15840" max="15840" width="25.85546875" customWidth="1"/>
    <col min="15841" max="15841" width="27.5703125" customWidth="1"/>
    <col min="15842" max="15842" width="23.28515625" customWidth="1"/>
    <col min="15843" max="15843" width="22.5703125" customWidth="1"/>
    <col min="15844" max="15844" width="13.5703125" customWidth="1"/>
    <col min="15845" max="15845" width="12.85546875" customWidth="1"/>
    <col min="15848" max="15848" width="40.42578125" customWidth="1"/>
    <col min="15849" max="15849" width="13.7109375" customWidth="1"/>
    <col min="15850" max="15850" width="14" customWidth="1"/>
    <col min="15851" max="15851" width="12.85546875" bestFit="1" customWidth="1"/>
    <col min="16094" max="16094" width="18.28515625" customWidth="1"/>
    <col min="16095" max="16095" width="29.140625" customWidth="1"/>
    <col min="16096" max="16096" width="25.85546875" customWidth="1"/>
    <col min="16097" max="16097" width="27.5703125" customWidth="1"/>
    <col min="16098" max="16098" width="23.28515625" customWidth="1"/>
    <col min="16099" max="16099" width="22.5703125" customWidth="1"/>
    <col min="16100" max="16100" width="13.5703125" customWidth="1"/>
    <col min="16101" max="16101" width="12.85546875" customWidth="1"/>
    <col min="16104" max="16104" width="40.42578125" customWidth="1"/>
    <col min="16105" max="16105" width="13.7109375" customWidth="1"/>
    <col min="16106" max="16106" width="14" customWidth="1"/>
    <col min="16107" max="16107" width="12.85546875" bestFit="1" customWidth="1"/>
  </cols>
  <sheetData>
    <row r="3" spans="1:19" ht="15">
      <c r="A3" s="1552" t="s">
        <v>2992</v>
      </c>
      <c r="B3" s="1552"/>
      <c r="C3" s="1552"/>
      <c r="D3" s="1552"/>
      <c r="E3" s="1552"/>
      <c r="F3" s="1552"/>
      <c r="G3" s="1552"/>
      <c r="H3" s="1552"/>
    </row>
    <row r="4" spans="1:19" ht="15">
      <c r="A4" s="1552" t="s">
        <v>238</v>
      </c>
      <c r="B4" s="1552"/>
      <c r="C4" s="1552"/>
      <c r="D4" s="1552"/>
      <c r="E4" s="1552"/>
      <c r="F4" s="1552"/>
      <c r="G4" s="1552"/>
      <c r="H4" s="1552"/>
    </row>
    <row r="5" spans="1:19" ht="15">
      <c r="A5" s="2007" t="s">
        <v>6959</v>
      </c>
      <c r="B5" s="2007"/>
      <c r="C5" s="2007"/>
      <c r="D5" s="2007"/>
      <c r="E5" s="2007"/>
      <c r="F5" s="2007"/>
      <c r="G5" s="2007"/>
      <c r="H5" s="2007"/>
    </row>
    <row r="6" spans="1:19" ht="15">
      <c r="A6" s="2007" t="s">
        <v>6960</v>
      </c>
      <c r="B6" s="2007"/>
      <c r="C6" s="2007"/>
      <c r="D6" s="2007"/>
      <c r="E6" s="2007"/>
      <c r="F6" s="2007"/>
      <c r="G6" s="2007"/>
      <c r="H6" s="2007"/>
    </row>
    <row r="7" spans="1:19">
      <c r="B7" s="142"/>
      <c r="C7" s="142"/>
      <c r="D7" s="142"/>
      <c r="E7" s="6"/>
    </row>
    <row r="8" spans="1:19" ht="24" customHeight="1">
      <c r="A8" s="663" t="s">
        <v>1869</v>
      </c>
      <c r="B8" s="663" t="s">
        <v>1870</v>
      </c>
      <c r="C8" s="663" t="s">
        <v>1871</v>
      </c>
      <c r="D8" s="663" t="s">
        <v>1872</v>
      </c>
      <c r="E8" s="2002" t="s">
        <v>1873</v>
      </c>
      <c r="F8" s="2003"/>
      <c r="G8" s="663" t="s">
        <v>240</v>
      </c>
      <c r="H8" s="663" t="s">
        <v>241</v>
      </c>
      <c r="P8" s="2009" t="s">
        <v>6047</v>
      </c>
      <c r="Q8" s="2009"/>
      <c r="R8" s="2009"/>
      <c r="S8" s="2009"/>
    </row>
    <row r="9" spans="1:19">
      <c r="A9" s="143"/>
      <c r="B9" s="143"/>
      <c r="C9" s="143"/>
      <c r="D9" s="143"/>
      <c r="E9" s="143"/>
      <c r="F9" s="143"/>
      <c r="G9" s="143"/>
      <c r="H9" s="143"/>
    </row>
    <row r="10" spans="1:19" ht="15.75">
      <c r="A10" s="1981"/>
      <c r="B10" s="1981"/>
      <c r="C10" s="1981"/>
      <c r="D10" s="1981"/>
      <c r="E10" s="1981"/>
      <c r="F10" s="1981"/>
      <c r="G10" s="1981"/>
      <c r="H10" s="1981"/>
      <c r="P10" s="2015" t="s">
        <v>247</v>
      </c>
      <c r="Q10" s="2015"/>
      <c r="R10" s="2015"/>
      <c r="S10" s="2015"/>
    </row>
    <row r="11" spans="1:19" ht="12.75" customHeight="1" thickBot="1">
      <c r="A11" s="2014" t="s">
        <v>239</v>
      </c>
      <c r="B11" s="1983" t="s">
        <v>1868</v>
      </c>
      <c r="C11" s="1983" t="s">
        <v>1874</v>
      </c>
      <c r="D11" s="1983" t="s">
        <v>1875</v>
      </c>
      <c r="E11" s="1984" t="s">
        <v>1879</v>
      </c>
      <c r="F11" s="1984" t="s">
        <v>1882</v>
      </c>
      <c r="G11" s="1984" t="s">
        <v>1880</v>
      </c>
      <c r="H11" s="1984" t="s">
        <v>1881</v>
      </c>
      <c r="L11" s="782"/>
      <c r="M11" s="782"/>
      <c r="P11" s="738"/>
      <c r="Q11" s="738"/>
      <c r="R11" s="738"/>
      <c r="S11" s="738"/>
    </row>
    <row r="12" spans="1:19" ht="27.75" customHeight="1" thickBot="1">
      <c r="A12" s="2014"/>
      <c r="B12" s="1983"/>
      <c r="C12" s="1983"/>
      <c r="D12" s="1983"/>
      <c r="E12" s="1984"/>
      <c r="F12" s="1984"/>
      <c r="G12" s="1984"/>
      <c r="H12" s="1984"/>
      <c r="P12" s="564" t="s">
        <v>1054</v>
      </c>
      <c r="Q12" s="1396" t="s">
        <v>246</v>
      </c>
      <c r="R12" s="1397" t="s">
        <v>244</v>
      </c>
      <c r="S12" s="1398" t="s">
        <v>1055</v>
      </c>
    </row>
    <row r="13" spans="1:19" ht="15">
      <c r="A13" s="2014"/>
      <c r="B13" s="1983"/>
      <c r="C13" s="1983"/>
      <c r="D13" s="1983"/>
      <c r="E13" s="2038">
        <f>0+6+2+3</f>
        <v>11</v>
      </c>
      <c r="F13" s="2039">
        <f>2+8+3+5</f>
        <v>18</v>
      </c>
      <c r="G13" s="2013">
        <f>+E13/F13</f>
        <v>0.61111111111111116</v>
      </c>
      <c r="H13" s="2008">
        <v>0.6</v>
      </c>
      <c r="P13" s="739" t="s">
        <v>1057</v>
      </c>
      <c r="Q13" s="740" t="s">
        <v>736</v>
      </c>
      <c r="R13" s="741" t="s">
        <v>736</v>
      </c>
      <c r="S13" s="522">
        <v>1</v>
      </c>
    </row>
    <row r="14" spans="1:19">
      <c r="A14" s="2014"/>
      <c r="B14" s="1983"/>
      <c r="C14" s="1983"/>
      <c r="D14" s="1983"/>
      <c r="E14" s="2038"/>
      <c r="F14" s="2040"/>
      <c r="G14" s="2013"/>
      <c r="H14" s="2008"/>
      <c r="K14" s="2010" t="s">
        <v>5952</v>
      </c>
      <c r="L14" s="2011"/>
      <c r="M14" s="2011"/>
      <c r="N14" s="2012"/>
      <c r="P14" s="742" t="s">
        <v>5998</v>
      </c>
      <c r="Q14" s="743" t="s">
        <v>736</v>
      </c>
      <c r="R14" s="523" t="s">
        <v>736</v>
      </c>
      <c r="S14" s="522">
        <v>1</v>
      </c>
    </row>
    <row r="15" spans="1:19" ht="15">
      <c r="A15" s="2014"/>
      <c r="B15" s="1983"/>
      <c r="C15" s="1983"/>
      <c r="D15" s="1983"/>
      <c r="E15" s="2038"/>
      <c r="F15" s="2040"/>
      <c r="G15" s="2013"/>
      <c r="H15" s="2008"/>
      <c r="I15" s="782"/>
      <c r="K15" s="135" t="s">
        <v>1299</v>
      </c>
      <c r="L15" s="141" t="s">
        <v>1771</v>
      </c>
      <c r="P15" s="744" t="s">
        <v>1806</v>
      </c>
      <c r="Q15" s="745"/>
      <c r="R15" s="524"/>
      <c r="S15" s="521">
        <v>1</v>
      </c>
    </row>
    <row r="16" spans="1:19" ht="18.75" customHeight="1">
      <c r="A16" s="2014"/>
      <c r="B16" s="1983"/>
      <c r="C16" s="1983"/>
      <c r="D16" s="1983"/>
      <c r="E16" s="2038"/>
      <c r="F16" s="2040"/>
      <c r="G16" s="2013"/>
      <c r="H16" s="2008"/>
      <c r="K16" s="782" t="s">
        <v>5953</v>
      </c>
      <c r="L16" s="787">
        <f>(5777151.6/1.16/12)</f>
        <v>415025.25862068962</v>
      </c>
      <c r="P16" s="746" t="s">
        <v>1056</v>
      </c>
      <c r="Q16" s="745"/>
      <c r="R16" s="524">
        <v>1</v>
      </c>
      <c r="S16" s="521"/>
    </row>
    <row r="17" spans="1:19" ht="15">
      <c r="A17" s="1981"/>
      <c r="B17" s="1981"/>
      <c r="C17" s="1981"/>
      <c r="D17" s="1981"/>
      <c r="E17" s="1981"/>
      <c r="F17" s="1981"/>
      <c r="G17" s="1981"/>
      <c r="H17" s="1981"/>
      <c r="K17" s="782" t="s">
        <v>6486</v>
      </c>
      <c r="L17" s="787">
        <f>863500/11</f>
        <v>78500</v>
      </c>
      <c r="P17" s="1388" t="s">
        <v>5999</v>
      </c>
      <c r="Q17" s="745"/>
      <c r="R17" s="524"/>
      <c r="S17" s="521">
        <v>1</v>
      </c>
    </row>
    <row r="18" spans="1:19">
      <c r="A18" s="1978" t="s">
        <v>242</v>
      </c>
      <c r="B18" s="1983" t="s">
        <v>1876</v>
      </c>
      <c r="C18" s="1983" t="s">
        <v>1877</v>
      </c>
      <c r="D18" s="1983" t="s">
        <v>1878</v>
      </c>
      <c r="E18" s="1984" t="s">
        <v>1883</v>
      </c>
      <c r="F18" s="1984" t="s">
        <v>1884</v>
      </c>
      <c r="G18" s="1984" t="s">
        <v>1880</v>
      </c>
      <c r="H18" s="1984" t="s">
        <v>1881</v>
      </c>
      <c r="K18" s="782"/>
      <c r="L18" s="787"/>
      <c r="P18" s="746" t="s">
        <v>1308</v>
      </c>
      <c r="Q18" s="747"/>
      <c r="R18" s="748"/>
      <c r="S18" s="521">
        <v>1</v>
      </c>
    </row>
    <row r="19" spans="1:19" ht="15">
      <c r="A19" s="1979"/>
      <c r="B19" s="1983"/>
      <c r="C19" s="1983"/>
      <c r="D19" s="1983"/>
      <c r="E19" s="1984"/>
      <c r="F19" s="1984"/>
      <c r="G19" s="1984"/>
      <c r="H19" s="1984"/>
      <c r="K19" s="782"/>
      <c r="L19" s="787"/>
      <c r="M19" s="4"/>
      <c r="P19" s="744" t="s">
        <v>3201</v>
      </c>
      <c r="Q19" s="745"/>
      <c r="R19" s="524"/>
      <c r="S19" s="521">
        <v>1</v>
      </c>
    </row>
    <row r="20" spans="1:19" ht="17.25" customHeight="1">
      <c r="A20" s="1979"/>
      <c r="B20" s="1983"/>
      <c r="C20" s="1983"/>
      <c r="D20" s="1983"/>
      <c r="E20" s="1980">
        <f>+'VARIACIONES EGRESOS'!R131</f>
        <v>6989906.9199999999</v>
      </c>
      <c r="F20" s="1988">
        <f>+'VARIACIONES EGRESOS'!P131</f>
        <v>95589681.228800014</v>
      </c>
      <c r="G20" s="2004">
        <f>(+E20/F20)</f>
        <v>7.3124073960129765E-2</v>
      </c>
      <c r="H20" s="2008">
        <v>1</v>
      </c>
      <c r="K20" s="782" t="s">
        <v>5954</v>
      </c>
      <c r="L20" s="787">
        <f>SUM(L16:L19)</f>
        <v>493525.25862068962</v>
      </c>
      <c r="M20" s="4"/>
      <c r="P20" s="744" t="s">
        <v>1058</v>
      </c>
      <c r="Q20" s="745" t="s">
        <v>736</v>
      </c>
      <c r="R20" s="524" t="s">
        <v>736</v>
      </c>
      <c r="S20" s="521">
        <v>1</v>
      </c>
    </row>
    <row r="21" spans="1:19" ht="15">
      <c r="A21" s="1979"/>
      <c r="B21" s="1983"/>
      <c r="C21" s="1983"/>
      <c r="D21" s="1983"/>
      <c r="E21" s="1980"/>
      <c r="F21" s="1989"/>
      <c r="G21" s="2004"/>
      <c r="H21" s="2008"/>
      <c r="K21" s="135" t="s">
        <v>2836</v>
      </c>
      <c r="L21" s="135" t="s">
        <v>1893</v>
      </c>
      <c r="M21" s="141"/>
      <c r="P21" s="744" t="s">
        <v>1772</v>
      </c>
      <c r="Q21" s="745"/>
      <c r="R21" s="524"/>
      <c r="S21" s="521">
        <v>1</v>
      </c>
    </row>
    <row r="22" spans="1:19" ht="15">
      <c r="A22" s="1979"/>
      <c r="B22" s="1983"/>
      <c r="C22" s="1983"/>
      <c r="D22" s="1983"/>
      <c r="E22" s="1980"/>
      <c r="F22" s="1989"/>
      <c r="G22" s="2004"/>
      <c r="H22" s="2008"/>
      <c r="K22" t="s">
        <v>247</v>
      </c>
      <c r="L22">
        <v>400</v>
      </c>
      <c r="M22" s="4"/>
      <c r="P22" s="744" t="s">
        <v>1059</v>
      </c>
      <c r="Q22" s="745" t="s">
        <v>736</v>
      </c>
      <c r="R22" s="524" t="s">
        <v>736</v>
      </c>
      <c r="S22" s="521">
        <v>1</v>
      </c>
    </row>
    <row r="23" spans="1:19" ht="15">
      <c r="A23" s="1979"/>
      <c r="B23" s="1983"/>
      <c r="C23" s="1983"/>
      <c r="D23" s="1983"/>
      <c r="E23" s="1980"/>
      <c r="F23" s="1990"/>
      <c r="G23" s="2004"/>
      <c r="H23" s="2008"/>
      <c r="K23" t="s">
        <v>218</v>
      </c>
      <c r="L23">
        <v>37</v>
      </c>
      <c r="M23" s="4"/>
      <c r="P23" s="1388" t="s">
        <v>6000</v>
      </c>
      <c r="Q23" s="745"/>
      <c r="R23" s="524"/>
      <c r="S23" s="521">
        <v>1</v>
      </c>
    </row>
    <row r="24" spans="1:19" ht="15">
      <c r="A24" s="1981"/>
      <c r="B24" s="1981"/>
      <c r="C24" s="1981"/>
      <c r="D24" s="1981"/>
      <c r="E24" s="1981"/>
      <c r="F24" s="1981"/>
      <c r="G24" s="1981"/>
      <c r="H24" s="1981"/>
      <c r="K24" s="73" t="s">
        <v>95</v>
      </c>
      <c r="L24">
        <v>100</v>
      </c>
      <c r="M24" s="4"/>
      <c r="P24" s="744" t="s">
        <v>3200</v>
      </c>
      <c r="Q24" s="745"/>
      <c r="R24" s="524"/>
      <c r="S24" s="521">
        <v>1</v>
      </c>
    </row>
    <row r="25" spans="1:19" ht="15">
      <c r="A25" s="1979" t="s">
        <v>250</v>
      </c>
      <c r="B25" s="1983" t="s">
        <v>1885</v>
      </c>
      <c r="C25" s="1983" t="s">
        <v>1886</v>
      </c>
      <c r="D25" s="1983" t="s">
        <v>1887</v>
      </c>
      <c r="E25" s="1984" t="s">
        <v>1888</v>
      </c>
      <c r="F25" s="1984" t="s">
        <v>1889</v>
      </c>
      <c r="G25" s="1984" t="s">
        <v>1880</v>
      </c>
      <c r="H25" s="1984" t="s">
        <v>1881</v>
      </c>
      <c r="K25" s="73" t="s">
        <v>1859</v>
      </c>
      <c r="L25" s="75">
        <v>0</v>
      </c>
      <c r="M25" s="4"/>
      <c r="P25" s="744" t="s">
        <v>1060</v>
      </c>
      <c r="Q25" s="745" t="s">
        <v>736</v>
      </c>
      <c r="R25" s="524" t="s">
        <v>736</v>
      </c>
      <c r="S25" s="521">
        <v>1</v>
      </c>
    </row>
    <row r="26" spans="1:19" ht="15">
      <c r="A26" s="1979"/>
      <c r="B26" s="1983"/>
      <c r="C26" s="1983"/>
      <c r="D26" s="1983"/>
      <c r="E26" s="1984"/>
      <c r="F26" s="1984"/>
      <c r="G26" s="1984"/>
      <c r="H26" s="1984"/>
      <c r="K26" s="73" t="s">
        <v>2837</v>
      </c>
      <c r="L26">
        <f>SUM(L22:L25)</f>
        <v>537</v>
      </c>
      <c r="P26" s="744" t="s">
        <v>1061</v>
      </c>
      <c r="Q26" s="745" t="s">
        <v>736</v>
      </c>
      <c r="R26" s="524" t="s">
        <v>736</v>
      </c>
      <c r="S26" s="521">
        <v>1</v>
      </c>
    </row>
    <row r="27" spans="1:19" ht="15">
      <c r="A27" s="1979"/>
      <c r="B27" s="1983"/>
      <c r="C27" s="1983"/>
      <c r="D27" s="1983"/>
      <c r="E27" s="1980">
        <f>'VARIACIONES EGRESOS'!R191-'VARIACIONES EGRESOS'!R147</f>
        <v>32618406.799999993</v>
      </c>
      <c r="F27" s="1988">
        <f>'VARIACIONES EGRESOS'!P191-'VARIACIONES EGRESOS'!P147</f>
        <v>86276000</v>
      </c>
      <c r="G27" s="2004">
        <f>(+E27/F27)</f>
        <v>0.37807045760118679</v>
      </c>
      <c r="H27" s="2008">
        <v>1</v>
      </c>
      <c r="K27" s="135"/>
      <c r="L27" s="144"/>
      <c r="M27" s="144"/>
      <c r="P27" s="744" t="s">
        <v>1030</v>
      </c>
      <c r="Q27" s="745" t="s">
        <v>736</v>
      </c>
      <c r="R27" s="524" t="s">
        <v>736</v>
      </c>
      <c r="S27" s="521">
        <v>1</v>
      </c>
    </row>
    <row r="28" spans="1:19" ht="15">
      <c r="A28" s="1979"/>
      <c r="B28" s="1983"/>
      <c r="C28" s="1983"/>
      <c r="D28" s="1983"/>
      <c r="E28" s="1980"/>
      <c r="F28" s="1989"/>
      <c r="G28" s="2004"/>
      <c r="H28" s="2008"/>
      <c r="K28" s="135" t="s">
        <v>245</v>
      </c>
      <c r="P28" s="744" t="s">
        <v>1062</v>
      </c>
      <c r="Q28" s="745" t="s">
        <v>736</v>
      </c>
      <c r="R28" s="524"/>
      <c r="S28" s="521">
        <v>1</v>
      </c>
    </row>
    <row r="29" spans="1:19" ht="15">
      <c r="A29" s="1979"/>
      <c r="B29" s="1983"/>
      <c r="C29" s="1983"/>
      <c r="D29" s="1983"/>
      <c r="E29" s="1980"/>
      <c r="F29" s="1989"/>
      <c r="G29" s="2004"/>
      <c r="H29" s="2008"/>
      <c r="K29" s="73" t="s">
        <v>2838</v>
      </c>
      <c r="L29" s="681">
        <f>(+'VARIACIONES EGRESOS'!R131-'VARIACIONES EGRESOS'!R72-'VARIACIONES EGRESOS'!R73-'VARIACIONES EGRESOS'!R76-'VARIACIONES EGRESOS'!R86-'VARIACIONES EGRESOS'!R88-'VARIACIONES EGRESOS'!R98-'VARIACIONES EGRESOS'!R99-'VARIACIONES EGRESOS'!R101-'VARIACIONES EGRESOS'!R116-'VARIACIONES EGRESOS'!R118-'VARIACIONES EGRESOS'!R127)/4</f>
        <v>1097970.7625000002</v>
      </c>
      <c r="P29" s="744" t="s">
        <v>1063</v>
      </c>
      <c r="Q29" s="745" t="s">
        <v>736</v>
      </c>
      <c r="R29" s="524" t="s">
        <v>736</v>
      </c>
      <c r="S29" s="521">
        <v>1</v>
      </c>
    </row>
    <row r="30" spans="1:19">
      <c r="A30" s="1979"/>
      <c r="B30" s="1983"/>
      <c r="C30" s="1983"/>
      <c r="D30" s="1983"/>
      <c r="E30" s="1980"/>
      <c r="F30" s="1990"/>
      <c r="G30" s="2004"/>
      <c r="H30" s="2008"/>
      <c r="P30" s="749" t="s">
        <v>3184</v>
      </c>
      <c r="Q30" s="745"/>
      <c r="R30" s="524"/>
      <c r="S30" s="521">
        <v>1</v>
      </c>
    </row>
    <row r="31" spans="1:19" ht="15">
      <c r="A31" s="1981"/>
      <c r="B31" s="1981"/>
      <c r="C31" s="1981"/>
      <c r="D31" s="1981"/>
      <c r="E31" s="1981"/>
      <c r="F31" s="1981"/>
      <c r="G31" s="1981"/>
      <c r="H31" s="1981"/>
      <c r="K31" s="135" t="s">
        <v>2836</v>
      </c>
      <c r="L31" s="135" t="s">
        <v>1893</v>
      </c>
      <c r="P31" s="744" t="s">
        <v>1064</v>
      </c>
      <c r="Q31" s="745" t="s">
        <v>736</v>
      </c>
      <c r="R31" s="524" t="s">
        <v>736</v>
      </c>
      <c r="S31" s="521">
        <v>1</v>
      </c>
    </row>
    <row r="32" spans="1:19" ht="12.75" customHeight="1">
      <c r="A32" s="1979" t="s">
        <v>254</v>
      </c>
      <c r="B32" s="1983" t="s">
        <v>1890</v>
      </c>
      <c r="C32" s="1983" t="s">
        <v>1891</v>
      </c>
      <c r="D32" s="1983" t="s">
        <v>1892</v>
      </c>
      <c r="E32" s="1984" t="s">
        <v>1894</v>
      </c>
      <c r="F32" s="1984" t="s">
        <v>1893</v>
      </c>
      <c r="G32" s="1984" t="s">
        <v>1880</v>
      </c>
      <c r="H32" s="1984" t="s">
        <v>1881</v>
      </c>
      <c r="K32" t="s">
        <v>247</v>
      </c>
      <c r="L32">
        <v>400</v>
      </c>
      <c r="P32" s="749" t="s">
        <v>2896</v>
      </c>
      <c r="Q32" s="745"/>
      <c r="R32" s="524"/>
      <c r="S32" s="521">
        <v>1</v>
      </c>
    </row>
    <row r="33" spans="1:19" ht="14.25" customHeight="1">
      <c r="A33" s="1979"/>
      <c r="B33" s="1983"/>
      <c r="C33" s="1983"/>
      <c r="D33" s="1983"/>
      <c r="E33" s="1984"/>
      <c r="F33" s="1984"/>
      <c r="G33" s="1984"/>
      <c r="H33" s="1984"/>
      <c r="K33" t="s">
        <v>248</v>
      </c>
      <c r="L33">
        <v>41</v>
      </c>
      <c r="P33" s="744" t="s">
        <v>1065</v>
      </c>
      <c r="Q33" s="745" t="s">
        <v>736</v>
      </c>
      <c r="R33" s="524" t="s">
        <v>736</v>
      </c>
      <c r="S33" s="521">
        <v>1</v>
      </c>
    </row>
    <row r="34" spans="1:19" ht="15">
      <c r="A34" s="1979"/>
      <c r="B34" s="1983"/>
      <c r="C34" s="1983"/>
      <c r="D34" s="1983"/>
      <c r="E34" s="1985">
        <f>+L16+L17+L18</f>
        <v>493525.25862068962</v>
      </c>
      <c r="F34" s="1986">
        <f>+L26</f>
        <v>537</v>
      </c>
      <c r="G34" s="1987">
        <f>+E34/F34</f>
        <v>919.04144994541832</v>
      </c>
      <c r="H34" s="1987">
        <v>974.55</v>
      </c>
      <c r="K34" t="s">
        <v>218</v>
      </c>
      <c r="L34">
        <v>37</v>
      </c>
      <c r="P34" s="744" t="s">
        <v>1066</v>
      </c>
      <c r="Q34" s="750" t="s">
        <v>736</v>
      </c>
      <c r="R34" s="526">
        <v>1</v>
      </c>
      <c r="S34" s="525" t="s">
        <v>736</v>
      </c>
    </row>
    <row r="35" spans="1:19">
      <c r="A35" s="1979"/>
      <c r="B35" s="1983"/>
      <c r="C35" s="1983"/>
      <c r="D35" s="1983"/>
      <c r="E35" s="1985"/>
      <c r="F35" s="1986"/>
      <c r="G35" s="1987"/>
      <c r="H35" s="1987"/>
      <c r="K35" t="s">
        <v>251</v>
      </c>
      <c r="L35">
        <v>18</v>
      </c>
      <c r="O35" s="147"/>
      <c r="P35" s="749" t="s">
        <v>3185</v>
      </c>
      <c r="Q35" s="745"/>
      <c r="R35" s="524"/>
      <c r="S35" s="521">
        <v>1</v>
      </c>
    </row>
    <row r="36" spans="1:19">
      <c r="A36" s="1979"/>
      <c r="B36" s="1983"/>
      <c r="C36" s="1983"/>
      <c r="D36" s="1983"/>
      <c r="E36" s="1985"/>
      <c r="F36" s="1986"/>
      <c r="G36" s="1987"/>
      <c r="H36" s="1987"/>
      <c r="K36" s="73" t="s">
        <v>95</v>
      </c>
      <c r="L36" s="75">
        <v>100</v>
      </c>
      <c r="M36" s="680"/>
      <c r="N36" s="135"/>
      <c r="P36" s="746" t="s">
        <v>1067</v>
      </c>
      <c r="Q36" s="750"/>
      <c r="R36" s="526">
        <v>1</v>
      </c>
      <c r="S36" s="525"/>
    </row>
    <row r="37" spans="1:19" ht="15">
      <c r="A37" s="1982"/>
      <c r="B37" s="1983"/>
      <c r="C37" s="1983"/>
      <c r="D37" s="1983"/>
      <c r="E37" s="1985"/>
      <c r="F37" s="1986"/>
      <c r="G37" s="1987"/>
      <c r="H37" s="1987"/>
      <c r="K37" s="73" t="s">
        <v>2837</v>
      </c>
      <c r="L37" s="13">
        <f>SUM(L32:L36)</f>
        <v>596</v>
      </c>
      <c r="M37" s="4"/>
      <c r="N37" s="4"/>
      <c r="P37" s="1388" t="s">
        <v>6001</v>
      </c>
      <c r="Q37" s="745"/>
      <c r="R37" s="524"/>
      <c r="S37" s="521">
        <v>1</v>
      </c>
    </row>
    <row r="38" spans="1:19">
      <c r="A38" s="1981"/>
      <c r="B38" s="1981"/>
      <c r="C38" s="1981"/>
      <c r="D38" s="1981"/>
      <c r="E38" s="1981"/>
      <c r="F38" s="1981"/>
      <c r="G38" s="1981"/>
      <c r="H38" s="1981"/>
      <c r="L38" s="125"/>
      <c r="N38" s="4"/>
      <c r="P38" s="749" t="s">
        <v>3186</v>
      </c>
      <c r="Q38" s="745"/>
      <c r="R38" s="524"/>
      <c r="S38" s="521">
        <v>1</v>
      </c>
    </row>
    <row r="39" spans="1:19" ht="15">
      <c r="A39" s="1978" t="s">
        <v>1895</v>
      </c>
      <c r="B39" s="1983" t="s">
        <v>1896</v>
      </c>
      <c r="C39" s="1983" t="s">
        <v>1897</v>
      </c>
      <c r="D39" s="1983" t="s">
        <v>1898</v>
      </c>
      <c r="E39" s="1984" t="s">
        <v>1899</v>
      </c>
      <c r="F39" s="1984" t="s">
        <v>1893</v>
      </c>
      <c r="G39" s="1984" t="s">
        <v>1880</v>
      </c>
      <c r="H39" s="1984" t="s">
        <v>1881</v>
      </c>
      <c r="K39" s="135" t="s">
        <v>2839</v>
      </c>
      <c r="L39" s="141" t="s">
        <v>253</v>
      </c>
      <c r="M39" s="141" t="s">
        <v>252</v>
      </c>
      <c r="N39" s="4"/>
      <c r="P39" s="744" t="s">
        <v>1068</v>
      </c>
      <c r="Q39" s="745" t="s">
        <v>736</v>
      </c>
      <c r="R39" s="524" t="s">
        <v>736</v>
      </c>
      <c r="S39" s="521">
        <v>1</v>
      </c>
    </row>
    <row r="40" spans="1:19" ht="10.5" customHeight="1">
      <c r="A40" s="1979"/>
      <c r="B40" s="1983"/>
      <c r="C40" s="1983"/>
      <c r="D40" s="1983"/>
      <c r="E40" s="1984"/>
      <c r="F40" s="1984"/>
      <c r="G40" s="1984"/>
      <c r="H40" s="1984"/>
      <c r="K40" s="145" t="s">
        <v>51</v>
      </c>
      <c r="L40" s="146">
        <v>141014.65</v>
      </c>
      <c r="M40" s="125">
        <v>188980</v>
      </c>
      <c r="N40" s="4"/>
      <c r="P40" s="744" t="s">
        <v>1069</v>
      </c>
      <c r="Q40" s="745" t="s">
        <v>736</v>
      </c>
      <c r="R40" s="524" t="s">
        <v>736</v>
      </c>
      <c r="S40" s="521">
        <v>1</v>
      </c>
    </row>
    <row r="41" spans="1:19">
      <c r="A41" s="1979"/>
      <c r="B41" s="1983"/>
      <c r="C41" s="1983"/>
      <c r="D41" s="1983"/>
      <c r="E41" s="1980">
        <f>+L29</f>
        <v>1097970.7625000002</v>
      </c>
      <c r="F41" s="2000">
        <f>+L37</f>
        <v>596</v>
      </c>
      <c r="G41" s="1987">
        <f>+E41/F41</f>
        <v>1842.2328229865775</v>
      </c>
      <c r="H41" s="1987">
        <v>2979.55</v>
      </c>
      <c r="K41" t="s">
        <v>52</v>
      </c>
      <c r="L41" s="125">
        <v>167990.86</v>
      </c>
      <c r="M41" s="125">
        <v>205423</v>
      </c>
      <c r="N41" s="4"/>
      <c r="P41" s="749" t="s">
        <v>3187</v>
      </c>
      <c r="Q41" s="745"/>
      <c r="R41" s="524"/>
      <c r="S41" s="521">
        <v>1</v>
      </c>
    </row>
    <row r="42" spans="1:19" ht="15">
      <c r="A42" s="1979"/>
      <c r="B42" s="1983"/>
      <c r="C42" s="1983"/>
      <c r="D42" s="1983"/>
      <c r="E42" s="1980"/>
      <c r="F42" s="2001"/>
      <c r="G42" s="1987"/>
      <c r="H42" s="1987"/>
      <c r="K42" t="s">
        <v>53</v>
      </c>
      <c r="L42" s="4">
        <v>168020.29</v>
      </c>
      <c r="M42" s="4">
        <v>204172</v>
      </c>
      <c r="N42" s="144"/>
      <c r="P42" s="744" t="s">
        <v>1050</v>
      </c>
      <c r="Q42" s="745" t="s">
        <v>736</v>
      </c>
      <c r="R42" s="524" t="s">
        <v>736</v>
      </c>
      <c r="S42" s="521">
        <v>1</v>
      </c>
    </row>
    <row r="43" spans="1:19" ht="15">
      <c r="A43" s="1979"/>
      <c r="B43" s="1983"/>
      <c r="C43" s="1983"/>
      <c r="D43" s="1983"/>
      <c r="E43" s="1980"/>
      <c r="F43" s="2001"/>
      <c r="G43" s="1987"/>
      <c r="H43" s="1987"/>
      <c r="K43" t="s">
        <v>54</v>
      </c>
      <c r="L43" s="4">
        <v>193834.39</v>
      </c>
      <c r="M43" s="4">
        <v>201046.39999999999</v>
      </c>
      <c r="N43" s="147"/>
      <c r="P43" s="744" t="s">
        <v>1048</v>
      </c>
      <c r="Q43" s="750"/>
      <c r="R43" s="526">
        <v>1</v>
      </c>
      <c r="S43" s="525"/>
    </row>
    <row r="44" spans="1:19" ht="16.5" customHeight="1">
      <c r="A44" s="1982"/>
      <c r="B44" s="1983"/>
      <c r="C44" s="1983"/>
      <c r="D44" s="1983"/>
      <c r="E44" s="1980"/>
      <c r="F44" s="2001"/>
      <c r="G44" s="1987"/>
      <c r="H44" s="1987"/>
      <c r="K44" t="s">
        <v>55</v>
      </c>
      <c r="L44" s="4"/>
      <c r="M44" s="4"/>
      <c r="P44" s="744" t="s">
        <v>1070</v>
      </c>
      <c r="Q44" s="745" t="s">
        <v>736</v>
      </c>
      <c r="R44" s="524" t="s">
        <v>736</v>
      </c>
      <c r="S44" s="521">
        <v>1</v>
      </c>
    </row>
    <row r="45" spans="1:19" ht="15">
      <c r="A45" s="1981"/>
      <c r="B45" s="1981"/>
      <c r="C45" s="1981"/>
      <c r="D45" s="1981"/>
      <c r="E45" s="1981"/>
      <c r="F45" s="1981"/>
      <c r="G45" s="1981"/>
      <c r="H45" s="1981"/>
      <c r="K45" s="682" t="s">
        <v>56</v>
      </c>
      <c r="L45" s="4"/>
      <c r="M45" s="4"/>
      <c r="P45" s="744" t="s">
        <v>1071</v>
      </c>
      <c r="Q45" s="745" t="s">
        <v>736</v>
      </c>
      <c r="R45" s="524" t="s">
        <v>736</v>
      </c>
      <c r="S45" s="521">
        <v>1</v>
      </c>
    </row>
    <row r="46" spans="1:19" ht="12.75" customHeight="1">
      <c r="A46" s="1978" t="s">
        <v>1900</v>
      </c>
      <c r="B46" s="1999" t="s">
        <v>1901</v>
      </c>
      <c r="C46" s="1991" t="s">
        <v>1902</v>
      </c>
      <c r="D46" s="1991" t="s">
        <v>1903</v>
      </c>
      <c r="E46" s="1984" t="s">
        <v>1904</v>
      </c>
      <c r="F46" s="1984" t="s">
        <v>1905</v>
      </c>
      <c r="G46" s="1984" t="s">
        <v>1880</v>
      </c>
      <c r="H46" s="1984" t="s">
        <v>1881</v>
      </c>
      <c r="K46" t="s">
        <v>57</v>
      </c>
      <c r="L46" s="4"/>
      <c r="M46" s="4"/>
      <c r="P46" s="744" t="s">
        <v>1072</v>
      </c>
      <c r="Q46" s="745" t="s">
        <v>736</v>
      </c>
      <c r="R46" s="524" t="s">
        <v>736</v>
      </c>
      <c r="S46" s="521">
        <v>1</v>
      </c>
    </row>
    <row r="47" spans="1:19" ht="27.75" customHeight="1">
      <c r="A47" s="1979"/>
      <c r="B47" s="1999"/>
      <c r="C47" s="1992"/>
      <c r="D47" s="1992"/>
      <c r="E47" s="1984"/>
      <c r="F47" s="1984"/>
      <c r="G47" s="1984"/>
      <c r="H47" s="1984"/>
      <c r="K47" t="s">
        <v>58</v>
      </c>
      <c r="L47" s="127"/>
      <c r="M47" s="127"/>
      <c r="N47" s="148"/>
      <c r="P47" s="744" t="s">
        <v>1073</v>
      </c>
      <c r="Q47" s="750">
        <v>1</v>
      </c>
      <c r="R47" s="526"/>
      <c r="S47" s="525"/>
    </row>
    <row r="48" spans="1:19">
      <c r="A48" s="1979"/>
      <c r="B48" s="1999"/>
      <c r="C48" s="1992"/>
      <c r="D48" s="1992"/>
      <c r="E48" s="2041">
        <f>+L52</f>
        <v>670860.19000000006</v>
      </c>
      <c r="F48" s="2041">
        <f>+M52</f>
        <v>799621.4</v>
      </c>
      <c r="G48" s="2004">
        <f>+E48/F48</f>
        <v>0.83897228113204581</v>
      </c>
      <c r="H48" s="2005">
        <v>0.9</v>
      </c>
      <c r="K48" s="73" t="s">
        <v>59</v>
      </c>
      <c r="L48" s="125"/>
      <c r="M48" s="125"/>
      <c r="P48" s="749" t="s">
        <v>3188</v>
      </c>
      <c r="Q48" s="745" t="s">
        <v>736</v>
      </c>
      <c r="R48" s="524" t="s">
        <v>736</v>
      </c>
      <c r="S48" s="521">
        <v>1</v>
      </c>
    </row>
    <row r="49" spans="1:19" ht="15">
      <c r="A49" s="1979"/>
      <c r="B49" s="1999"/>
      <c r="C49" s="1992"/>
      <c r="D49" s="1992"/>
      <c r="E49" s="2041"/>
      <c r="F49" s="2041"/>
      <c r="G49" s="2004"/>
      <c r="H49" s="2006"/>
      <c r="K49" t="s">
        <v>60</v>
      </c>
      <c r="L49" s="125"/>
      <c r="M49" s="125"/>
      <c r="P49" s="744" t="s">
        <v>1074</v>
      </c>
      <c r="Q49" s="745" t="s">
        <v>736</v>
      </c>
      <c r="R49" s="524" t="s">
        <v>736</v>
      </c>
      <c r="S49" s="521">
        <v>1</v>
      </c>
    </row>
    <row r="50" spans="1:19">
      <c r="A50" s="1979"/>
      <c r="B50" s="1999"/>
      <c r="C50" s="1992"/>
      <c r="D50" s="1992"/>
      <c r="E50" s="2041"/>
      <c r="F50" s="2041"/>
      <c r="G50" s="2004"/>
      <c r="H50" s="2006"/>
      <c r="K50" t="s">
        <v>61</v>
      </c>
      <c r="L50" s="125"/>
      <c r="M50" s="125"/>
      <c r="P50" s="749" t="s">
        <v>2893</v>
      </c>
      <c r="Q50" s="745" t="s">
        <v>736</v>
      </c>
      <c r="R50" s="524" t="s">
        <v>736</v>
      </c>
      <c r="S50" s="521">
        <v>1</v>
      </c>
    </row>
    <row r="51" spans="1:19" ht="12" customHeight="1">
      <c r="A51" s="1982"/>
      <c r="B51" s="1999"/>
      <c r="C51" s="1993"/>
      <c r="D51" s="1993"/>
      <c r="E51" s="2041"/>
      <c r="F51" s="2041"/>
      <c r="G51" s="2004"/>
      <c r="H51" s="2006"/>
      <c r="K51" t="s">
        <v>62</v>
      </c>
      <c r="L51" s="125"/>
      <c r="M51" s="125"/>
      <c r="P51" s="744" t="s">
        <v>1075</v>
      </c>
      <c r="Q51" s="745" t="s">
        <v>736</v>
      </c>
      <c r="R51" s="524" t="s">
        <v>736</v>
      </c>
      <c r="S51" s="521">
        <v>1</v>
      </c>
    </row>
    <row r="52" spans="1:19" ht="13.5" customHeight="1">
      <c r="A52" s="1981"/>
      <c r="B52" s="1981"/>
      <c r="C52" s="1981"/>
      <c r="D52" s="1981"/>
      <c r="E52" s="1981"/>
      <c r="F52" s="1981"/>
      <c r="G52" s="1981"/>
      <c r="H52" s="1981"/>
      <c r="K52" s="135" t="s">
        <v>87</v>
      </c>
      <c r="L52" s="683">
        <f>SUM(L40:L51)</f>
        <v>670860.19000000006</v>
      </c>
      <c r="M52" s="683">
        <f>SUM(M40:M51)</f>
        <v>799621.4</v>
      </c>
      <c r="P52" s="744" t="s">
        <v>1807</v>
      </c>
      <c r="Q52" s="745"/>
      <c r="R52" s="524"/>
      <c r="S52" s="521">
        <v>1</v>
      </c>
    </row>
    <row r="53" spans="1:19" ht="45" customHeight="1">
      <c r="A53" s="1994" t="s">
        <v>255</v>
      </c>
      <c r="B53" s="1991" t="s">
        <v>1906</v>
      </c>
      <c r="C53" s="1997" t="s">
        <v>1907</v>
      </c>
      <c r="D53" s="1997" t="s">
        <v>1908</v>
      </c>
      <c r="E53" s="664" t="s">
        <v>1910</v>
      </c>
      <c r="F53" s="664" t="s">
        <v>1909</v>
      </c>
      <c r="G53" s="665" t="s">
        <v>1880</v>
      </c>
      <c r="H53" s="665" t="s">
        <v>1881</v>
      </c>
      <c r="P53" s="744" t="s">
        <v>1076</v>
      </c>
      <c r="Q53" s="745" t="s">
        <v>736</v>
      </c>
      <c r="R53" s="524" t="s">
        <v>736</v>
      </c>
      <c r="S53" s="521">
        <v>1</v>
      </c>
    </row>
    <row r="54" spans="1:19" ht="39.75" customHeight="1">
      <c r="A54" s="1995"/>
      <c r="B54" s="1996"/>
      <c r="C54" s="1998"/>
      <c r="D54" s="1998"/>
      <c r="E54" s="151">
        <f>+'VARIACIONES EGRESOS'!R59</f>
        <v>8030595.3899999997</v>
      </c>
      <c r="F54" s="151">
        <f>+'VARIACIONES EGRESOS'!R133</f>
        <v>15020502.309999999</v>
      </c>
      <c r="G54" s="152">
        <f>+E54/F54</f>
        <v>0.53464226590169206</v>
      </c>
      <c r="H54" s="152">
        <v>0.309</v>
      </c>
      <c r="P54" s="744" t="s">
        <v>1077</v>
      </c>
      <c r="Q54" s="745" t="s">
        <v>736</v>
      </c>
      <c r="R54" s="524" t="s">
        <v>736</v>
      </c>
      <c r="S54" s="521">
        <v>1</v>
      </c>
    </row>
    <row r="55" spans="1:19" ht="12.75" customHeight="1">
      <c r="A55" s="1981"/>
      <c r="B55" s="1981"/>
      <c r="C55" s="1981"/>
      <c r="D55" s="1981"/>
      <c r="E55" s="1981"/>
      <c r="F55" s="1981"/>
      <c r="G55" s="1981"/>
      <c r="H55" s="1981"/>
      <c r="P55" s="744" t="s">
        <v>1078</v>
      </c>
      <c r="Q55" s="745" t="s">
        <v>736</v>
      </c>
      <c r="R55" s="524" t="s">
        <v>736</v>
      </c>
      <c r="S55" s="521">
        <v>1</v>
      </c>
    </row>
    <row r="56" spans="1:19" ht="42" customHeight="1">
      <c r="A56" s="1994" t="s">
        <v>1911</v>
      </c>
      <c r="B56" s="1991" t="s">
        <v>1912</v>
      </c>
      <c r="C56" s="1997" t="s">
        <v>1913</v>
      </c>
      <c r="D56" s="1997" t="s">
        <v>1914</v>
      </c>
      <c r="E56" s="664" t="s">
        <v>1916</v>
      </c>
      <c r="F56" s="664" t="s">
        <v>1915</v>
      </c>
      <c r="G56" s="665" t="s">
        <v>1880</v>
      </c>
      <c r="H56" s="665" t="s">
        <v>1881</v>
      </c>
      <c r="P56" s="744" t="s">
        <v>1079</v>
      </c>
      <c r="Q56" s="745" t="s">
        <v>736</v>
      </c>
      <c r="R56" s="524" t="s">
        <v>736</v>
      </c>
      <c r="S56" s="521">
        <v>1</v>
      </c>
    </row>
    <row r="57" spans="1:19" ht="39.75" customHeight="1">
      <c r="A57" s="1995"/>
      <c r="B57" s="1996"/>
      <c r="C57" s="1998"/>
      <c r="D57" s="1998"/>
      <c r="E57" s="666">
        <v>9</v>
      </c>
      <c r="F57" s="666">
        <f>'VARIACIONES EGRESOS'!B189</f>
        <v>23</v>
      </c>
      <c r="G57" s="728">
        <f>+E57/F57</f>
        <v>0.39130434782608697</v>
      </c>
      <c r="H57" s="667">
        <v>1</v>
      </c>
      <c r="P57" s="1388" t="s">
        <v>6002</v>
      </c>
      <c r="Q57" s="750">
        <v>1</v>
      </c>
      <c r="R57" s="526"/>
      <c r="S57" s="525"/>
    </row>
    <row r="58" spans="1:19" ht="15">
      <c r="P58" s="744" t="s">
        <v>1080</v>
      </c>
      <c r="Q58" s="750">
        <v>1</v>
      </c>
      <c r="R58" s="526"/>
      <c r="S58" s="525"/>
    </row>
    <row r="59" spans="1:19" ht="15">
      <c r="A59" s="73"/>
      <c r="B59" s="73"/>
      <c r="C59" s="73"/>
      <c r="D59" s="73"/>
      <c r="E59" s="73"/>
      <c r="F59" s="73"/>
      <c r="G59" s="73"/>
      <c r="H59" s="73"/>
      <c r="I59" s="73"/>
      <c r="J59" s="73"/>
      <c r="K59" s="73"/>
      <c r="L59" s="73"/>
      <c r="M59" s="73"/>
      <c r="N59" s="128"/>
      <c r="P59" s="744" t="s">
        <v>1081</v>
      </c>
      <c r="Q59" s="750"/>
      <c r="R59" s="526">
        <v>1</v>
      </c>
      <c r="S59" s="525"/>
    </row>
    <row r="60" spans="1:19" ht="15">
      <c r="A60" s="73"/>
      <c r="B60" s="73"/>
      <c r="C60" s="73"/>
      <c r="D60" s="73"/>
      <c r="E60" s="73"/>
      <c r="F60" s="73"/>
      <c r="G60" s="73"/>
      <c r="H60" s="73"/>
      <c r="I60" s="73"/>
      <c r="J60" s="73"/>
      <c r="K60" s="73"/>
      <c r="L60" s="73"/>
      <c r="M60" s="73"/>
      <c r="N60" s="124"/>
      <c r="P60" s="744" t="s">
        <v>1082</v>
      </c>
      <c r="Q60" s="745" t="s">
        <v>736</v>
      </c>
      <c r="R60" s="524" t="s">
        <v>736</v>
      </c>
      <c r="S60" s="521">
        <v>1</v>
      </c>
    </row>
    <row r="61" spans="1:19" ht="15">
      <c r="A61" s="73"/>
      <c r="B61" s="73"/>
      <c r="C61" s="73"/>
      <c r="D61" s="73"/>
      <c r="E61" s="73"/>
      <c r="F61" s="73"/>
      <c r="G61" s="73"/>
      <c r="H61" s="73"/>
      <c r="I61" s="73"/>
      <c r="J61" s="73"/>
      <c r="K61" s="73"/>
      <c r="L61" s="73"/>
      <c r="M61" s="73"/>
      <c r="N61" s="124"/>
      <c r="P61" s="744" t="s">
        <v>1083</v>
      </c>
      <c r="Q61" s="745" t="s">
        <v>736</v>
      </c>
      <c r="R61" s="524" t="s">
        <v>736</v>
      </c>
      <c r="S61" s="521">
        <v>1</v>
      </c>
    </row>
    <row r="62" spans="1:19" ht="15">
      <c r="A62" s="655" t="s">
        <v>1823</v>
      </c>
      <c r="B62" s="656"/>
      <c r="P62" s="1388" t="s">
        <v>6003</v>
      </c>
      <c r="Q62" s="745"/>
      <c r="R62" s="524"/>
      <c r="S62" s="521">
        <v>1</v>
      </c>
    </row>
    <row r="63" spans="1:19" ht="15">
      <c r="A63" s="569"/>
      <c r="B63" s="104"/>
      <c r="P63" s="744" t="s">
        <v>2888</v>
      </c>
      <c r="Q63" s="745" t="s">
        <v>736</v>
      </c>
      <c r="R63" s="524" t="s">
        <v>736</v>
      </c>
      <c r="S63" s="521">
        <v>1</v>
      </c>
    </row>
    <row r="64" spans="1:19" ht="15">
      <c r="D64" s="565" t="s">
        <v>1829</v>
      </c>
      <c r="E64" s="565" t="s">
        <v>1830</v>
      </c>
      <c r="P64" s="1388" t="s">
        <v>6004</v>
      </c>
      <c r="Q64" s="750">
        <v>1</v>
      </c>
      <c r="R64" s="526"/>
      <c r="S64" s="525"/>
    </row>
    <row r="65" spans="1:19" ht="15">
      <c r="A65" s="135" t="s">
        <v>1831</v>
      </c>
      <c r="D65" s="4">
        <f>+BALANCE!E38</f>
        <v>13979844.210000001</v>
      </c>
      <c r="E65" s="4">
        <f>+BALANCE!B43</f>
        <v>1170103498.3400002</v>
      </c>
      <c r="F65" s="566">
        <f>+D65/E65</f>
        <v>1.1947527915122803E-2</v>
      </c>
      <c r="P65" s="1388" t="s">
        <v>6005</v>
      </c>
      <c r="Q65" s="745"/>
      <c r="R65" s="524"/>
      <c r="S65" s="521">
        <v>1</v>
      </c>
    </row>
    <row r="66" spans="1:19" ht="15">
      <c r="A66" s="135"/>
      <c r="D66" s="4"/>
      <c r="E66" s="4"/>
      <c r="F66" s="568"/>
      <c r="P66" s="744" t="s">
        <v>2889</v>
      </c>
      <c r="Q66" s="745" t="s">
        <v>736</v>
      </c>
      <c r="R66" s="524" t="s">
        <v>736</v>
      </c>
      <c r="S66" s="521">
        <v>1</v>
      </c>
    </row>
    <row r="67" spans="1:19" ht="15">
      <c r="A67" s="135"/>
      <c r="D67" s="565" t="s">
        <v>4110</v>
      </c>
      <c r="E67" s="565" t="s">
        <v>1825</v>
      </c>
      <c r="F67" s="135"/>
      <c r="P67" s="744" t="s">
        <v>1085</v>
      </c>
      <c r="Q67" s="745" t="s">
        <v>736</v>
      </c>
      <c r="R67" s="524" t="s">
        <v>736</v>
      </c>
      <c r="S67" s="521">
        <v>1</v>
      </c>
    </row>
    <row r="68" spans="1:19" ht="15">
      <c r="A68" s="135" t="s">
        <v>1824</v>
      </c>
      <c r="D68" s="4">
        <f>'PRESUP ORIGINAL'!P132+'PRESUP ORIGINAL'!P141+'PRESUP ORIGINAL'!P184</f>
        <v>277781283.41649699</v>
      </c>
      <c r="E68" s="4">
        <f>+'VARIACIONES EGRESOS'!P133+'VARIACIONES EGRESOS'!P142+'VARIACIONES EGRESOS'!P191</f>
        <v>277781283.41649699</v>
      </c>
      <c r="F68" s="566">
        <f>(+E68/D68)-1</f>
        <v>0</v>
      </c>
      <c r="P68" s="744" t="s">
        <v>1086</v>
      </c>
      <c r="Q68" s="745" t="s">
        <v>736</v>
      </c>
      <c r="R68" s="524" t="s">
        <v>736</v>
      </c>
      <c r="S68" s="521">
        <v>1</v>
      </c>
    </row>
    <row r="69" spans="1:19" ht="15">
      <c r="A69" s="135"/>
      <c r="F69" s="135"/>
      <c r="P69" s="1388" t="s">
        <v>6006</v>
      </c>
      <c r="Q69" s="745"/>
      <c r="R69" s="524" t="s">
        <v>736</v>
      </c>
      <c r="S69" s="521">
        <v>1</v>
      </c>
    </row>
    <row r="70" spans="1:19" ht="15">
      <c r="A70" s="135"/>
      <c r="D70" s="565" t="s">
        <v>1827</v>
      </c>
      <c r="E70" s="565" t="s">
        <v>1828</v>
      </c>
      <c r="F70" s="135"/>
      <c r="P70" s="744" t="s">
        <v>1087</v>
      </c>
      <c r="Q70" s="745" t="s">
        <v>736</v>
      </c>
      <c r="R70" s="524" t="s">
        <v>736</v>
      </c>
      <c r="S70" s="521">
        <v>1</v>
      </c>
    </row>
    <row r="71" spans="1:19" ht="15">
      <c r="A71" s="135" t="s">
        <v>1826</v>
      </c>
      <c r="D71" s="4">
        <f>'VARIACIONES EGRESOS'!P191-'VARIACIONES EGRESOS'!P147</f>
        <v>86276000</v>
      </c>
      <c r="E71" s="4">
        <f>'VARIACIONES EGRESOS'!R191-'VARIACIONES EGRESOS'!R147</f>
        <v>32618406.799999993</v>
      </c>
      <c r="F71" s="566">
        <f>+E71/D71</f>
        <v>0.37807045760118679</v>
      </c>
      <c r="P71" s="744" t="s">
        <v>1709</v>
      </c>
      <c r="Q71" s="745"/>
      <c r="R71" s="524"/>
      <c r="S71" s="521">
        <v>1</v>
      </c>
    </row>
    <row r="72" spans="1:19">
      <c r="P72" s="746" t="s">
        <v>2890</v>
      </c>
      <c r="Q72" s="745" t="s">
        <v>736</v>
      </c>
      <c r="R72" s="524" t="s">
        <v>736</v>
      </c>
      <c r="S72" s="521">
        <v>1</v>
      </c>
    </row>
    <row r="73" spans="1:19">
      <c r="P73" s="746" t="s">
        <v>2891</v>
      </c>
      <c r="Q73" s="745" t="s">
        <v>736</v>
      </c>
      <c r="R73" s="524" t="s">
        <v>736</v>
      </c>
      <c r="S73" s="521">
        <v>1</v>
      </c>
    </row>
    <row r="74" spans="1:19" ht="15">
      <c r="P74" s="1388" t="s">
        <v>6007</v>
      </c>
      <c r="Q74" s="745"/>
      <c r="R74" s="524"/>
      <c r="S74" s="521">
        <v>1</v>
      </c>
    </row>
    <row r="75" spans="1:19" ht="15">
      <c r="P75" s="744" t="s">
        <v>2892</v>
      </c>
      <c r="Q75" s="745" t="s">
        <v>736</v>
      </c>
      <c r="R75" s="524" t="s">
        <v>736</v>
      </c>
      <c r="S75" s="521">
        <v>1</v>
      </c>
    </row>
    <row r="76" spans="1:19" ht="15">
      <c r="P76" s="744" t="s">
        <v>1035</v>
      </c>
      <c r="Q76" s="745" t="s">
        <v>736</v>
      </c>
      <c r="R76" s="524" t="s">
        <v>736</v>
      </c>
      <c r="S76" s="521">
        <v>1</v>
      </c>
    </row>
    <row r="77" spans="1:19" ht="15">
      <c r="P77" s="744" t="s">
        <v>1809</v>
      </c>
      <c r="Q77" s="745"/>
      <c r="R77" s="524"/>
      <c r="S77" s="521">
        <v>1</v>
      </c>
    </row>
    <row r="78" spans="1:19" ht="15">
      <c r="P78" s="744" t="s">
        <v>1088</v>
      </c>
      <c r="Q78" s="750"/>
      <c r="R78" s="526">
        <v>1</v>
      </c>
      <c r="S78" s="525"/>
    </row>
    <row r="79" spans="1:19">
      <c r="P79" s="749" t="s">
        <v>3189</v>
      </c>
      <c r="Q79" s="745"/>
      <c r="R79" s="524"/>
      <c r="S79" s="521">
        <v>1</v>
      </c>
    </row>
    <row r="80" spans="1:19" ht="15">
      <c r="P80" s="744" t="s">
        <v>1089</v>
      </c>
      <c r="Q80" s="745" t="s">
        <v>736</v>
      </c>
      <c r="R80" s="524" t="s">
        <v>736</v>
      </c>
      <c r="S80" s="521">
        <v>1</v>
      </c>
    </row>
    <row r="81" spans="16:19" ht="15">
      <c r="P81" s="744" t="s">
        <v>1090</v>
      </c>
      <c r="Q81" s="745" t="s">
        <v>736</v>
      </c>
      <c r="R81" s="524" t="s">
        <v>736</v>
      </c>
      <c r="S81" s="521">
        <v>1</v>
      </c>
    </row>
    <row r="82" spans="16:19" ht="15">
      <c r="P82" s="744" t="s">
        <v>1091</v>
      </c>
      <c r="Q82" s="745" t="s">
        <v>736</v>
      </c>
      <c r="R82" s="524" t="s">
        <v>736</v>
      </c>
      <c r="S82" s="521">
        <v>1</v>
      </c>
    </row>
    <row r="83" spans="16:19" ht="15">
      <c r="P83" s="1388" t="s">
        <v>6008</v>
      </c>
      <c r="Q83" s="750">
        <v>1</v>
      </c>
      <c r="R83" s="526"/>
      <c r="S83" s="525"/>
    </row>
    <row r="84" spans="16:19" ht="15">
      <c r="P84" s="1388" t="s">
        <v>6009</v>
      </c>
      <c r="Q84" s="745"/>
      <c r="R84" s="524"/>
      <c r="S84" s="521">
        <v>1</v>
      </c>
    </row>
    <row r="85" spans="16:19" ht="15">
      <c r="P85" s="744" t="s">
        <v>1092</v>
      </c>
      <c r="Q85" s="745" t="s">
        <v>736</v>
      </c>
      <c r="R85" s="524" t="s">
        <v>736</v>
      </c>
      <c r="S85" s="521">
        <v>1</v>
      </c>
    </row>
    <row r="86" spans="16:19" ht="15">
      <c r="P86" s="744" t="s">
        <v>1093</v>
      </c>
      <c r="Q86" s="745" t="s">
        <v>736</v>
      </c>
      <c r="R86" s="524" t="s">
        <v>736</v>
      </c>
      <c r="S86" s="521">
        <v>1</v>
      </c>
    </row>
    <row r="87" spans="16:19" ht="15">
      <c r="P87" s="744" t="s">
        <v>1094</v>
      </c>
      <c r="Q87" s="745" t="s">
        <v>736</v>
      </c>
      <c r="R87" s="524" t="s">
        <v>736</v>
      </c>
      <c r="S87" s="521">
        <v>1</v>
      </c>
    </row>
    <row r="88" spans="16:19" ht="15">
      <c r="P88" s="744" t="s">
        <v>1095</v>
      </c>
      <c r="Q88" s="750">
        <v>1</v>
      </c>
      <c r="R88" s="526"/>
      <c r="S88" s="525"/>
    </row>
    <row r="89" spans="16:19" ht="15">
      <c r="P89" s="744" t="s">
        <v>3202</v>
      </c>
      <c r="Q89" s="745"/>
      <c r="R89" s="524"/>
      <c r="S89" s="521">
        <v>1</v>
      </c>
    </row>
    <row r="90" spans="16:19" ht="15">
      <c r="P90" s="744" t="s">
        <v>3194</v>
      </c>
      <c r="Q90" s="745"/>
      <c r="R90" s="524"/>
      <c r="S90" s="521">
        <v>1</v>
      </c>
    </row>
    <row r="91" spans="16:19" ht="15">
      <c r="P91" s="744" t="s">
        <v>1096</v>
      </c>
      <c r="Q91" s="745" t="s">
        <v>736</v>
      </c>
      <c r="R91" s="524" t="s">
        <v>736</v>
      </c>
      <c r="S91" s="521">
        <v>1</v>
      </c>
    </row>
    <row r="92" spans="16:19" ht="15">
      <c r="P92" s="744" t="s">
        <v>1097</v>
      </c>
      <c r="Q92" s="750"/>
      <c r="R92" s="526">
        <v>1</v>
      </c>
      <c r="S92" s="525"/>
    </row>
    <row r="93" spans="16:19" ht="15">
      <c r="P93" s="744" t="s">
        <v>1098</v>
      </c>
      <c r="Q93" s="745" t="s">
        <v>736</v>
      </c>
      <c r="R93" s="524" t="s">
        <v>736</v>
      </c>
      <c r="S93" s="521">
        <v>1</v>
      </c>
    </row>
    <row r="94" spans="16:19">
      <c r="P94" s="746" t="s">
        <v>1099</v>
      </c>
      <c r="Q94" s="745" t="s">
        <v>736</v>
      </c>
      <c r="R94" s="524" t="s">
        <v>736</v>
      </c>
      <c r="S94" s="521">
        <v>1</v>
      </c>
    </row>
    <row r="95" spans="16:19">
      <c r="P95" s="749" t="s">
        <v>2895</v>
      </c>
      <c r="Q95" s="745" t="s">
        <v>736</v>
      </c>
      <c r="R95" s="524" t="s">
        <v>736</v>
      </c>
      <c r="S95" s="521">
        <v>1</v>
      </c>
    </row>
    <row r="96" spans="16:19">
      <c r="P96" s="746" t="s">
        <v>1100</v>
      </c>
      <c r="Q96" s="745" t="s">
        <v>1101</v>
      </c>
      <c r="R96" s="524" t="s">
        <v>736</v>
      </c>
      <c r="S96" s="521">
        <v>1</v>
      </c>
    </row>
    <row r="97" spans="16:19" ht="15">
      <c r="P97" s="1388" t="s">
        <v>6010</v>
      </c>
      <c r="Q97" s="750">
        <v>1</v>
      </c>
      <c r="R97" s="526"/>
      <c r="S97" s="525"/>
    </row>
    <row r="98" spans="16:19" ht="15">
      <c r="P98" s="744" t="s">
        <v>1102</v>
      </c>
      <c r="Q98" s="745" t="s">
        <v>736</v>
      </c>
      <c r="R98" s="524" t="s">
        <v>736</v>
      </c>
      <c r="S98" s="521">
        <v>1</v>
      </c>
    </row>
    <row r="99" spans="16:19" ht="15">
      <c r="P99" s="744" t="s">
        <v>1309</v>
      </c>
      <c r="Q99" s="745"/>
      <c r="R99" s="524"/>
      <c r="S99" s="521">
        <v>1</v>
      </c>
    </row>
    <row r="100" spans="16:19" ht="15">
      <c r="P100" s="744" t="s">
        <v>1103</v>
      </c>
      <c r="Q100" s="745" t="s">
        <v>736</v>
      </c>
      <c r="R100" s="524" t="s">
        <v>736</v>
      </c>
      <c r="S100" s="521">
        <v>1</v>
      </c>
    </row>
    <row r="101" spans="16:19" ht="15">
      <c r="P101" s="744" t="s">
        <v>3193</v>
      </c>
      <c r="Q101" s="745"/>
      <c r="R101" s="524"/>
      <c r="S101" s="521">
        <v>1</v>
      </c>
    </row>
    <row r="102" spans="16:19" ht="15">
      <c r="P102" s="744" t="s">
        <v>1104</v>
      </c>
      <c r="Q102" s="745" t="s">
        <v>736</v>
      </c>
      <c r="R102" s="524" t="s">
        <v>736</v>
      </c>
      <c r="S102" s="521">
        <v>1</v>
      </c>
    </row>
    <row r="103" spans="16:19">
      <c r="P103" s="749" t="s">
        <v>3190</v>
      </c>
      <c r="Q103" s="745"/>
      <c r="R103" s="524"/>
      <c r="S103" s="521">
        <v>1</v>
      </c>
    </row>
    <row r="104" spans="16:19" ht="15">
      <c r="P104" s="744" t="s">
        <v>1310</v>
      </c>
      <c r="Q104" s="745"/>
      <c r="R104" s="524"/>
      <c r="S104" s="521">
        <v>1</v>
      </c>
    </row>
    <row r="105" spans="16:19" ht="15">
      <c r="P105" s="1388" t="s">
        <v>6011</v>
      </c>
      <c r="Q105" s="750">
        <v>1</v>
      </c>
      <c r="R105" s="526"/>
      <c r="S105" s="525"/>
    </row>
    <row r="106" spans="16:19" ht="15">
      <c r="P106" s="744" t="s">
        <v>1105</v>
      </c>
      <c r="Q106" s="745" t="s">
        <v>736</v>
      </c>
      <c r="R106" s="524" t="s">
        <v>736</v>
      </c>
      <c r="S106" s="521">
        <v>1</v>
      </c>
    </row>
    <row r="107" spans="16:19">
      <c r="P107" s="749" t="s">
        <v>3191</v>
      </c>
      <c r="Q107" s="745"/>
      <c r="R107" s="524"/>
      <c r="S107" s="521">
        <v>1</v>
      </c>
    </row>
    <row r="108" spans="16:19" ht="15">
      <c r="P108" s="744" t="s">
        <v>1106</v>
      </c>
      <c r="Q108" s="745" t="s">
        <v>736</v>
      </c>
      <c r="R108" s="524" t="s">
        <v>736</v>
      </c>
      <c r="S108" s="521">
        <v>1</v>
      </c>
    </row>
    <row r="109" spans="16:19" ht="15">
      <c r="P109" s="1388" t="s">
        <v>6012</v>
      </c>
      <c r="Q109" s="745"/>
      <c r="R109" s="524"/>
      <c r="S109" s="521">
        <v>1</v>
      </c>
    </row>
    <row r="110" spans="16:19" ht="15">
      <c r="P110" s="1388" t="s">
        <v>6013</v>
      </c>
      <c r="Q110" s="745"/>
      <c r="R110" s="524"/>
      <c r="S110" s="521">
        <v>1</v>
      </c>
    </row>
    <row r="111" spans="16:19" ht="15">
      <c r="P111" s="1388" t="s">
        <v>6014</v>
      </c>
      <c r="Q111" s="750">
        <v>1</v>
      </c>
      <c r="R111" s="526"/>
      <c r="S111" s="525"/>
    </row>
    <row r="112" spans="16:19">
      <c r="P112" s="746" t="s">
        <v>1107</v>
      </c>
      <c r="Q112" s="745" t="s">
        <v>736</v>
      </c>
      <c r="R112" s="524" t="s">
        <v>736</v>
      </c>
      <c r="S112" s="521">
        <v>1</v>
      </c>
    </row>
    <row r="113" spans="16:19" ht="15">
      <c r="P113" s="744" t="s">
        <v>1108</v>
      </c>
      <c r="Q113" s="745" t="s">
        <v>736</v>
      </c>
      <c r="R113" s="524" t="s">
        <v>736</v>
      </c>
      <c r="S113" s="521">
        <v>1</v>
      </c>
    </row>
    <row r="114" spans="16:19">
      <c r="P114" s="749" t="s">
        <v>2894</v>
      </c>
      <c r="Q114" s="745" t="s">
        <v>736</v>
      </c>
      <c r="R114" s="524" t="s">
        <v>736</v>
      </c>
      <c r="S114" s="521">
        <v>1</v>
      </c>
    </row>
    <row r="115" spans="16:19" ht="15">
      <c r="P115" s="744" t="s">
        <v>1810</v>
      </c>
      <c r="Q115" s="745"/>
      <c r="R115" s="524"/>
      <c r="S115" s="521">
        <v>1</v>
      </c>
    </row>
    <row r="116" spans="16:19" ht="15">
      <c r="P116" s="744" t="s">
        <v>1109</v>
      </c>
      <c r="Q116" s="745" t="s">
        <v>736</v>
      </c>
      <c r="R116" s="524" t="s">
        <v>736</v>
      </c>
      <c r="S116" s="521">
        <v>1</v>
      </c>
    </row>
    <row r="117" spans="16:19" ht="15">
      <c r="P117" s="1388" t="s">
        <v>6015</v>
      </c>
      <c r="Q117" s="745"/>
      <c r="R117" s="524"/>
      <c r="S117" s="521">
        <v>1</v>
      </c>
    </row>
    <row r="118" spans="16:19" ht="15">
      <c r="P118" s="744" t="s">
        <v>1773</v>
      </c>
      <c r="Q118" s="745"/>
      <c r="R118" s="524"/>
      <c r="S118" s="521">
        <v>1</v>
      </c>
    </row>
    <row r="119" spans="16:19" ht="15">
      <c r="P119" s="744" t="s">
        <v>1110</v>
      </c>
      <c r="Q119" s="745" t="s">
        <v>736</v>
      </c>
      <c r="R119" s="524" t="s">
        <v>736</v>
      </c>
      <c r="S119" s="521">
        <v>1</v>
      </c>
    </row>
    <row r="120" spans="16:19" ht="15">
      <c r="P120" s="1388" t="s">
        <v>6016</v>
      </c>
      <c r="Q120" s="745"/>
      <c r="R120" s="524"/>
      <c r="S120" s="521">
        <v>1</v>
      </c>
    </row>
    <row r="121" spans="16:19">
      <c r="P121" s="746" t="s">
        <v>1111</v>
      </c>
      <c r="Q121" s="745" t="s">
        <v>736</v>
      </c>
      <c r="R121" s="524" t="s">
        <v>736</v>
      </c>
      <c r="S121" s="521">
        <v>1</v>
      </c>
    </row>
    <row r="122" spans="16:19" ht="15">
      <c r="P122" s="744" t="s">
        <v>3198</v>
      </c>
      <c r="Q122" s="745"/>
      <c r="R122" s="524"/>
      <c r="S122" s="521">
        <v>1</v>
      </c>
    </row>
    <row r="123" spans="16:19">
      <c r="P123" s="746" t="s">
        <v>1811</v>
      </c>
      <c r="Q123" s="745"/>
      <c r="R123" s="524"/>
      <c r="S123" s="521">
        <v>1</v>
      </c>
    </row>
    <row r="124" spans="16:19" ht="15">
      <c r="P124" s="744" t="s">
        <v>1112</v>
      </c>
      <c r="Q124" s="745" t="s">
        <v>736</v>
      </c>
      <c r="R124" s="524" t="s">
        <v>736</v>
      </c>
      <c r="S124" s="521">
        <v>1</v>
      </c>
    </row>
    <row r="125" spans="16:19">
      <c r="P125" s="746" t="s">
        <v>1113</v>
      </c>
      <c r="Q125" s="745" t="s">
        <v>736</v>
      </c>
      <c r="R125" s="524" t="s">
        <v>736</v>
      </c>
      <c r="S125" s="521">
        <v>1</v>
      </c>
    </row>
    <row r="126" spans="16:19">
      <c r="P126" s="749" t="s">
        <v>2900</v>
      </c>
      <c r="Q126" s="745"/>
      <c r="R126" s="524"/>
      <c r="S126" s="521">
        <v>1</v>
      </c>
    </row>
    <row r="127" spans="16:19" ht="15">
      <c r="P127" s="744" t="s">
        <v>1114</v>
      </c>
      <c r="Q127" s="745" t="s">
        <v>736</v>
      </c>
      <c r="R127" s="524" t="s">
        <v>736</v>
      </c>
      <c r="S127" s="521">
        <v>1</v>
      </c>
    </row>
    <row r="128" spans="16:19" ht="15">
      <c r="P128" s="744" t="s">
        <v>1115</v>
      </c>
      <c r="Q128" s="745" t="s">
        <v>736</v>
      </c>
      <c r="R128" s="524" t="s">
        <v>736</v>
      </c>
      <c r="S128" s="521">
        <v>1</v>
      </c>
    </row>
    <row r="129" spans="16:19" ht="15">
      <c r="P129" s="744" t="s">
        <v>1116</v>
      </c>
      <c r="Q129" s="745" t="s">
        <v>736</v>
      </c>
      <c r="R129" s="524" t="s">
        <v>736</v>
      </c>
      <c r="S129" s="521">
        <v>1</v>
      </c>
    </row>
    <row r="130" spans="16:19" ht="15">
      <c r="P130" s="744" t="s">
        <v>1117</v>
      </c>
      <c r="Q130" s="750"/>
      <c r="R130" s="526">
        <v>1</v>
      </c>
      <c r="S130" s="525"/>
    </row>
    <row r="131" spans="16:19" ht="15">
      <c r="P131" s="744" t="s">
        <v>1118</v>
      </c>
      <c r="Q131" s="745" t="s">
        <v>736</v>
      </c>
      <c r="R131" s="524" t="s">
        <v>736</v>
      </c>
      <c r="S131" s="521">
        <v>1</v>
      </c>
    </row>
    <row r="132" spans="16:19" ht="15">
      <c r="P132" s="744" t="s">
        <v>1119</v>
      </c>
      <c r="Q132" s="745" t="s">
        <v>736</v>
      </c>
      <c r="R132" s="524" t="s">
        <v>736</v>
      </c>
      <c r="S132" s="521">
        <v>1</v>
      </c>
    </row>
    <row r="133" spans="16:19" ht="15">
      <c r="P133" s="744" t="s">
        <v>1041</v>
      </c>
      <c r="Q133" s="745" t="s">
        <v>736</v>
      </c>
      <c r="R133" s="524" t="s">
        <v>736</v>
      </c>
      <c r="S133" s="521">
        <v>1</v>
      </c>
    </row>
    <row r="134" spans="16:19">
      <c r="P134" s="746" t="s">
        <v>1120</v>
      </c>
      <c r="Q134" s="745" t="s">
        <v>736</v>
      </c>
      <c r="R134" s="524" t="s">
        <v>736</v>
      </c>
      <c r="S134" s="521">
        <v>1</v>
      </c>
    </row>
    <row r="135" spans="16:19">
      <c r="P135" s="746" t="s">
        <v>1812</v>
      </c>
      <c r="Q135" s="745"/>
      <c r="R135" s="524"/>
      <c r="S135" s="521">
        <v>1</v>
      </c>
    </row>
    <row r="136" spans="16:19" ht="15">
      <c r="P136" s="744" t="s">
        <v>1121</v>
      </c>
      <c r="Q136" s="745" t="s">
        <v>736</v>
      </c>
      <c r="R136" s="524" t="s">
        <v>736</v>
      </c>
      <c r="S136" s="521">
        <v>1</v>
      </c>
    </row>
    <row r="137" spans="16:19" ht="15">
      <c r="P137" s="744" t="s">
        <v>1813</v>
      </c>
      <c r="Q137" s="745"/>
      <c r="R137" s="524"/>
      <c r="S137" s="521">
        <v>1</v>
      </c>
    </row>
    <row r="138" spans="16:19">
      <c r="P138" s="746" t="s">
        <v>1049</v>
      </c>
      <c r="Q138" s="745" t="s">
        <v>736</v>
      </c>
      <c r="R138" s="524" t="s">
        <v>736</v>
      </c>
      <c r="S138" s="521">
        <v>1</v>
      </c>
    </row>
    <row r="139" spans="16:19">
      <c r="P139" s="749" t="s">
        <v>3203</v>
      </c>
      <c r="Q139" s="745"/>
      <c r="R139" s="524"/>
      <c r="S139" s="521">
        <v>1</v>
      </c>
    </row>
    <row r="140" spans="16:19" ht="15">
      <c r="P140" s="744" t="s">
        <v>1027</v>
      </c>
      <c r="Q140" s="750"/>
      <c r="R140" s="526">
        <v>1</v>
      </c>
      <c r="S140" s="525"/>
    </row>
    <row r="141" spans="16:19" ht="15">
      <c r="P141" s="744" t="s">
        <v>1122</v>
      </c>
      <c r="Q141" s="750"/>
      <c r="R141" s="526">
        <v>1</v>
      </c>
      <c r="S141" s="525"/>
    </row>
    <row r="142" spans="16:19" ht="15">
      <c r="P142" s="744" t="s">
        <v>1814</v>
      </c>
      <c r="Q142" s="745"/>
      <c r="R142" s="524"/>
      <c r="S142" s="521">
        <v>1</v>
      </c>
    </row>
    <row r="143" spans="16:19" ht="15">
      <c r="P143" s="744" t="s">
        <v>1123</v>
      </c>
      <c r="Q143" s="745" t="s">
        <v>736</v>
      </c>
      <c r="R143" s="524" t="s">
        <v>736</v>
      </c>
      <c r="S143" s="521">
        <v>1</v>
      </c>
    </row>
    <row r="144" spans="16:19" ht="15">
      <c r="P144" s="1388" t="s">
        <v>6017</v>
      </c>
      <c r="Q144" s="745"/>
      <c r="R144" s="524"/>
      <c r="S144" s="521">
        <v>1</v>
      </c>
    </row>
    <row r="145" spans="16:19" ht="15">
      <c r="P145" s="744" t="s">
        <v>1124</v>
      </c>
      <c r="Q145" s="745" t="s">
        <v>736</v>
      </c>
      <c r="R145" s="524" t="s">
        <v>736</v>
      </c>
      <c r="S145" s="521">
        <v>1</v>
      </c>
    </row>
    <row r="146" spans="16:19" ht="15">
      <c r="P146" s="744" t="s">
        <v>1125</v>
      </c>
      <c r="Q146" s="745" t="s">
        <v>736</v>
      </c>
      <c r="R146" s="524" t="s">
        <v>736</v>
      </c>
      <c r="S146" s="521">
        <v>1</v>
      </c>
    </row>
    <row r="147" spans="16:19" ht="15">
      <c r="P147" s="744" t="s">
        <v>1126</v>
      </c>
      <c r="Q147" s="745" t="s">
        <v>736</v>
      </c>
      <c r="R147" s="524" t="s">
        <v>736</v>
      </c>
      <c r="S147" s="521">
        <v>1</v>
      </c>
    </row>
    <row r="148" spans="16:19">
      <c r="P148" s="746" t="s">
        <v>1311</v>
      </c>
      <c r="Q148" s="745"/>
      <c r="R148" s="524"/>
      <c r="S148" s="521">
        <v>1</v>
      </c>
    </row>
    <row r="149" spans="16:19">
      <c r="P149" s="746" t="s">
        <v>1127</v>
      </c>
      <c r="Q149" s="750">
        <v>1</v>
      </c>
      <c r="R149" s="526" t="s">
        <v>736</v>
      </c>
      <c r="S149" s="525"/>
    </row>
    <row r="150" spans="16:19" ht="15">
      <c r="P150" s="744" t="s">
        <v>1128</v>
      </c>
      <c r="Q150" s="745" t="s">
        <v>736</v>
      </c>
      <c r="R150" s="524" t="s">
        <v>736</v>
      </c>
      <c r="S150" s="521">
        <v>1</v>
      </c>
    </row>
    <row r="151" spans="16:19" ht="15">
      <c r="P151" s="744" t="s">
        <v>1129</v>
      </c>
      <c r="Q151" s="745" t="s">
        <v>736</v>
      </c>
      <c r="R151" s="524" t="s">
        <v>736</v>
      </c>
      <c r="S151" s="521">
        <v>1</v>
      </c>
    </row>
    <row r="152" spans="16:19" ht="15">
      <c r="P152" s="744" t="s">
        <v>1130</v>
      </c>
      <c r="Q152" s="750">
        <v>1</v>
      </c>
      <c r="R152" s="526" t="s">
        <v>736</v>
      </c>
      <c r="S152" s="525" t="s">
        <v>736</v>
      </c>
    </row>
    <row r="153" spans="16:19" ht="15">
      <c r="P153" s="744" t="s">
        <v>1815</v>
      </c>
      <c r="Q153" s="745"/>
      <c r="R153" s="524"/>
      <c r="S153" s="521">
        <v>1</v>
      </c>
    </row>
    <row r="154" spans="16:19">
      <c r="P154" s="746" t="s">
        <v>1034</v>
      </c>
      <c r="Q154" s="745" t="s">
        <v>736</v>
      </c>
      <c r="R154" s="524" t="s">
        <v>736</v>
      </c>
      <c r="S154" s="521">
        <v>1</v>
      </c>
    </row>
    <row r="155" spans="16:19" ht="15">
      <c r="P155" s="1388" t="s">
        <v>6018</v>
      </c>
      <c r="Q155" s="750">
        <v>1</v>
      </c>
      <c r="R155" s="526"/>
      <c r="S155" s="525"/>
    </row>
    <row r="156" spans="16:19">
      <c r="P156" s="746" t="s">
        <v>1131</v>
      </c>
      <c r="Q156" s="745" t="s">
        <v>736</v>
      </c>
      <c r="R156" s="524" t="s">
        <v>736</v>
      </c>
      <c r="S156" s="521">
        <v>1</v>
      </c>
    </row>
    <row r="157" spans="16:19" ht="15">
      <c r="P157" s="744" t="s">
        <v>1132</v>
      </c>
      <c r="Q157" s="745" t="s">
        <v>736</v>
      </c>
      <c r="R157" s="524" t="s">
        <v>736</v>
      </c>
      <c r="S157" s="521">
        <v>1</v>
      </c>
    </row>
    <row r="158" spans="16:19">
      <c r="P158" s="746" t="s">
        <v>1133</v>
      </c>
      <c r="Q158" s="745" t="s">
        <v>736</v>
      </c>
      <c r="R158" s="524" t="s">
        <v>736</v>
      </c>
      <c r="S158" s="521">
        <v>1</v>
      </c>
    </row>
    <row r="159" spans="16:19">
      <c r="P159" s="746" t="s">
        <v>1816</v>
      </c>
      <c r="Q159" s="745"/>
      <c r="R159" s="524"/>
      <c r="S159" s="521">
        <v>1</v>
      </c>
    </row>
    <row r="160" spans="16:19" ht="15">
      <c r="P160" s="744" t="s">
        <v>1134</v>
      </c>
      <c r="Q160" s="745" t="s">
        <v>736</v>
      </c>
      <c r="R160" s="524" t="s">
        <v>736</v>
      </c>
      <c r="S160" s="521">
        <v>1</v>
      </c>
    </row>
    <row r="161" spans="16:19">
      <c r="P161" s="749" t="s">
        <v>3204</v>
      </c>
      <c r="Q161" s="745"/>
      <c r="R161" s="524"/>
      <c r="S161" s="521">
        <v>1</v>
      </c>
    </row>
    <row r="162" spans="16:19" ht="15">
      <c r="P162" s="744" t="s">
        <v>1135</v>
      </c>
      <c r="Q162" s="745" t="s">
        <v>736</v>
      </c>
      <c r="R162" s="524" t="s">
        <v>736</v>
      </c>
      <c r="S162" s="521">
        <v>1</v>
      </c>
    </row>
    <row r="163" spans="16:19" ht="15">
      <c r="P163" s="744" t="s">
        <v>1312</v>
      </c>
      <c r="Q163" s="750">
        <v>1</v>
      </c>
      <c r="R163" s="526"/>
      <c r="S163" s="525"/>
    </row>
    <row r="164" spans="16:19" ht="15">
      <c r="P164" s="744" t="s">
        <v>1136</v>
      </c>
      <c r="Q164" s="745" t="s">
        <v>736</v>
      </c>
      <c r="R164" s="524" t="s">
        <v>736</v>
      </c>
      <c r="S164" s="521">
        <v>1</v>
      </c>
    </row>
    <row r="165" spans="16:19">
      <c r="P165" s="746" t="s">
        <v>1137</v>
      </c>
      <c r="Q165" s="745" t="s">
        <v>736</v>
      </c>
      <c r="R165" s="524" t="s">
        <v>736</v>
      </c>
      <c r="S165" s="521">
        <v>1</v>
      </c>
    </row>
    <row r="166" spans="16:19">
      <c r="P166" s="746" t="s">
        <v>1142</v>
      </c>
      <c r="Q166" s="745" t="s">
        <v>736</v>
      </c>
      <c r="R166" s="524" t="s">
        <v>736</v>
      </c>
      <c r="S166" s="521">
        <v>1</v>
      </c>
    </row>
    <row r="167" spans="16:19">
      <c r="P167" s="746" t="s">
        <v>1139</v>
      </c>
      <c r="Q167" s="745" t="s">
        <v>736</v>
      </c>
      <c r="R167" s="524" t="s">
        <v>736</v>
      </c>
      <c r="S167" s="521">
        <v>1</v>
      </c>
    </row>
    <row r="168" spans="16:19" ht="15">
      <c r="P168" s="744" t="s">
        <v>1138</v>
      </c>
      <c r="Q168" s="745" t="s">
        <v>736</v>
      </c>
      <c r="R168" s="524" t="s">
        <v>736</v>
      </c>
      <c r="S168" s="521">
        <v>1</v>
      </c>
    </row>
    <row r="169" spans="16:19">
      <c r="P169" s="746" t="s">
        <v>1141</v>
      </c>
      <c r="Q169" s="750"/>
      <c r="R169" s="526">
        <v>1</v>
      </c>
      <c r="S169" s="525"/>
    </row>
    <row r="170" spans="16:19" ht="15">
      <c r="P170" s="744" t="s">
        <v>1140</v>
      </c>
      <c r="Q170" s="745" t="s">
        <v>736</v>
      </c>
      <c r="R170" s="524" t="s">
        <v>736</v>
      </c>
      <c r="S170" s="521">
        <v>1</v>
      </c>
    </row>
    <row r="171" spans="16:19" ht="15">
      <c r="P171" s="744" t="s">
        <v>1144</v>
      </c>
      <c r="Q171" s="745" t="s">
        <v>736</v>
      </c>
      <c r="R171" s="524" t="s">
        <v>736</v>
      </c>
      <c r="S171" s="521">
        <v>1</v>
      </c>
    </row>
    <row r="172" spans="16:19" ht="15">
      <c r="P172" s="744" t="s">
        <v>1313</v>
      </c>
      <c r="Q172" s="745"/>
      <c r="R172" s="524"/>
      <c r="S172" s="521">
        <v>1</v>
      </c>
    </row>
    <row r="173" spans="16:19" ht="15">
      <c r="P173" s="744" t="s">
        <v>1145</v>
      </c>
      <c r="Q173" s="745" t="s">
        <v>736</v>
      </c>
      <c r="R173" s="524" t="s">
        <v>736</v>
      </c>
      <c r="S173" s="521">
        <v>1</v>
      </c>
    </row>
    <row r="174" spans="16:19" ht="15">
      <c r="P174" s="744" t="s">
        <v>1033</v>
      </c>
      <c r="Q174" s="745" t="s">
        <v>736</v>
      </c>
      <c r="R174" s="524" t="s">
        <v>736</v>
      </c>
      <c r="S174" s="521">
        <v>1</v>
      </c>
    </row>
    <row r="175" spans="16:19">
      <c r="P175" s="746" t="s">
        <v>3206</v>
      </c>
      <c r="Q175" s="745" t="s">
        <v>736</v>
      </c>
      <c r="R175" s="524" t="s">
        <v>736</v>
      </c>
      <c r="S175" s="521">
        <v>1</v>
      </c>
    </row>
    <row r="176" spans="16:19">
      <c r="P176" s="746" t="s">
        <v>1314</v>
      </c>
      <c r="Q176" s="745"/>
      <c r="R176" s="524"/>
      <c r="S176" s="521">
        <v>1</v>
      </c>
    </row>
    <row r="177" spans="16:19">
      <c r="P177" s="746" t="s">
        <v>1146</v>
      </c>
      <c r="Q177" s="745" t="s">
        <v>736</v>
      </c>
      <c r="R177" s="524" t="s">
        <v>736</v>
      </c>
      <c r="S177" s="521">
        <v>1</v>
      </c>
    </row>
    <row r="178" spans="16:19" ht="15">
      <c r="P178" s="1388" t="s">
        <v>6019</v>
      </c>
      <c r="Q178" s="745"/>
      <c r="R178" s="524"/>
      <c r="S178" s="521">
        <v>1</v>
      </c>
    </row>
    <row r="179" spans="16:19" ht="15">
      <c r="P179" s="744" t="s">
        <v>1147</v>
      </c>
      <c r="Q179" s="745" t="s">
        <v>736</v>
      </c>
      <c r="R179" s="524" t="s">
        <v>736</v>
      </c>
      <c r="S179" s="521">
        <v>1</v>
      </c>
    </row>
    <row r="180" spans="16:19" ht="15">
      <c r="P180" s="744" t="s">
        <v>2879</v>
      </c>
      <c r="Q180" s="745" t="s">
        <v>736</v>
      </c>
      <c r="R180" s="524" t="s">
        <v>736</v>
      </c>
      <c r="S180" s="521">
        <v>1</v>
      </c>
    </row>
    <row r="181" spans="16:19" ht="15">
      <c r="P181" s="744" t="s">
        <v>1148</v>
      </c>
      <c r="Q181" s="745" t="s">
        <v>736</v>
      </c>
      <c r="R181" s="524" t="s">
        <v>736</v>
      </c>
      <c r="S181" s="521">
        <v>1</v>
      </c>
    </row>
    <row r="182" spans="16:19">
      <c r="P182" s="746" t="s">
        <v>3205</v>
      </c>
      <c r="Q182" s="745"/>
      <c r="R182" s="524"/>
      <c r="S182" s="521">
        <v>1</v>
      </c>
    </row>
    <row r="183" spans="16:19" ht="15">
      <c r="P183" s="744" t="s">
        <v>1149</v>
      </c>
      <c r="Q183" s="745" t="s">
        <v>736</v>
      </c>
      <c r="R183" s="524" t="s">
        <v>736</v>
      </c>
      <c r="S183" s="521">
        <v>1</v>
      </c>
    </row>
    <row r="184" spans="16:19" ht="15">
      <c r="P184" s="744" t="s">
        <v>1150</v>
      </c>
      <c r="Q184" s="750">
        <v>1</v>
      </c>
      <c r="R184" s="526"/>
      <c r="S184" s="525"/>
    </row>
    <row r="185" spans="16:19" ht="15">
      <c r="P185" s="744" t="s">
        <v>1151</v>
      </c>
      <c r="Q185" s="745" t="s">
        <v>736</v>
      </c>
      <c r="R185" s="524" t="s">
        <v>736</v>
      </c>
      <c r="S185" s="521">
        <v>1</v>
      </c>
    </row>
    <row r="186" spans="16:19">
      <c r="P186" s="746" t="s">
        <v>1152</v>
      </c>
      <c r="Q186" s="745" t="s">
        <v>736</v>
      </c>
      <c r="R186" s="524" t="s">
        <v>736</v>
      </c>
      <c r="S186" s="521">
        <v>1</v>
      </c>
    </row>
    <row r="187" spans="16:19">
      <c r="P187" s="749" t="s">
        <v>3207</v>
      </c>
      <c r="Q187" s="745"/>
      <c r="R187" s="524"/>
      <c r="S187" s="521">
        <v>1</v>
      </c>
    </row>
    <row r="188" spans="16:19" ht="15">
      <c r="P188" s="744" t="s">
        <v>1315</v>
      </c>
      <c r="Q188" s="745"/>
      <c r="R188" s="524"/>
      <c r="S188" s="521">
        <v>1</v>
      </c>
    </row>
    <row r="189" spans="16:19" ht="15">
      <c r="P189" s="744" t="s">
        <v>1153</v>
      </c>
      <c r="Q189" s="745" t="s">
        <v>736</v>
      </c>
      <c r="R189" s="524" t="s">
        <v>736</v>
      </c>
      <c r="S189" s="521">
        <v>1</v>
      </c>
    </row>
    <row r="190" spans="16:19" ht="15">
      <c r="P190" s="744" t="s">
        <v>1817</v>
      </c>
      <c r="Q190" s="745"/>
      <c r="R190" s="524"/>
      <c r="S190" s="521">
        <v>1</v>
      </c>
    </row>
    <row r="191" spans="16:19" ht="15">
      <c r="P191" s="744" t="s">
        <v>3197</v>
      </c>
      <c r="Q191" s="745"/>
      <c r="R191" s="524"/>
      <c r="S191" s="521">
        <v>1</v>
      </c>
    </row>
    <row r="192" spans="16:19">
      <c r="P192" s="746" t="s">
        <v>1052</v>
      </c>
      <c r="Q192" s="745" t="s">
        <v>736</v>
      </c>
      <c r="R192" s="524" t="s">
        <v>736</v>
      </c>
      <c r="S192" s="521">
        <v>1</v>
      </c>
    </row>
    <row r="193" spans="16:19" ht="15">
      <c r="P193" s="744" t="s">
        <v>1154</v>
      </c>
      <c r="Q193" s="745" t="s">
        <v>736</v>
      </c>
      <c r="R193" s="524" t="s">
        <v>736</v>
      </c>
      <c r="S193" s="521">
        <v>1</v>
      </c>
    </row>
    <row r="194" spans="16:19" ht="15">
      <c r="P194" s="744" t="s">
        <v>1155</v>
      </c>
      <c r="Q194" s="745" t="s">
        <v>736</v>
      </c>
      <c r="R194" s="524" t="s">
        <v>736</v>
      </c>
      <c r="S194" s="521">
        <v>1</v>
      </c>
    </row>
    <row r="195" spans="16:19">
      <c r="P195" s="746" t="s">
        <v>1156</v>
      </c>
      <c r="Q195" s="745" t="s">
        <v>736</v>
      </c>
      <c r="R195" s="524" t="s">
        <v>736</v>
      </c>
      <c r="S195" s="521">
        <v>1</v>
      </c>
    </row>
    <row r="196" spans="16:19">
      <c r="P196" s="746" t="s">
        <v>1157</v>
      </c>
      <c r="Q196" s="745" t="s">
        <v>736</v>
      </c>
      <c r="R196" s="524" t="s">
        <v>736</v>
      </c>
      <c r="S196" s="521">
        <v>1</v>
      </c>
    </row>
    <row r="197" spans="16:19">
      <c r="P197" s="746" t="s">
        <v>1158</v>
      </c>
      <c r="Q197" s="745" t="s">
        <v>736</v>
      </c>
      <c r="R197" s="524" t="s">
        <v>736</v>
      </c>
      <c r="S197" s="521">
        <v>1</v>
      </c>
    </row>
    <row r="198" spans="16:19" ht="15">
      <c r="P198" s="744" t="s">
        <v>1159</v>
      </c>
      <c r="Q198" s="745" t="s">
        <v>736</v>
      </c>
      <c r="R198" s="524" t="s">
        <v>736</v>
      </c>
      <c r="S198" s="521">
        <v>1</v>
      </c>
    </row>
    <row r="199" spans="16:19" ht="15">
      <c r="P199" s="744" t="s">
        <v>1160</v>
      </c>
      <c r="Q199" s="745" t="s">
        <v>736</v>
      </c>
      <c r="R199" s="524" t="s">
        <v>736</v>
      </c>
      <c r="S199" s="521">
        <v>1</v>
      </c>
    </row>
    <row r="200" spans="16:19" ht="15">
      <c r="P200" s="744" t="s">
        <v>1161</v>
      </c>
      <c r="Q200" s="750"/>
      <c r="R200" s="526">
        <v>1</v>
      </c>
      <c r="S200" s="525"/>
    </row>
    <row r="201" spans="16:19" ht="15">
      <c r="P201" s="744" t="s">
        <v>1162</v>
      </c>
      <c r="Q201" s="745" t="s">
        <v>736</v>
      </c>
      <c r="R201" s="524" t="s">
        <v>736</v>
      </c>
      <c r="S201" s="521">
        <v>1</v>
      </c>
    </row>
    <row r="202" spans="16:19" ht="15">
      <c r="P202" s="744" t="s">
        <v>1163</v>
      </c>
      <c r="Q202" s="750" t="s">
        <v>736</v>
      </c>
      <c r="R202" s="526">
        <v>1</v>
      </c>
      <c r="S202" s="525" t="s">
        <v>736</v>
      </c>
    </row>
    <row r="203" spans="16:19">
      <c r="P203" s="746" t="s">
        <v>1164</v>
      </c>
      <c r="Q203" s="750">
        <v>1</v>
      </c>
      <c r="R203" s="526"/>
      <c r="S203" s="525"/>
    </row>
    <row r="204" spans="16:19" ht="15">
      <c r="P204" s="1388" t="s">
        <v>6020</v>
      </c>
      <c r="Q204" s="745"/>
      <c r="R204" s="524"/>
      <c r="S204" s="521">
        <v>1</v>
      </c>
    </row>
    <row r="205" spans="16:19" ht="15">
      <c r="P205" s="744" t="s">
        <v>1165</v>
      </c>
      <c r="Q205" s="745" t="s">
        <v>736</v>
      </c>
      <c r="R205" s="524" t="s">
        <v>736</v>
      </c>
      <c r="S205" s="521">
        <v>1</v>
      </c>
    </row>
    <row r="206" spans="16:19" ht="15">
      <c r="P206" s="744" t="s">
        <v>1166</v>
      </c>
      <c r="Q206" s="750"/>
      <c r="R206" s="526">
        <v>1</v>
      </c>
      <c r="S206" s="525"/>
    </row>
    <row r="207" spans="16:19">
      <c r="P207" s="749" t="s">
        <v>2898</v>
      </c>
      <c r="Q207" s="745"/>
      <c r="R207" s="524"/>
      <c r="S207" s="521">
        <v>1</v>
      </c>
    </row>
    <row r="208" spans="16:19">
      <c r="P208" s="746" t="s">
        <v>1167</v>
      </c>
      <c r="Q208" s="745" t="s">
        <v>736</v>
      </c>
      <c r="R208" s="524" t="s">
        <v>736</v>
      </c>
      <c r="S208" s="521">
        <v>1</v>
      </c>
    </row>
    <row r="209" spans="16:19" ht="15">
      <c r="P209" s="744" t="s">
        <v>1168</v>
      </c>
      <c r="Q209" s="745" t="s">
        <v>736</v>
      </c>
      <c r="R209" s="524" t="s">
        <v>736</v>
      </c>
      <c r="S209" s="521">
        <v>1</v>
      </c>
    </row>
    <row r="210" spans="16:19" ht="15">
      <c r="P210" s="744" t="s">
        <v>1169</v>
      </c>
      <c r="Q210" s="745" t="s">
        <v>736</v>
      </c>
      <c r="R210" s="524" t="s">
        <v>736</v>
      </c>
      <c r="S210" s="521">
        <v>1</v>
      </c>
    </row>
    <row r="211" spans="16:19" ht="15">
      <c r="P211" s="744" t="s">
        <v>1170</v>
      </c>
      <c r="Q211" s="745" t="s">
        <v>736</v>
      </c>
      <c r="R211" s="524" t="s">
        <v>736</v>
      </c>
      <c r="S211" s="521">
        <v>1</v>
      </c>
    </row>
    <row r="212" spans="16:19">
      <c r="P212" s="746" t="s">
        <v>1171</v>
      </c>
      <c r="Q212" s="745" t="s">
        <v>736</v>
      </c>
      <c r="R212" s="524" t="s">
        <v>736</v>
      </c>
      <c r="S212" s="521">
        <v>1</v>
      </c>
    </row>
    <row r="213" spans="16:19">
      <c r="P213" s="746" t="s">
        <v>1172</v>
      </c>
      <c r="Q213" s="745" t="s">
        <v>736</v>
      </c>
      <c r="R213" s="524" t="s">
        <v>736</v>
      </c>
      <c r="S213" s="521">
        <v>1</v>
      </c>
    </row>
    <row r="214" spans="16:19" ht="15">
      <c r="P214" s="744" t="s">
        <v>1173</v>
      </c>
      <c r="Q214" s="745" t="s">
        <v>736</v>
      </c>
      <c r="R214" s="524" t="s">
        <v>736</v>
      </c>
      <c r="S214" s="521">
        <v>1</v>
      </c>
    </row>
    <row r="215" spans="16:19" ht="15">
      <c r="P215" s="1388" t="s">
        <v>6021</v>
      </c>
      <c r="Q215" s="745"/>
      <c r="R215" s="524"/>
      <c r="S215" s="521">
        <v>1</v>
      </c>
    </row>
    <row r="216" spans="16:19" ht="15">
      <c r="P216" s="744" t="s">
        <v>1174</v>
      </c>
      <c r="Q216" s="745" t="s">
        <v>736</v>
      </c>
      <c r="R216" s="524" t="s">
        <v>736</v>
      </c>
      <c r="S216" s="521">
        <v>1</v>
      </c>
    </row>
    <row r="217" spans="16:19" ht="15">
      <c r="P217" s="1388" t="s">
        <v>6022</v>
      </c>
      <c r="Q217" s="745"/>
      <c r="R217" s="524"/>
      <c r="S217" s="521">
        <v>1</v>
      </c>
    </row>
    <row r="218" spans="16:19" ht="15">
      <c r="P218" s="744" t="s">
        <v>1175</v>
      </c>
      <c r="Q218" s="745" t="s">
        <v>736</v>
      </c>
      <c r="R218" s="524" t="s">
        <v>736</v>
      </c>
      <c r="S218" s="521">
        <v>1</v>
      </c>
    </row>
    <row r="219" spans="16:19" ht="15">
      <c r="P219" s="744" t="s">
        <v>1175</v>
      </c>
      <c r="Q219" s="750">
        <v>1</v>
      </c>
      <c r="R219" s="526"/>
      <c r="S219" s="525"/>
    </row>
    <row r="220" spans="16:19">
      <c r="P220" s="746" t="s">
        <v>1031</v>
      </c>
      <c r="Q220" s="745" t="s">
        <v>736</v>
      </c>
      <c r="R220" s="524" t="s">
        <v>736</v>
      </c>
      <c r="S220" s="521">
        <v>1</v>
      </c>
    </row>
    <row r="221" spans="16:19">
      <c r="P221" s="749" t="s">
        <v>3208</v>
      </c>
      <c r="Q221" s="745"/>
      <c r="R221" s="524"/>
      <c r="S221" s="521">
        <v>1</v>
      </c>
    </row>
    <row r="222" spans="16:19" ht="15">
      <c r="P222" s="744" t="s">
        <v>1026</v>
      </c>
      <c r="Q222" s="745" t="s">
        <v>736</v>
      </c>
      <c r="R222" s="524" t="s">
        <v>736</v>
      </c>
      <c r="S222" s="521">
        <v>1</v>
      </c>
    </row>
    <row r="223" spans="16:19" ht="15">
      <c r="P223" s="1388" t="s">
        <v>6023</v>
      </c>
      <c r="Q223" s="745"/>
      <c r="R223" s="524"/>
      <c r="S223" s="521">
        <v>1</v>
      </c>
    </row>
    <row r="224" spans="16:19" ht="15">
      <c r="P224" s="1388" t="s">
        <v>6024</v>
      </c>
      <c r="Q224" s="745"/>
      <c r="R224" s="524"/>
      <c r="S224" s="521">
        <v>1</v>
      </c>
    </row>
    <row r="225" spans="16:19" ht="15">
      <c r="P225" s="744" t="s">
        <v>1176</v>
      </c>
      <c r="Q225" s="745" t="s">
        <v>736</v>
      </c>
      <c r="R225" s="524" t="s">
        <v>736</v>
      </c>
      <c r="S225" s="521">
        <v>1</v>
      </c>
    </row>
    <row r="226" spans="16:19" ht="15">
      <c r="P226" s="744" t="s">
        <v>1177</v>
      </c>
      <c r="Q226" s="751" t="s">
        <v>736</v>
      </c>
      <c r="R226" s="529" t="s">
        <v>736</v>
      </c>
      <c r="S226" s="528">
        <v>1</v>
      </c>
    </row>
    <row r="227" spans="16:19">
      <c r="P227" s="746" t="s">
        <v>1178</v>
      </c>
      <c r="Q227" s="750"/>
      <c r="R227" s="526">
        <v>1</v>
      </c>
      <c r="S227" s="525"/>
    </row>
    <row r="228" spans="16:19" ht="15">
      <c r="P228" s="744" t="s">
        <v>1179</v>
      </c>
      <c r="Q228" s="745" t="s">
        <v>736</v>
      </c>
      <c r="R228" s="524" t="s">
        <v>736</v>
      </c>
      <c r="S228" s="521">
        <v>1</v>
      </c>
    </row>
    <row r="229" spans="16:19" ht="15">
      <c r="P229" s="744" t="s">
        <v>1180</v>
      </c>
      <c r="Q229" s="745" t="s">
        <v>736</v>
      </c>
      <c r="R229" s="524" t="s">
        <v>736</v>
      </c>
      <c r="S229" s="521">
        <v>1</v>
      </c>
    </row>
    <row r="230" spans="16:19">
      <c r="P230" s="749" t="s">
        <v>3209</v>
      </c>
      <c r="Q230" s="745"/>
      <c r="R230" s="524"/>
      <c r="S230" s="521">
        <v>1</v>
      </c>
    </row>
    <row r="231" spans="16:19">
      <c r="P231" s="746" t="s">
        <v>1181</v>
      </c>
      <c r="Q231" s="745" t="s">
        <v>736</v>
      </c>
      <c r="R231" s="524" t="s">
        <v>736</v>
      </c>
      <c r="S231" s="521">
        <v>1</v>
      </c>
    </row>
    <row r="232" spans="16:19">
      <c r="P232" s="746" t="s">
        <v>1182</v>
      </c>
      <c r="Q232" s="745" t="s">
        <v>736</v>
      </c>
      <c r="R232" s="524" t="s">
        <v>736</v>
      </c>
      <c r="S232" s="521">
        <v>1</v>
      </c>
    </row>
    <row r="233" spans="16:19" ht="15">
      <c r="P233" s="744" t="s">
        <v>1183</v>
      </c>
      <c r="Q233" s="745" t="s">
        <v>736</v>
      </c>
      <c r="R233" s="524" t="s">
        <v>736</v>
      </c>
      <c r="S233" s="521">
        <v>1</v>
      </c>
    </row>
    <row r="234" spans="16:19" ht="15">
      <c r="P234" s="744" t="s">
        <v>1184</v>
      </c>
      <c r="Q234" s="750"/>
      <c r="R234" s="526">
        <v>1</v>
      </c>
      <c r="S234" s="525"/>
    </row>
    <row r="235" spans="16:19" ht="15">
      <c r="P235" s="744" t="s">
        <v>1040</v>
      </c>
      <c r="Q235" s="745" t="s">
        <v>736</v>
      </c>
      <c r="R235" s="524" t="s">
        <v>736</v>
      </c>
      <c r="S235" s="521">
        <v>1</v>
      </c>
    </row>
    <row r="236" spans="16:19" ht="15">
      <c r="P236" s="744" t="s">
        <v>1185</v>
      </c>
      <c r="Q236" s="745" t="s">
        <v>736</v>
      </c>
      <c r="R236" s="524" t="s">
        <v>736</v>
      </c>
      <c r="S236" s="521">
        <v>1</v>
      </c>
    </row>
    <row r="237" spans="16:19">
      <c r="P237" s="749" t="s">
        <v>3210</v>
      </c>
      <c r="Q237" s="745"/>
      <c r="R237" s="524"/>
      <c r="S237" s="521">
        <v>1</v>
      </c>
    </row>
    <row r="238" spans="16:19" ht="15">
      <c r="P238" s="744" t="s">
        <v>1186</v>
      </c>
      <c r="Q238" s="745" t="s">
        <v>736</v>
      </c>
      <c r="R238" s="524" t="s">
        <v>736</v>
      </c>
      <c r="S238" s="521">
        <v>1</v>
      </c>
    </row>
    <row r="239" spans="16:19" ht="15">
      <c r="P239" s="744" t="s">
        <v>1028</v>
      </c>
      <c r="Q239" s="745" t="s">
        <v>736</v>
      </c>
      <c r="R239" s="524" t="s">
        <v>736</v>
      </c>
      <c r="S239" s="521">
        <v>1</v>
      </c>
    </row>
    <row r="240" spans="16:19">
      <c r="P240" s="749" t="s">
        <v>3211</v>
      </c>
      <c r="Q240" s="745"/>
      <c r="R240" s="524"/>
      <c r="S240" s="521">
        <v>1</v>
      </c>
    </row>
    <row r="241" spans="16:19" ht="15">
      <c r="P241" s="744" t="s">
        <v>1187</v>
      </c>
      <c r="Q241" s="745" t="s">
        <v>736</v>
      </c>
      <c r="R241" s="524" t="s">
        <v>736</v>
      </c>
      <c r="S241" s="521">
        <v>1</v>
      </c>
    </row>
    <row r="242" spans="16:19" ht="15">
      <c r="P242" s="744" t="s">
        <v>1023</v>
      </c>
      <c r="Q242" s="745" t="s">
        <v>736</v>
      </c>
      <c r="R242" s="524" t="s">
        <v>736</v>
      </c>
      <c r="S242" s="521">
        <v>1</v>
      </c>
    </row>
    <row r="243" spans="16:19" ht="15">
      <c r="P243" s="744" t="s">
        <v>1188</v>
      </c>
      <c r="Q243" s="745" t="s">
        <v>736</v>
      </c>
      <c r="R243" s="524" t="s">
        <v>736</v>
      </c>
      <c r="S243" s="521">
        <v>1</v>
      </c>
    </row>
    <row r="244" spans="16:19" ht="15">
      <c r="P244" s="744" t="s">
        <v>1024</v>
      </c>
      <c r="Q244" s="745" t="s">
        <v>736</v>
      </c>
      <c r="R244" s="524" t="s">
        <v>736</v>
      </c>
      <c r="S244" s="521">
        <v>1</v>
      </c>
    </row>
    <row r="245" spans="16:19" ht="15">
      <c r="P245" s="744" t="s">
        <v>1189</v>
      </c>
      <c r="Q245" s="750"/>
      <c r="R245" s="526">
        <v>1</v>
      </c>
      <c r="S245" s="525" t="s">
        <v>736</v>
      </c>
    </row>
    <row r="246" spans="16:19" ht="15">
      <c r="P246" s="744" t="s">
        <v>1190</v>
      </c>
      <c r="Q246" s="750">
        <v>1</v>
      </c>
      <c r="R246" s="526"/>
      <c r="S246" s="525"/>
    </row>
    <row r="247" spans="16:19">
      <c r="P247" s="746" t="s">
        <v>1191</v>
      </c>
      <c r="Q247" s="745" t="s">
        <v>736</v>
      </c>
      <c r="R247" s="524" t="s">
        <v>736</v>
      </c>
      <c r="S247" s="521">
        <v>1</v>
      </c>
    </row>
    <row r="248" spans="16:19" ht="15">
      <c r="P248" s="1388" t="s">
        <v>6025</v>
      </c>
      <c r="Q248" s="745" t="s">
        <v>736</v>
      </c>
      <c r="R248" s="524" t="s">
        <v>736</v>
      </c>
      <c r="S248" s="521">
        <v>1</v>
      </c>
    </row>
    <row r="249" spans="16:19">
      <c r="P249" s="749" t="s">
        <v>1774</v>
      </c>
      <c r="Q249" s="745"/>
      <c r="R249" s="524"/>
      <c r="S249" s="521">
        <v>1</v>
      </c>
    </row>
    <row r="250" spans="16:19" ht="15">
      <c r="P250" s="1388" t="s">
        <v>6026</v>
      </c>
      <c r="Q250" s="745"/>
      <c r="R250" s="524"/>
      <c r="S250" s="521">
        <v>1</v>
      </c>
    </row>
    <row r="251" spans="16:19">
      <c r="P251" s="746" t="s">
        <v>1818</v>
      </c>
      <c r="Q251" s="745" t="s">
        <v>736</v>
      </c>
      <c r="R251" s="524"/>
      <c r="S251" s="521">
        <v>1</v>
      </c>
    </row>
    <row r="252" spans="16:19">
      <c r="P252" s="749" t="s">
        <v>2901</v>
      </c>
      <c r="Q252" s="745"/>
      <c r="R252" s="524"/>
      <c r="S252" s="521">
        <v>1</v>
      </c>
    </row>
    <row r="253" spans="16:19">
      <c r="P253" s="746" t="s">
        <v>1192</v>
      </c>
      <c r="Q253" s="745" t="s">
        <v>736</v>
      </c>
      <c r="R253" s="524" t="s">
        <v>736</v>
      </c>
      <c r="S253" s="521">
        <v>1</v>
      </c>
    </row>
    <row r="254" spans="16:19" ht="15">
      <c r="P254" s="744" t="s">
        <v>1193</v>
      </c>
      <c r="Q254" s="745" t="s">
        <v>736</v>
      </c>
      <c r="R254" s="524" t="s">
        <v>736</v>
      </c>
      <c r="S254" s="521">
        <v>1</v>
      </c>
    </row>
    <row r="255" spans="16:19" ht="15">
      <c r="P255" s="744" t="s">
        <v>1194</v>
      </c>
      <c r="Q255" s="745" t="s">
        <v>736</v>
      </c>
      <c r="R255" s="524" t="s">
        <v>736</v>
      </c>
      <c r="S255" s="521">
        <v>1</v>
      </c>
    </row>
    <row r="256" spans="16:19" ht="15">
      <c r="P256" s="744" t="s">
        <v>1195</v>
      </c>
      <c r="Q256" s="750">
        <v>1</v>
      </c>
      <c r="R256" s="526"/>
      <c r="S256" s="525"/>
    </row>
    <row r="257" spans="16:19" ht="15">
      <c r="P257" s="1388" t="s">
        <v>6027</v>
      </c>
      <c r="Q257" s="745"/>
      <c r="R257" s="524"/>
      <c r="S257" s="521">
        <v>1</v>
      </c>
    </row>
    <row r="258" spans="16:19" ht="15">
      <c r="P258" s="1388" t="s">
        <v>6028</v>
      </c>
      <c r="Q258" s="745"/>
      <c r="R258" s="524"/>
      <c r="S258" s="521">
        <v>1</v>
      </c>
    </row>
    <row r="259" spans="16:19" ht="15">
      <c r="P259" s="744" t="s">
        <v>1196</v>
      </c>
      <c r="Q259" s="745" t="s">
        <v>736</v>
      </c>
      <c r="R259" s="524" t="s">
        <v>736</v>
      </c>
      <c r="S259" s="521">
        <v>1</v>
      </c>
    </row>
    <row r="260" spans="16:19" ht="15">
      <c r="P260" s="744" t="s">
        <v>1197</v>
      </c>
      <c r="Q260" s="745" t="s">
        <v>736</v>
      </c>
      <c r="R260" s="524" t="s">
        <v>736</v>
      </c>
      <c r="S260" s="521">
        <v>1</v>
      </c>
    </row>
    <row r="261" spans="16:19">
      <c r="P261" s="749" t="s">
        <v>3212</v>
      </c>
      <c r="Q261" s="745"/>
      <c r="R261" s="524"/>
      <c r="S261" s="521">
        <v>1</v>
      </c>
    </row>
    <row r="262" spans="16:19">
      <c r="P262" s="746" t="s">
        <v>1198</v>
      </c>
      <c r="Q262" s="745" t="s">
        <v>736</v>
      </c>
      <c r="R262" s="524" t="s">
        <v>736</v>
      </c>
      <c r="S262" s="521">
        <v>1</v>
      </c>
    </row>
    <row r="263" spans="16:19" ht="15">
      <c r="P263" s="744" t="s">
        <v>1199</v>
      </c>
      <c r="Q263" s="745" t="s">
        <v>736</v>
      </c>
      <c r="R263" s="524" t="s">
        <v>736</v>
      </c>
      <c r="S263" s="521">
        <v>1</v>
      </c>
    </row>
    <row r="264" spans="16:19" ht="15">
      <c r="P264" s="1388" t="s">
        <v>6029</v>
      </c>
      <c r="Q264" s="745"/>
      <c r="R264" s="524"/>
      <c r="S264" s="521">
        <v>1</v>
      </c>
    </row>
    <row r="265" spans="16:19" ht="15">
      <c r="P265" s="1388" t="s">
        <v>6030</v>
      </c>
      <c r="Q265" s="745" t="s">
        <v>736</v>
      </c>
      <c r="R265" s="524" t="s">
        <v>736</v>
      </c>
      <c r="S265" s="521">
        <v>1</v>
      </c>
    </row>
    <row r="266" spans="16:19" ht="15">
      <c r="P266" s="744" t="s">
        <v>1200</v>
      </c>
      <c r="Q266" s="745" t="s">
        <v>736</v>
      </c>
      <c r="R266" s="524" t="s">
        <v>736</v>
      </c>
      <c r="S266" s="521">
        <v>1</v>
      </c>
    </row>
    <row r="267" spans="16:19" ht="15">
      <c r="P267" s="1388" t="s">
        <v>6031</v>
      </c>
      <c r="Q267" s="745" t="s">
        <v>736</v>
      </c>
      <c r="R267" s="524" t="s">
        <v>736</v>
      </c>
      <c r="S267" s="521">
        <v>1</v>
      </c>
    </row>
    <row r="268" spans="16:19" ht="15">
      <c r="P268" s="744" t="s">
        <v>1201</v>
      </c>
      <c r="Q268" s="750">
        <v>1</v>
      </c>
      <c r="R268" s="526"/>
      <c r="S268" s="525"/>
    </row>
    <row r="269" spans="16:19" ht="15">
      <c r="P269" s="744" t="s">
        <v>1202</v>
      </c>
      <c r="Q269" s="745" t="s">
        <v>736</v>
      </c>
      <c r="R269" s="524" t="s">
        <v>736</v>
      </c>
      <c r="S269" s="521">
        <v>1</v>
      </c>
    </row>
    <row r="270" spans="16:19" ht="15">
      <c r="P270" s="744" t="s">
        <v>1203</v>
      </c>
      <c r="Q270" s="745" t="s">
        <v>736</v>
      </c>
      <c r="R270" s="524" t="s">
        <v>736</v>
      </c>
      <c r="S270" s="521">
        <v>1</v>
      </c>
    </row>
    <row r="271" spans="16:19" ht="15">
      <c r="P271" s="744" t="s">
        <v>3195</v>
      </c>
      <c r="Q271" s="745"/>
      <c r="R271" s="524"/>
      <c r="S271" s="521">
        <v>1</v>
      </c>
    </row>
    <row r="272" spans="16:19">
      <c r="P272" s="746" t="s">
        <v>1084</v>
      </c>
      <c r="Q272" s="750">
        <v>1</v>
      </c>
      <c r="R272" s="526"/>
      <c r="S272" s="525"/>
    </row>
    <row r="273" spans="16:19" ht="15">
      <c r="P273" s="744" t="s">
        <v>1204</v>
      </c>
      <c r="Q273" s="745" t="s">
        <v>736</v>
      </c>
      <c r="R273" s="524" t="s">
        <v>736</v>
      </c>
      <c r="S273" s="521">
        <v>1</v>
      </c>
    </row>
    <row r="274" spans="16:19" ht="15">
      <c r="P274" s="744" t="s">
        <v>1205</v>
      </c>
      <c r="Q274" s="745" t="s">
        <v>736</v>
      </c>
      <c r="R274" s="524" t="s">
        <v>736</v>
      </c>
      <c r="S274" s="521">
        <v>1</v>
      </c>
    </row>
    <row r="275" spans="16:19" ht="15">
      <c r="P275" s="744" t="s">
        <v>3196</v>
      </c>
      <c r="Q275" s="745"/>
      <c r="R275" s="524"/>
      <c r="S275" s="521">
        <v>1</v>
      </c>
    </row>
    <row r="276" spans="16:19" ht="15">
      <c r="P276" s="744" t="s">
        <v>1206</v>
      </c>
      <c r="Q276" s="745" t="s">
        <v>736</v>
      </c>
      <c r="R276" s="524" t="s">
        <v>736</v>
      </c>
      <c r="S276" s="521">
        <v>1</v>
      </c>
    </row>
    <row r="277" spans="16:19" ht="15">
      <c r="P277" s="744" t="s">
        <v>1029</v>
      </c>
      <c r="Q277" s="750"/>
      <c r="R277" s="526">
        <v>1</v>
      </c>
      <c r="S277" s="525"/>
    </row>
    <row r="278" spans="16:19" ht="15">
      <c r="P278" s="744" t="s">
        <v>1207</v>
      </c>
      <c r="Q278" s="745" t="s">
        <v>736</v>
      </c>
      <c r="R278" s="524" t="s">
        <v>736</v>
      </c>
      <c r="S278" s="521">
        <v>1</v>
      </c>
    </row>
    <row r="279" spans="16:19" ht="15">
      <c r="P279" s="1388" t="s">
        <v>6032</v>
      </c>
      <c r="Q279" s="745"/>
      <c r="R279" s="524"/>
      <c r="S279" s="521">
        <v>1</v>
      </c>
    </row>
    <row r="280" spans="16:19" ht="15">
      <c r="P280" s="744" t="s">
        <v>1805</v>
      </c>
      <c r="Q280" s="745"/>
      <c r="R280" s="524"/>
      <c r="S280" s="521">
        <v>1</v>
      </c>
    </row>
    <row r="281" spans="16:19" ht="15">
      <c r="P281" s="744" t="s">
        <v>1208</v>
      </c>
      <c r="Q281" s="745" t="s">
        <v>736</v>
      </c>
      <c r="R281" s="524" t="s">
        <v>736</v>
      </c>
      <c r="S281" s="521">
        <v>1</v>
      </c>
    </row>
    <row r="282" spans="16:19" ht="15">
      <c r="P282" s="744" t="s">
        <v>1209</v>
      </c>
      <c r="Q282" s="745" t="s">
        <v>736</v>
      </c>
      <c r="R282" s="524" t="s">
        <v>736</v>
      </c>
      <c r="S282" s="521">
        <v>1</v>
      </c>
    </row>
    <row r="283" spans="16:19" ht="15">
      <c r="P283" s="744" t="s">
        <v>1210</v>
      </c>
      <c r="Q283" s="750"/>
      <c r="R283" s="526">
        <v>1</v>
      </c>
      <c r="S283" s="525"/>
    </row>
    <row r="284" spans="16:19" ht="15">
      <c r="P284" s="744" t="s">
        <v>1211</v>
      </c>
      <c r="Q284" s="745" t="s">
        <v>736</v>
      </c>
      <c r="R284" s="524" t="s">
        <v>736</v>
      </c>
      <c r="S284" s="521">
        <v>1</v>
      </c>
    </row>
    <row r="285" spans="16:19" ht="15">
      <c r="P285" s="744" t="s">
        <v>1212</v>
      </c>
      <c r="Q285" s="745" t="s">
        <v>736</v>
      </c>
      <c r="R285" s="524" t="s">
        <v>736</v>
      </c>
      <c r="S285" s="521">
        <v>1</v>
      </c>
    </row>
    <row r="286" spans="16:19" ht="15">
      <c r="P286" s="1388" t="s">
        <v>6033</v>
      </c>
      <c r="Q286" s="745"/>
      <c r="R286" s="524"/>
      <c r="S286" s="521">
        <v>1</v>
      </c>
    </row>
    <row r="287" spans="16:19" ht="15">
      <c r="P287" s="744" t="s">
        <v>1213</v>
      </c>
      <c r="Q287" s="745" t="s">
        <v>736</v>
      </c>
      <c r="R287" s="524" t="s">
        <v>736</v>
      </c>
      <c r="S287" s="521">
        <v>1</v>
      </c>
    </row>
    <row r="288" spans="16:19" ht="15">
      <c r="P288" s="744" t="s">
        <v>1214</v>
      </c>
      <c r="Q288" s="745" t="s">
        <v>736</v>
      </c>
      <c r="R288" s="524" t="s">
        <v>736</v>
      </c>
      <c r="S288" s="521">
        <v>1</v>
      </c>
    </row>
    <row r="289" spans="16:19" ht="15">
      <c r="P289" s="1388" t="s">
        <v>6034</v>
      </c>
      <c r="Q289" s="750">
        <v>1</v>
      </c>
      <c r="R289" s="526"/>
      <c r="S289" s="525"/>
    </row>
    <row r="290" spans="16:19" ht="15">
      <c r="P290" s="744" t="s">
        <v>3192</v>
      </c>
      <c r="Q290" s="745"/>
      <c r="R290" s="524"/>
      <c r="S290" s="521">
        <v>1</v>
      </c>
    </row>
    <row r="291" spans="16:19" ht="15">
      <c r="P291" s="744" t="s">
        <v>1215</v>
      </c>
      <c r="Q291" s="745" t="s">
        <v>736</v>
      </c>
      <c r="R291" s="524" t="s">
        <v>736</v>
      </c>
      <c r="S291" s="521">
        <v>1</v>
      </c>
    </row>
    <row r="292" spans="16:19" ht="15">
      <c r="P292" s="744" t="s">
        <v>1216</v>
      </c>
      <c r="Q292" s="745" t="s">
        <v>736</v>
      </c>
      <c r="R292" s="524" t="s">
        <v>736</v>
      </c>
      <c r="S292" s="521">
        <v>1</v>
      </c>
    </row>
    <row r="293" spans="16:19">
      <c r="P293" s="746" t="s">
        <v>1217</v>
      </c>
      <c r="Q293" s="745" t="s">
        <v>736</v>
      </c>
      <c r="R293" s="524" t="s">
        <v>736</v>
      </c>
      <c r="S293" s="521">
        <v>1</v>
      </c>
    </row>
    <row r="294" spans="16:19" ht="15">
      <c r="P294" s="744" t="s">
        <v>1218</v>
      </c>
      <c r="Q294" s="745" t="s">
        <v>736</v>
      </c>
      <c r="R294" s="524" t="s">
        <v>736</v>
      </c>
      <c r="S294" s="521">
        <v>1</v>
      </c>
    </row>
    <row r="295" spans="16:19" ht="15">
      <c r="P295" s="744" t="s">
        <v>1219</v>
      </c>
      <c r="Q295" s="750"/>
      <c r="R295" s="526">
        <v>1</v>
      </c>
      <c r="S295" s="525"/>
    </row>
    <row r="296" spans="16:19" ht="15">
      <c r="P296" s="744" t="s">
        <v>1220</v>
      </c>
      <c r="Q296" s="750"/>
      <c r="R296" s="526">
        <v>1</v>
      </c>
      <c r="S296" s="525"/>
    </row>
    <row r="297" spans="16:19" ht="15">
      <c r="P297" s="1388" t="s">
        <v>6035</v>
      </c>
      <c r="Q297" s="745"/>
      <c r="R297" s="524"/>
      <c r="S297" s="521">
        <v>1</v>
      </c>
    </row>
    <row r="298" spans="16:19" ht="15">
      <c r="P298" s="1388" t="s">
        <v>6036</v>
      </c>
      <c r="Q298" s="750">
        <v>1</v>
      </c>
      <c r="R298" s="526"/>
      <c r="S298" s="525"/>
    </row>
    <row r="299" spans="16:19">
      <c r="P299" s="749" t="s">
        <v>3213</v>
      </c>
      <c r="Q299" s="745"/>
      <c r="R299" s="524"/>
      <c r="S299" s="521">
        <v>1</v>
      </c>
    </row>
    <row r="300" spans="16:19" ht="15">
      <c r="P300" s="744" t="s">
        <v>1775</v>
      </c>
      <c r="Q300" s="745"/>
      <c r="R300" s="524"/>
      <c r="S300" s="521">
        <v>1</v>
      </c>
    </row>
    <row r="301" spans="16:19">
      <c r="P301" s="749" t="s">
        <v>3214</v>
      </c>
      <c r="Q301" s="745"/>
      <c r="R301" s="524"/>
      <c r="S301" s="521">
        <v>1</v>
      </c>
    </row>
    <row r="302" spans="16:19" ht="15">
      <c r="P302" s="1388" t="s">
        <v>6037</v>
      </c>
      <c r="Q302" s="745"/>
      <c r="R302" s="524"/>
      <c r="S302" s="521">
        <v>1</v>
      </c>
    </row>
    <row r="303" spans="16:19" ht="15">
      <c r="P303" s="744" t="s">
        <v>1047</v>
      </c>
      <c r="Q303" s="745" t="s">
        <v>736</v>
      </c>
      <c r="R303" s="524" t="s">
        <v>736</v>
      </c>
      <c r="S303" s="521">
        <v>1</v>
      </c>
    </row>
    <row r="304" spans="16:19" ht="15">
      <c r="P304" s="744" t="s">
        <v>1053</v>
      </c>
      <c r="Q304" s="745" t="s">
        <v>736</v>
      </c>
      <c r="R304" s="524" t="s">
        <v>736</v>
      </c>
      <c r="S304" s="521">
        <v>1</v>
      </c>
    </row>
    <row r="305" spans="16:19" ht="15">
      <c r="P305" s="1388" t="s">
        <v>6038</v>
      </c>
      <c r="Q305" s="745"/>
      <c r="R305" s="524"/>
      <c r="S305" s="521">
        <v>1</v>
      </c>
    </row>
    <row r="306" spans="16:19" ht="15">
      <c r="P306" s="744" t="s">
        <v>1221</v>
      </c>
      <c r="Q306" s="745" t="s">
        <v>736</v>
      </c>
      <c r="R306" s="524" t="s">
        <v>736</v>
      </c>
      <c r="S306" s="521">
        <v>1</v>
      </c>
    </row>
    <row r="307" spans="16:19" ht="15">
      <c r="P307" s="744" t="s">
        <v>1820</v>
      </c>
      <c r="Q307" s="745"/>
      <c r="R307" s="524"/>
      <c r="S307" s="521">
        <v>1</v>
      </c>
    </row>
    <row r="308" spans="16:19" ht="15">
      <c r="P308" s="744" t="s">
        <v>1819</v>
      </c>
      <c r="Q308" s="745"/>
      <c r="R308" s="524"/>
      <c r="S308" s="521">
        <v>1</v>
      </c>
    </row>
    <row r="309" spans="16:19" ht="15">
      <c r="P309" s="744" t="s">
        <v>1032</v>
      </c>
      <c r="Q309" s="745" t="s">
        <v>736</v>
      </c>
      <c r="R309" s="524" t="s">
        <v>736</v>
      </c>
      <c r="S309" s="521">
        <v>1</v>
      </c>
    </row>
    <row r="310" spans="16:19" ht="15">
      <c r="P310" s="744" t="s">
        <v>1222</v>
      </c>
      <c r="Q310" s="745" t="s">
        <v>736</v>
      </c>
      <c r="R310" s="524" t="s">
        <v>736</v>
      </c>
      <c r="S310" s="521">
        <v>1</v>
      </c>
    </row>
    <row r="311" spans="16:19" ht="15">
      <c r="P311" s="1388" t="s">
        <v>6039</v>
      </c>
      <c r="Q311" s="750">
        <v>1</v>
      </c>
      <c r="R311" s="526"/>
      <c r="S311" s="525"/>
    </row>
    <row r="312" spans="16:19" ht="15">
      <c r="P312" s="744" t="s">
        <v>1223</v>
      </c>
      <c r="Q312" s="750">
        <v>1</v>
      </c>
      <c r="R312" s="526"/>
      <c r="S312" s="525"/>
    </row>
    <row r="313" spans="16:19">
      <c r="P313" s="746" t="s">
        <v>1224</v>
      </c>
      <c r="Q313" s="745" t="s">
        <v>736</v>
      </c>
      <c r="R313" s="524" t="s">
        <v>736</v>
      </c>
      <c r="S313" s="521">
        <v>1</v>
      </c>
    </row>
    <row r="314" spans="16:19" ht="15">
      <c r="P314" s="744" t="s">
        <v>1225</v>
      </c>
      <c r="Q314" s="745" t="s">
        <v>736</v>
      </c>
      <c r="R314" s="524" t="s">
        <v>736</v>
      </c>
      <c r="S314" s="521">
        <v>1</v>
      </c>
    </row>
    <row r="315" spans="16:19" ht="15">
      <c r="P315" s="744" t="s">
        <v>1226</v>
      </c>
      <c r="Q315" s="745" t="s">
        <v>736</v>
      </c>
      <c r="R315" s="524" t="s">
        <v>736</v>
      </c>
      <c r="S315" s="521">
        <v>1</v>
      </c>
    </row>
    <row r="316" spans="16:19" ht="15">
      <c r="P316" s="744" t="s">
        <v>1808</v>
      </c>
      <c r="Q316" s="745"/>
      <c r="R316" s="524"/>
      <c r="S316" s="521">
        <v>1</v>
      </c>
    </row>
    <row r="317" spans="16:19">
      <c r="P317" s="746" t="s">
        <v>1227</v>
      </c>
      <c r="Q317" s="745" t="s">
        <v>736</v>
      </c>
      <c r="R317" s="524" t="s">
        <v>736</v>
      </c>
      <c r="S317" s="521">
        <v>1</v>
      </c>
    </row>
    <row r="318" spans="16:19" ht="15">
      <c r="P318" s="744" t="s">
        <v>1228</v>
      </c>
      <c r="Q318" s="745" t="s">
        <v>736</v>
      </c>
      <c r="R318" s="524" t="s">
        <v>736</v>
      </c>
      <c r="S318" s="521">
        <v>1</v>
      </c>
    </row>
    <row r="319" spans="16:19" ht="15">
      <c r="P319" s="744" t="s">
        <v>1776</v>
      </c>
      <c r="Q319" s="745"/>
      <c r="R319" s="524"/>
      <c r="S319" s="521">
        <v>1</v>
      </c>
    </row>
    <row r="320" spans="16:19" ht="15">
      <c r="P320" s="744" t="s">
        <v>1229</v>
      </c>
      <c r="Q320" s="745" t="s">
        <v>736</v>
      </c>
      <c r="R320" s="524" t="s">
        <v>736</v>
      </c>
      <c r="S320" s="521">
        <v>1</v>
      </c>
    </row>
    <row r="321" spans="16:19" ht="15">
      <c r="P321" s="744" t="s">
        <v>1230</v>
      </c>
      <c r="Q321" s="750">
        <v>1</v>
      </c>
      <c r="R321" s="526"/>
      <c r="S321" s="525"/>
    </row>
    <row r="322" spans="16:19" ht="15">
      <c r="P322" s="1388" t="s">
        <v>6040</v>
      </c>
      <c r="Q322" s="745"/>
      <c r="R322" s="524"/>
      <c r="S322" s="521">
        <v>1</v>
      </c>
    </row>
    <row r="323" spans="16:19" ht="15">
      <c r="P323" s="744" t="s">
        <v>3199</v>
      </c>
      <c r="Q323" s="745">
        <v>1</v>
      </c>
      <c r="R323" s="524"/>
      <c r="S323" s="521"/>
    </row>
    <row r="324" spans="16:19">
      <c r="P324" s="749" t="s">
        <v>3215</v>
      </c>
      <c r="Q324" s="745"/>
      <c r="R324" s="524"/>
      <c r="S324" s="521">
        <v>1</v>
      </c>
    </row>
    <row r="325" spans="16:19" ht="15">
      <c r="P325" s="744" t="s">
        <v>1231</v>
      </c>
      <c r="Q325" s="745" t="s">
        <v>736</v>
      </c>
      <c r="R325" s="524" t="s">
        <v>736</v>
      </c>
      <c r="S325" s="521">
        <v>1</v>
      </c>
    </row>
    <row r="326" spans="16:19">
      <c r="P326" s="746" t="s">
        <v>2897</v>
      </c>
      <c r="Q326" s="750"/>
      <c r="R326" s="526"/>
      <c r="S326" s="525">
        <v>1</v>
      </c>
    </row>
    <row r="327" spans="16:19">
      <c r="P327" s="746" t="s">
        <v>1143</v>
      </c>
      <c r="Q327" s="745" t="s">
        <v>736</v>
      </c>
      <c r="R327" s="524" t="s">
        <v>736</v>
      </c>
      <c r="S327" s="521">
        <v>1</v>
      </c>
    </row>
    <row r="328" spans="16:19" ht="15">
      <c r="P328" s="744" t="s">
        <v>1232</v>
      </c>
      <c r="Q328" s="745" t="s">
        <v>736</v>
      </c>
      <c r="R328" s="524" t="s">
        <v>736</v>
      </c>
      <c r="S328" s="521">
        <v>1</v>
      </c>
    </row>
    <row r="329" spans="16:19">
      <c r="P329" s="746" t="s">
        <v>1233</v>
      </c>
      <c r="Q329" s="750">
        <v>1</v>
      </c>
      <c r="R329" s="526"/>
      <c r="S329" s="525"/>
    </row>
    <row r="330" spans="16:19">
      <c r="P330" s="749" t="s">
        <v>3216</v>
      </c>
      <c r="Q330" s="745"/>
      <c r="R330" s="524"/>
      <c r="S330" s="521">
        <v>1</v>
      </c>
    </row>
    <row r="331" spans="16:19">
      <c r="P331" s="749" t="s">
        <v>3217</v>
      </c>
      <c r="Q331" s="745"/>
      <c r="R331" s="524"/>
      <c r="S331" s="521">
        <v>1</v>
      </c>
    </row>
    <row r="332" spans="16:19" ht="15">
      <c r="P332" s="744" t="s">
        <v>1234</v>
      </c>
      <c r="Q332" s="745" t="s">
        <v>736</v>
      </c>
      <c r="R332" s="524" t="s">
        <v>736</v>
      </c>
      <c r="S332" s="521">
        <v>1</v>
      </c>
    </row>
    <row r="333" spans="16:19">
      <c r="P333" s="746" t="s">
        <v>2902</v>
      </c>
      <c r="Q333" s="745"/>
      <c r="R333" s="524"/>
      <c r="S333" s="521">
        <v>1</v>
      </c>
    </row>
    <row r="334" spans="16:19" ht="15">
      <c r="P334" s="1388" t="s">
        <v>6041</v>
      </c>
      <c r="Q334" s="750">
        <v>1</v>
      </c>
      <c r="R334" s="526"/>
      <c r="S334" s="525" t="s">
        <v>736</v>
      </c>
    </row>
    <row r="335" spans="16:19">
      <c r="P335" s="746" t="s">
        <v>1235</v>
      </c>
      <c r="Q335" s="745" t="s">
        <v>736</v>
      </c>
      <c r="R335" s="524" t="s">
        <v>736</v>
      </c>
      <c r="S335" s="521">
        <v>1</v>
      </c>
    </row>
    <row r="336" spans="16:19" ht="15">
      <c r="P336" s="744" t="s">
        <v>1236</v>
      </c>
      <c r="Q336" s="745" t="s">
        <v>736</v>
      </c>
      <c r="R336" s="524" t="s">
        <v>736</v>
      </c>
      <c r="S336" s="521">
        <v>1</v>
      </c>
    </row>
    <row r="337" spans="16:19">
      <c r="P337" s="749" t="s">
        <v>3218</v>
      </c>
      <c r="Q337" s="745" t="s">
        <v>736</v>
      </c>
      <c r="R337" s="524" t="s">
        <v>736</v>
      </c>
      <c r="S337" s="521">
        <v>1</v>
      </c>
    </row>
    <row r="338" spans="16:19">
      <c r="P338" s="749" t="s">
        <v>1777</v>
      </c>
      <c r="Q338" s="745"/>
      <c r="R338" s="524"/>
      <c r="S338" s="521">
        <v>1</v>
      </c>
    </row>
    <row r="339" spans="16:19" ht="15">
      <c r="P339" s="744" t="s">
        <v>1237</v>
      </c>
      <c r="Q339" s="745" t="s">
        <v>736</v>
      </c>
      <c r="R339" s="524" t="s">
        <v>736</v>
      </c>
      <c r="S339" s="521">
        <v>1</v>
      </c>
    </row>
    <row r="340" spans="16:19" ht="15">
      <c r="P340" s="744" t="s">
        <v>1238</v>
      </c>
      <c r="Q340" s="745" t="s">
        <v>736</v>
      </c>
      <c r="R340" s="524" t="s">
        <v>736</v>
      </c>
      <c r="S340" s="521">
        <v>1</v>
      </c>
    </row>
    <row r="341" spans="16:19" ht="15">
      <c r="P341" s="744" t="s">
        <v>1239</v>
      </c>
      <c r="Q341" s="745" t="s">
        <v>736</v>
      </c>
      <c r="R341" s="524" t="s">
        <v>736</v>
      </c>
      <c r="S341" s="521">
        <v>1</v>
      </c>
    </row>
    <row r="342" spans="16:19">
      <c r="P342" s="749" t="s">
        <v>3219</v>
      </c>
      <c r="Q342" s="745"/>
      <c r="R342" s="524"/>
      <c r="S342" s="521">
        <v>1</v>
      </c>
    </row>
    <row r="343" spans="16:19" ht="15">
      <c r="P343" s="744" t="s">
        <v>1240</v>
      </c>
      <c r="Q343" s="745" t="s">
        <v>736</v>
      </c>
      <c r="R343" s="524" t="s">
        <v>736</v>
      </c>
      <c r="S343" s="521">
        <v>1</v>
      </c>
    </row>
    <row r="344" spans="16:19" ht="15">
      <c r="P344" s="744" t="s">
        <v>1241</v>
      </c>
      <c r="Q344" s="745" t="s">
        <v>736</v>
      </c>
      <c r="R344" s="524" t="s">
        <v>736</v>
      </c>
      <c r="S344" s="521">
        <v>1</v>
      </c>
    </row>
    <row r="345" spans="16:19" ht="15">
      <c r="P345" s="744" t="s">
        <v>1242</v>
      </c>
      <c r="Q345" s="745" t="s">
        <v>736</v>
      </c>
      <c r="R345" s="524" t="s">
        <v>736</v>
      </c>
      <c r="S345" s="521">
        <v>1</v>
      </c>
    </row>
    <row r="346" spans="16:19">
      <c r="P346" s="749" t="s">
        <v>3220</v>
      </c>
      <c r="Q346" s="745" t="s">
        <v>736</v>
      </c>
      <c r="R346" s="524" t="s">
        <v>736</v>
      </c>
      <c r="S346" s="521">
        <v>1</v>
      </c>
    </row>
    <row r="347" spans="16:19">
      <c r="P347" s="749" t="s">
        <v>2899</v>
      </c>
      <c r="Q347" s="750">
        <v>1</v>
      </c>
      <c r="R347" s="526"/>
      <c r="S347" s="525" t="s">
        <v>736</v>
      </c>
    </row>
    <row r="348" spans="16:19" ht="15">
      <c r="P348" s="744" t="s">
        <v>1243</v>
      </c>
      <c r="Q348" s="750" t="s">
        <v>736</v>
      </c>
      <c r="R348" s="526">
        <v>1</v>
      </c>
      <c r="S348" s="525" t="s">
        <v>736</v>
      </c>
    </row>
    <row r="349" spans="16:19" ht="15">
      <c r="P349" s="744" t="s">
        <v>1244</v>
      </c>
      <c r="Q349" s="745" t="s">
        <v>736</v>
      </c>
      <c r="R349" s="524" t="s">
        <v>736</v>
      </c>
      <c r="S349" s="521">
        <v>1</v>
      </c>
    </row>
    <row r="350" spans="16:19" ht="15">
      <c r="P350" s="744" t="s">
        <v>1245</v>
      </c>
      <c r="Q350" s="745" t="s">
        <v>736</v>
      </c>
      <c r="R350" s="524" t="s">
        <v>736</v>
      </c>
      <c r="S350" s="521">
        <v>1</v>
      </c>
    </row>
    <row r="351" spans="16:19" ht="15">
      <c r="P351" s="744" t="s">
        <v>1246</v>
      </c>
      <c r="Q351" s="745" t="s">
        <v>736</v>
      </c>
      <c r="R351" s="524" t="s">
        <v>736</v>
      </c>
      <c r="S351" s="521">
        <v>1</v>
      </c>
    </row>
    <row r="352" spans="16:19" ht="15">
      <c r="P352" s="744" t="s">
        <v>1247</v>
      </c>
      <c r="Q352" s="750">
        <v>1</v>
      </c>
      <c r="R352" s="526" t="s">
        <v>736</v>
      </c>
      <c r="S352" s="525" t="s">
        <v>736</v>
      </c>
    </row>
    <row r="353" spans="16:19" ht="15">
      <c r="P353" s="744" t="s">
        <v>1248</v>
      </c>
      <c r="Q353" s="750">
        <v>1</v>
      </c>
      <c r="R353" s="526" t="s">
        <v>736</v>
      </c>
      <c r="S353" s="525" t="s">
        <v>736</v>
      </c>
    </row>
    <row r="354" spans="16:19" ht="15">
      <c r="P354" s="744" t="s">
        <v>1249</v>
      </c>
      <c r="Q354" s="745" t="s">
        <v>736</v>
      </c>
      <c r="R354" s="524" t="s">
        <v>736</v>
      </c>
      <c r="S354" s="521">
        <v>1</v>
      </c>
    </row>
    <row r="355" spans="16:19">
      <c r="P355" s="749" t="s">
        <v>3221</v>
      </c>
      <c r="Q355" s="745"/>
      <c r="R355" s="524"/>
      <c r="S355" s="521">
        <v>1</v>
      </c>
    </row>
    <row r="356" spans="16:19" ht="15">
      <c r="P356" s="744" t="s">
        <v>1250</v>
      </c>
      <c r="Q356" s="745" t="s">
        <v>736</v>
      </c>
      <c r="R356" s="524" t="s">
        <v>736</v>
      </c>
      <c r="S356" s="521">
        <v>1</v>
      </c>
    </row>
    <row r="357" spans="16:19" ht="15">
      <c r="P357" s="744" t="s">
        <v>1251</v>
      </c>
      <c r="Q357" s="745" t="s">
        <v>736</v>
      </c>
      <c r="R357" s="524" t="s">
        <v>736</v>
      </c>
      <c r="S357" s="521">
        <v>1</v>
      </c>
    </row>
    <row r="358" spans="16:19" ht="15">
      <c r="P358" s="752" t="s">
        <v>1822</v>
      </c>
      <c r="Q358" s="753"/>
      <c r="R358" s="531"/>
      <c r="S358" s="530">
        <v>1</v>
      </c>
    </row>
    <row r="359" spans="16:19" ht="15">
      <c r="P359" s="752" t="s">
        <v>1252</v>
      </c>
      <c r="Q359" s="753" t="s">
        <v>736</v>
      </c>
      <c r="R359" s="531" t="s">
        <v>736</v>
      </c>
      <c r="S359" s="530">
        <v>1</v>
      </c>
    </row>
    <row r="360" spans="16:19" ht="15.75" thickBot="1">
      <c r="P360" s="752" t="s">
        <v>1821</v>
      </c>
      <c r="Q360" s="753"/>
      <c r="R360" s="531"/>
      <c r="S360" s="530">
        <v>1</v>
      </c>
    </row>
    <row r="361" spans="16:19" ht="13.5" thickBot="1">
      <c r="P361" s="533" t="s">
        <v>3222</v>
      </c>
      <c r="Q361" s="754">
        <f>SUM(Q13:Q360)</f>
        <v>31</v>
      </c>
      <c r="R361" s="754">
        <f t="shared" ref="R361:S361" si="0">SUM(R13:R360)</f>
        <v>22</v>
      </c>
      <c r="S361" s="754">
        <f t="shared" si="0"/>
        <v>295</v>
      </c>
    </row>
    <row r="362" spans="16:19">
      <c r="P362" s="736"/>
      <c r="Q362" s="755"/>
      <c r="R362" s="755"/>
      <c r="S362" s="755"/>
    </row>
    <row r="363" spans="16:19" ht="15.75">
      <c r="P363" s="2016" t="s">
        <v>248</v>
      </c>
      <c r="Q363" s="2016"/>
      <c r="R363" s="2016"/>
      <c r="S363" s="755"/>
    </row>
    <row r="364" spans="16:19" ht="13.5" thickBot="1">
      <c r="P364" s="736"/>
      <c r="Q364" s="755"/>
      <c r="R364" s="755"/>
      <c r="S364" s="755"/>
    </row>
    <row r="365" spans="16:19" ht="39" thickBot="1">
      <c r="P365" s="534" t="s">
        <v>1253</v>
      </c>
      <c r="Q365" s="535" t="s">
        <v>246</v>
      </c>
      <c r="R365" s="536" t="s">
        <v>245</v>
      </c>
      <c r="S365" s="535" t="s">
        <v>1254</v>
      </c>
    </row>
    <row r="366" spans="16:19">
      <c r="P366" s="520" t="s">
        <v>1255</v>
      </c>
      <c r="Q366" s="522">
        <v>1</v>
      </c>
      <c r="R366" s="537"/>
      <c r="S366" s="522"/>
    </row>
    <row r="367" spans="16:19">
      <c r="P367" s="527" t="s">
        <v>1256</v>
      </c>
      <c r="Q367" s="521"/>
      <c r="R367" s="538"/>
      <c r="S367" s="521">
        <v>1</v>
      </c>
    </row>
    <row r="368" spans="16:19">
      <c r="P368" s="527" t="s">
        <v>1257</v>
      </c>
      <c r="Q368" s="521"/>
      <c r="R368" s="538"/>
      <c r="S368" s="521">
        <v>1</v>
      </c>
    </row>
    <row r="369" spans="16:19">
      <c r="P369" s="527" t="s">
        <v>1258</v>
      </c>
      <c r="Q369" s="521"/>
      <c r="R369" s="538"/>
      <c r="S369" s="521">
        <v>1</v>
      </c>
    </row>
    <row r="370" spans="16:19">
      <c r="P370" s="527" t="s">
        <v>1259</v>
      </c>
      <c r="Q370" s="521"/>
      <c r="R370" s="538"/>
      <c r="S370" s="521">
        <v>1</v>
      </c>
    </row>
    <row r="371" spans="16:19">
      <c r="P371" s="527" t="s">
        <v>1260</v>
      </c>
      <c r="Q371" s="521"/>
      <c r="R371" s="538">
        <v>1</v>
      </c>
      <c r="S371" s="521"/>
    </row>
    <row r="372" spans="16:19">
      <c r="P372" s="527" t="s">
        <v>1261</v>
      </c>
      <c r="Q372" s="521">
        <v>1</v>
      </c>
      <c r="R372" s="538"/>
      <c r="S372" s="521"/>
    </row>
    <row r="373" spans="16:19">
      <c r="P373" s="527" t="s">
        <v>1262</v>
      </c>
      <c r="Q373" s="521">
        <v>1</v>
      </c>
      <c r="R373" s="538"/>
      <c r="S373" s="521"/>
    </row>
    <row r="374" spans="16:19">
      <c r="P374" s="527" t="s">
        <v>1263</v>
      </c>
      <c r="Q374" s="521"/>
      <c r="R374" s="538">
        <v>1</v>
      </c>
      <c r="S374" s="521"/>
    </row>
    <row r="375" spans="16:19">
      <c r="P375" s="527" t="s">
        <v>1264</v>
      </c>
      <c r="Q375" s="521">
        <v>1</v>
      </c>
      <c r="R375" s="538"/>
      <c r="S375" s="521"/>
    </row>
    <row r="376" spans="16:19">
      <c r="P376" s="527" t="s">
        <v>1265</v>
      </c>
      <c r="Q376" s="521">
        <v>1</v>
      </c>
      <c r="R376" s="538"/>
      <c r="S376" s="521"/>
    </row>
    <row r="377" spans="16:19">
      <c r="P377" s="527" t="s">
        <v>1266</v>
      </c>
      <c r="Q377" s="521"/>
      <c r="R377" s="538"/>
      <c r="S377" s="521">
        <v>1</v>
      </c>
    </row>
    <row r="378" spans="16:19">
      <c r="P378" s="527" t="s">
        <v>1267</v>
      </c>
      <c r="Q378" s="521"/>
      <c r="R378" s="538">
        <v>1</v>
      </c>
      <c r="S378" s="521"/>
    </row>
    <row r="379" spans="16:19">
      <c r="P379" s="527" t="s">
        <v>1268</v>
      </c>
      <c r="Q379" s="521">
        <v>1</v>
      </c>
      <c r="R379" s="538"/>
      <c r="S379" s="521"/>
    </row>
    <row r="380" spans="16:19">
      <c r="P380" s="527" t="s">
        <v>1269</v>
      </c>
      <c r="Q380" s="521"/>
      <c r="R380" s="538"/>
      <c r="S380" s="521">
        <v>1</v>
      </c>
    </row>
    <row r="381" spans="16:19">
      <c r="P381" s="527" t="s">
        <v>1270</v>
      </c>
      <c r="Q381" s="528">
        <v>1</v>
      </c>
      <c r="R381" s="539"/>
      <c r="S381" s="528"/>
    </row>
    <row r="382" spans="16:19">
      <c r="P382" s="527" t="s">
        <v>1271</v>
      </c>
      <c r="Q382" s="521">
        <v>1</v>
      </c>
      <c r="R382" s="538"/>
      <c r="S382" s="521"/>
    </row>
    <row r="383" spans="16:19">
      <c r="P383" s="527" t="s">
        <v>1272</v>
      </c>
      <c r="Q383" s="521"/>
      <c r="R383" s="538">
        <v>1</v>
      </c>
      <c r="S383" s="521"/>
    </row>
    <row r="384" spans="16:19">
      <c r="P384" s="527" t="s">
        <v>1273</v>
      </c>
      <c r="Q384" s="521"/>
      <c r="R384" s="538"/>
      <c r="S384" s="521">
        <v>1</v>
      </c>
    </row>
    <row r="385" spans="16:19">
      <c r="P385" s="527" t="s">
        <v>1274</v>
      </c>
      <c r="Q385" s="521">
        <v>1</v>
      </c>
      <c r="R385" s="538"/>
      <c r="S385" s="521"/>
    </row>
    <row r="386" spans="16:19">
      <c r="P386" s="527" t="s">
        <v>1051</v>
      </c>
      <c r="Q386" s="521"/>
      <c r="R386" s="538"/>
      <c r="S386" s="521">
        <v>1</v>
      </c>
    </row>
    <row r="387" spans="16:19" ht="13.5" thickBot="1">
      <c r="P387" s="540" t="s">
        <v>1275</v>
      </c>
      <c r="Q387" s="541"/>
      <c r="R387" s="542">
        <v>1</v>
      </c>
      <c r="S387" s="541"/>
    </row>
    <row r="388" spans="16:19" ht="13.5" thickBot="1">
      <c r="P388" s="1389" t="s">
        <v>6042</v>
      </c>
      <c r="Q388" s="1390" t="s">
        <v>736</v>
      </c>
      <c r="R388" s="1391"/>
      <c r="S388" s="1390">
        <v>1</v>
      </c>
    </row>
    <row r="389" spans="16:19" ht="13.5" thickBot="1">
      <c r="P389" s="543" t="s">
        <v>3223</v>
      </c>
      <c r="Q389" s="533">
        <f>SUM(Q366:Q388)</f>
        <v>9</v>
      </c>
      <c r="R389" s="533">
        <f t="shared" ref="R389:S389" si="1">SUM(R366:R388)</f>
        <v>5</v>
      </c>
      <c r="S389" s="533">
        <f t="shared" si="1"/>
        <v>9</v>
      </c>
    </row>
    <row r="390" spans="16:19">
      <c r="P390" s="736"/>
      <c r="Q390" s="755"/>
      <c r="R390" s="755"/>
      <c r="S390" s="755"/>
    </row>
    <row r="391" spans="16:19" ht="15.75">
      <c r="P391" s="2016" t="s">
        <v>218</v>
      </c>
      <c r="Q391" s="2016"/>
      <c r="R391" s="2016"/>
      <c r="S391" s="756"/>
    </row>
    <row r="392" spans="16:19" ht="15.75" thickBot="1">
      <c r="P392" s="756"/>
      <c r="Q392" s="756"/>
      <c r="R392" s="756"/>
      <c r="S392" s="756"/>
    </row>
    <row r="393" spans="16:19" ht="51.75" thickBot="1">
      <c r="P393" s="534" t="s">
        <v>1253</v>
      </c>
      <c r="Q393" s="535" t="s">
        <v>244</v>
      </c>
      <c r="R393" s="535" t="s">
        <v>243</v>
      </c>
      <c r="S393" s="756"/>
    </row>
    <row r="394" spans="16:19" ht="15">
      <c r="P394" s="757" t="s">
        <v>1276</v>
      </c>
      <c r="Q394" s="758">
        <v>1</v>
      </c>
      <c r="R394" s="758"/>
      <c r="S394" s="756"/>
    </row>
    <row r="395" spans="16:19" ht="15">
      <c r="P395" s="759" t="s">
        <v>1277</v>
      </c>
      <c r="Q395" s="760">
        <v>1</v>
      </c>
      <c r="R395" s="760" t="s">
        <v>736</v>
      </c>
      <c r="S395" s="756"/>
    </row>
    <row r="396" spans="16:19" ht="15">
      <c r="P396" s="759" t="s">
        <v>1278</v>
      </c>
      <c r="Q396" s="761"/>
      <c r="R396" s="761">
        <v>1</v>
      </c>
      <c r="S396" s="756"/>
    </row>
    <row r="397" spans="16:19" ht="15">
      <c r="P397" s="759" t="s">
        <v>1279</v>
      </c>
      <c r="Q397" s="761"/>
      <c r="R397" s="761">
        <v>1</v>
      </c>
      <c r="S397" s="756"/>
    </row>
    <row r="398" spans="16:19" ht="15">
      <c r="P398" s="759" t="s">
        <v>1280</v>
      </c>
      <c r="Q398" s="761">
        <v>1</v>
      </c>
      <c r="R398" s="761"/>
      <c r="S398" s="756"/>
    </row>
    <row r="399" spans="16:19" ht="15">
      <c r="P399" s="759" t="s">
        <v>1281</v>
      </c>
      <c r="Q399" s="761"/>
      <c r="R399" s="761">
        <v>1</v>
      </c>
      <c r="S399" s="756"/>
    </row>
    <row r="400" spans="16:19" ht="15">
      <c r="P400" s="759" t="s">
        <v>1282</v>
      </c>
      <c r="Q400" s="761"/>
      <c r="R400" s="761">
        <v>1</v>
      </c>
      <c r="S400" s="756"/>
    </row>
    <row r="401" spans="16:19" ht="15">
      <c r="P401" s="759" t="s">
        <v>1798</v>
      </c>
      <c r="Q401" s="761"/>
      <c r="R401" s="761">
        <v>1</v>
      </c>
      <c r="S401" s="756"/>
    </row>
    <row r="402" spans="16:19" ht="15">
      <c r="P402" s="759" t="s">
        <v>1283</v>
      </c>
      <c r="Q402" s="761"/>
      <c r="R402" s="761">
        <v>1</v>
      </c>
      <c r="S402" s="756"/>
    </row>
    <row r="403" spans="16:19" ht="15">
      <c r="P403" s="759" t="s">
        <v>1284</v>
      </c>
      <c r="Q403" s="761"/>
      <c r="R403" s="761">
        <v>1</v>
      </c>
      <c r="S403" s="756"/>
    </row>
    <row r="404" spans="16:19" ht="15">
      <c r="P404" s="560" t="s">
        <v>3224</v>
      </c>
      <c r="Q404" s="761"/>
      <c r="R404" s="761">
        <v>1</v>
      </c>
      <c r="S404" s="756"/>
    </row>
    <row r="405" spans="16:19" ht="15">
      <c r="P405" s="759" t="s">
        <v>1285</v>
      </c>
      <c r="Q405" s="761"/>
      <c r="R405" s="761">
        <v>1</v>
      </c>
      <c r="S405" s="756"/>
    </row>
    <row r="406" spans="16:19" ht="15.75" thickBot="1">
      <c r="P406" s="762" t="s">
        <v>1082</v>
      </c>
      <c r="Q406" s="763"/>
      <c r="R406" s="763">
        <v>1</v>
      </c>
      <c r="S406" s="756"/>
    </row>
    <row r="407" spans="16:19" ht="15.75" thickBot="1">
      <c r="P407" s="532" t="s">
        <v>3225</v>
      </c>
      <c r="Q407" s="533">
        <f>SUM(Q394:Q406)</f>
        <v>3</v>
      </c>
      <c r="R407" s="533">
        <f>SUM(R394:R406)</f>
        <v>10</v>
      </c>
      <c r="S407" s="756"/>
    </row>
    <row r="408" spans="16:19" ht="15">
      <c r="P408" s="756"/>
      <c r="Q408" s="756"/>
      <c r="R408" s="756"/>
      <c r="S408" s="756"/>
    </row>
    <row r="409" spans="16:19" ht="15">
      <c r="P409" s="756"/>
      <c r="Q409" s="756"/>
      <c r="R409" s="756"/>
      <c r="S409" s="756"/>
    </row>
    <row r="410" spans="16:19" ht="15.75">
      <c r="P410" s="2016" t="s">
        <v>249</v>
      </c>
      <c r="Q410" s="2016"/>
      <c r="R410" s="2016"/>
      <c r="S410" s="2016"/>
    </row>
    <row r="411" spans="16:19" ht="15.75" thickBot="1">
      <c r="P411" s="756"/>
      <c r="Q411" s="756"/>
      <c r="R411" s="756"/>
      <c r="S411" s="756"/>
    </row>
    <row r="412" spans="16:19" ht="39" thickBot="1">
      <c r="P412" s="535" t="s">
        <v>1253</v>
      </c>
      <c r="Q412" s="535" t="s">
        <v>246</v>
      </c>
      <c r="R412" s="536" t="s">
        <v>245</v>
      </c>
      <c r="S412" s="535" t="s">
        <v>1254</v>
      </c>
    </row>
    <row r="413" spans="16:19" ht="15">
      <c r="P413" s="757" t="s">
        <v>1275</v>
      </c>
      <c r="Q413" s="522"/>
      <c r="R413" s="537">
        <v>1</v>
      </c>
      <c r="S413" s="522"/>
    </row>
    <row r="414" spans="16:19" ht="15">
      <c r="P414" s="759" t="s">
        <v>1286</v>
      </c>
      <c r="Q414" s="521">
        <v>1</v>
      </c>
      <c r="R414" s="538"/>
      <c r="S414" s="521" t="s">
        <v>736</v>
      </c>
    </row>
    <row r="415" spans="16:19" ht="15">
      <c r="P415" s="759" t="s">
        <v>1280</v>
      </c>
      <c r="Q415" s="521"/>
      <c r="R415" s="538">
        <v>1</v>
      </c>
      <c r="S415" s="521"/>
    </row>
    <row r="416" spans="16:19" ht="15">
      <c r="P416" s="759" t="s">
        <v>1287</v>
      </c>
      <c r="Q416" s="521"/>
      <c r="R416" s="538"/>
      <c r="S416" s="521">
        <v>1</v>
      </c>
    </row>
    <row r="417" spans="16:19" ht="15">
      <c r="P417" s="759" t="s">
        <v>1316</v>
      </c>
      <c r="Q417" s="521"/>
      <c r="R417" s="538"/>
      <c r="S417" s="521">
        <v>1</v>
      </c>
    </row>
    <row r="418" spans="16:19" ht="15">
      <c r="P418" s="759" t="s">
        <v>1288</v>
      </c>
      <c r="Q418" s="521">
        <v>1</v>
      </c>
      <c r="R418" s="538"/>
      <c r="S418" s="521"/>
    </row>
    <row r="419" spans="16:19" ht="15">
      <c r="P419" s="759" t="s">
        <v>1289</v>
      </c>
      <c r="Q419" s="521"/>
      <c r="R419" s="538"/>
      <c r="S419" s="521">
        <v>1</v>
      </c>
    </row>
    <row r="420" spans="16:19" ht="15.75" thickBot="1">
      <c r="P420" s="1392" t="s">
        <v>6043</v>
      </c>
      <c r="Q420" s="541"/>
      <c r="R420" s="542"/>
      <c r="S420" s="541">
        <v>1</v>
      </c>
    </row>
    <row r="421" spans="16:19" ht="13.5" thickBot="1">
      <c r="P421" s="544" t="s">
        <v>3223</v>
      </c>
      <c r="Q421" s="533">
        <f>SUM(Q413:Q420)</f>
        <v>2</v>
      </c>
      <c r="R421" s="533">
        <f t="shared" ref="R421:S421" si="2">SUM(R413:R420)</f>
        <v>2</v>
      </c>
      <c r="S421" s="533">
        <f t="shared" si="2"/>
        <v>4</v>
      </c>
    </row>
    <row r="422" spans="16:19" ht="15">
      <c r="P422" s="756"/>
      <c r="Q422" s="756"/>
      <c r="R422" s="756"/>
      <c r="S422" s="756"/>
    </row>
    <row r="423" spans="16:19" ht="15">
      <c r="P423" s="756"/>
      <c r="Q423" s="756"/>
      <c r="R423" s="756"/>
      <c r="S423" s="756"/>
    </row>
    <row r="424" spans="16:19" ht="15.75">
      <c r="P424" s="2017" t="s">
        <v>95</v>
      </c>
      <c r="Q424" s="2017"/>
      <c r="R424" s="756"/>
      <c r="S424" s="756"/>
    </row>
    <row r="425" spans="16:19" ht="15.75" thickBot="1">
      <c r="P425" s="756"/>
      <c r="Q425" s="756"/>
      <c r="R425" s="756"/>
    </row>
    <row r="426" spans="16:19" ht="45.75" thickBot="1">
      <c r="P426" s="545" t="s">
        <v>1253</v>
      </c>
      <c r="Q426" s="1393" t="s">
        <v>244</v>
      </c>
      <c r="R426" s="756"/>
    </row>
    <row r="427" spans="16:19" ht="15">
      <c r="P427" s="757" t="s">
        <v>1290</v>
      </c>
      <c r="Q427" s="758">
        <v>1</v>
      </c>
      <c r="R427" s="756"/>
    </row>
    <row r="428" spans="16:19" ht="15">
      <c r="P428" s="759" t="s">
        <v>1038</v>
      </c>
      <c r="Q428" s="761">
        <v>1</v>
      </c>
      <c r="R428" s="756"/>
    </row>
    <row r="429" spans="16:19" ht="15">
      <c r="P429" s="759" t="s">
        <v>1291</v>
      </c>
      <c r="Q429" s="761">
        <v>1</v>
      </c>
      <c r="R429" s="756"/>
    </row>
    <row r="430" spans="16:19" ht="15">
      <c r="P430" s="1394" t="s">
        <v>6044</v>
      </c>
      <c r="Q430" s="761">
        <v>1</v>
      </c>
      <c r="R430" s="756"/>
    </row>
    <row r="431" spans="16:19" ht="15">
      <c r="P431" s="759" t="s">
        <v>1292</v>
      </c>
      <c r="Q431" s="761">
        <v>1</v>
      </c>
      <c r="R431" s="756"/>
    </row>
    <row r="432" spans="16:19" ht="15">
      <c r="P432" s="1394" t="s">
        <v>1119</v>
      </c>
      <c r="Q432" s="761">
        <v>1</v>
      </c>
      <c r="R432" s="756"/>
    </row>
    <row r="433" spans="16:19" ht="15">
      <c r="P433" s="759" t="s">
        <v>1293</v>
      </c>
      <c r="Q433" s="761">
        <v>1</v>
      </c>
      <c r="R433" s="756"/>
    </row>
    <row r="434" spans="16:19" ht="15">
      <c r="P434" s="1394" t="s">
        <v>6045</v>
      </c>
      <c r="Q434" s="761">
        <v>1</v>
      </c>
      <c r="R434" s="756"/>
    </row>
    <row r="435" spans="16:19" ht="15">
      <c r="P435" s="759" t="s">
        <v>1294</v>
      </c>
      <c r="Q435" s="761">
        <v>1</v>
      </c>
      <c r="R435" s="756"/>
    </row>
    <row r="436" spans="16:19" ht="15">
      <c r="P436" s="759" t="s">
        <v>1295</v>
      </c>
      <c r="Q436" s="761">
        <v>1</v>
      </c>
      <c r="R436" s="756"/>
    </row>
    <row r="437" spans="16:19" ht="15">
      <c r="P437" s="759" t="s">
        <v>1296</v>
      </c>
      <c r="Q437" s="761">
        <v>1</v>
      </c>
      <c r="R437" s="756"/>
    </row>
    <row r="438" spans="16:19" ht="15">
      <c r="P438" s="1395" t="s">
        <v>6046</v>
      </c>
      <c r="Q438" s="765">
        <v>1</v>
      </c>
      <c r="R438" s="756"/>
    </row>
    <row r="439" spans="16:19" ht="15">
      <c r="P439" s="764" t="s">
        <v>1297</v>
      </c>
      <c r="Q439" s="765">
        <v>1</v>
      </c>
      <c r="R439" s="756"/>
    </row>
    <row r="440" spans="16:19" ht="15.75" thickBot="1">
      <c r="P440" s="762" t="s">
        <v>1298</v>
      </c>
      <c r="Q440" s="763">
        <v>1</v>
      </c>
      <c r="R440" s="756"/>
    </row>
    <row r="441" spans="16:19" ht="15.75" thickBot="1">
      <c r="P441" s="546" t="s">
        <v>3223</v>
      </c>
      <c r="Q441" s="546">
        <f>SUM(Q427:Q440)</f>
        <v>14</v>
      </c>
      <c r="R441" s="756"/>
    </row>
    <row r="442" spans="16:19" ht="15">
      <c r="P442" s="756"/>
      <c r="Q442" s="756"/>
      <c r="R442" s="756"/>
    </row>
    <row r="443" spans="16:19" ht="15">
      <c r="P443" s="756"/>
      <c r="Q443" s="756"/>
      <c r="R443" s="756"/>
    </row>
    <row r="444" spans="16:19" ht="15">
      <c r="P444" s="737"/>
      <c r="Q444" s="756"/>
      <c r="R444" s="756"/>
      <c r="S444" s="756"/>
    </row>
    <row r="445" spans="16:19" ht="15">
      <c r="P445" s="547" t="s">
        <v>1299</v>
      </c>
      <c r="Q445" s="548">
        <f>+R361+S361+Q407+R407+Q441</f>
        <v>344</v>
      </c>
      <c r="R445" s="756"/>
      <c r="S445" s="756"/>
    </row>
    <row r="446" spans="16:19" ht="15">
      <c r="P446" s="547" t="s">
        <v>1300</v>
      </c>
      <c r="Q446" s="548">
        <f>+R361+S361+R389+S389+Q407+R407+R421+S421+Q441</f>
        <v>364</v>
      </c>
      <c r="R446" s="756"/>
      <c r="S446" s="756"/>
    </row>
    <row r="447" spans="16:19" ht="15">
      <c r="P447" s="547" t="s">
        <v>246</v>
      </c>
      <c r="Q447" s="548">
        <f>+Q361+S361+Q389+S389+R407+Q421+S421</f>
        <v>360</v>
      </c>
      <c r="R447" s="756"/>
      <c r="S447" s="756"/>
    </row>
    <row r="448" spans="16:19" ht="15">
      <c r="P448" s="547" t="s">
        <v>1301</v>
      </c>
      <c r="Q448" s="548">
        <f>+Q361+R361+S361+Q389+R389+S389+Q407+R407+Q421+R421+S421+Q441</f>
        <v>406</v>
      </c>
      <c r="R448" s="756"/>
      <c r="S448" s="756"/>
    </row>
    <row r="449" spans="16:19" ht="15">
      <c r="P449" s="737"/>
      <c r="Q449" s="737"/>
      <c r="R449" s="756"/>
      <c r="S449" s="756"/>
    </row>
  </sheetData>
  <mergeCells count="100">
    <mergeCell ref="P10:S10"/>
    <mergeCell ref="P363:R363"/>
    <mergeCell ref="P391:R391"/>
    <mergeCell ref="P410:S410"/>
    <mergeCell ref="P424:Q424"/>
    <mergeCell ref="P8:S8"/>
    <mergeCell ref="K14:N14"/>
    <mergeCell ref="A17:H17"/>
    <mergeCell ref="F18:F19"/>
    <mergeCell ref="G18:G19"/>
    <mergeCell ref="H18:H19"/>
    <mergeCell ref="G11:G12"/>
    <mergeCell ref="H11:H12"/>
    <mergeCell ref="E13:E16"/>
    <mergeCell ref="F13:F16"/>
    <mergeCell ref="G13:G16"/>
    <mergeCell ref="H13:H16"/>
    <mergeCell ref="E11:E12"/>
    <mergeCell ref="A11:A16"/>
    <mergeCell ref="B11:B16"/>
    <mergeCell ref="C11:C16"/>
    <mergeCell ref="A25:A30"/>
    <mergeCell ref="B25:B30"/>
    <mergeCell ref="C25:C30"/>
    <mergeCell ref="D25:D30"/>
    <mergeCell ref="E25:E26"/>
    <mergeCell ref="G25:G26"/>
    <mergeCell ref="H25:H26"/>
    <mergeCell ref="E27:E30"/>
    <mergeCell ref="F27:F30"/>
    <mergeCell ref="G27:G30"/>
    <mergeCell ref="H27:H30"/>
    <mergeCell ref="F25:F26"/>
    <mergeCell ref="G20:G23"/>
    <mergeCell ref="H20:H23"/>
    <mergeCell ref="B18:B23"/>
    <mergeCell ref="C18:C23"/>
    <mergeCell ref="D18:D23"/>
    <mergeCell ref="E18:E19"/>
    <mergeCell ref="A3:H3"/>
    <mergeCell ref="A4:H4"/>
    <mergeCell ref="A5:H5"/>
    <mergeCell ref="A10:H10"/>
    <mergeCell ref="A6:H6"/>
    <mergeCell ref="D11:D16"/>
    <mergeCell ref="F11:F12"/>
    <mergeCell ref="E8:F8"/>
    <mergeCell ref="A56:A57"/>
    <mergeCell ref="B56:B57"/>
    <mergeCell ref="C56:C57"/>
    <mergeCell ref="D56:D57"/>
    <mergeCell ref="A24:H24"/>
    <mergeCell ref="G48:G51"/>
    <mergeCell ref="H48:H51"/>
    <mergeCell ref="A38:H38"/>
    <mergeCell ref="A39:A44"/>
    <mergeCell ref="B39:B44"/>
    <mergeCell ref="C39:C44"/>
    <mergeCell ref="D39:D44"/>
    <mergeCell ref="E39:E40"/>
    <mergeCell ref="F39:F40"/>
    <mergeCell ref="G39:G40"/>
    <mergeCell ref="H39:H40"/>
    <mergeCell ref="E41:E44"/>
    <mergeCell ref="F41:F44"/>
    <mergeCell ref="G41:G44"/>
    <mergeCell ref="H41:H44"/>
    <mergeCell ref="A45:H45"/>
    <mergeCell ref="A46:A51"/>
    <mergeCell ref="B46:B51"/>
    <mergeCell ref="C46:C51"/>
    <mergeCell ref="E48:E51"/>
    <mergeCell ref="F48:F51"/>
    <mergeCell ref="A55:H55"/>
    <mergeCell ref="D46:D51"/>
    <mergeCell ref="E46:E47"/>
    <mergeCell ref="F46:F47"/>
    <mergeCell ref="G46:G47"/>
    <mergeCell ref="H46:H47"/>
    <mergeCell ref="A52:H52"/>
    <mergeCell ref="A53:A54"/>
    <mergeCell ref="B53:B54"/>
    <mergeCell ref="C53:C54"/>
    <mergeCell ref="D53:D54"/>
    <mergeCell ref="A18:A23"/>
    <mergeCell ref="E20:E23"/>
    <mergeCell ref="A31:H31"/>
    <mergeCell ref="A32:A37"/>
    <mergeCell ref="B32:B37"/>
    <mergeCell ref="C32:C37"/>
    <mergeCell ref="D32:D37"/>
    <mergeCell ref="E32:E33"/>
    <mergeCell ref="F32:F33"/>
    <mergeCell ref="G32:G33"/>
    <mergeCell ref="H32:H33"/>
    <mergeCell ref="E34:E37"/>
    <mergeCell ref="F34:F37"/>
    <mergeCell ref="G34:G37"/>
    <mergeCell ref="H34:H37"/>
    <mergeCell ref="F20:F23"/>
  </mergeCells>
  <pageMargins left="0.70866141732283472" right="0.70866141732283472" top="0.59055118110236227" bottom="0.98425196850393704" header="0.31496062992125984" footer="0.31496062992125984"/>
  <pageSetup scale="71" fitToHeight="2" orientation="landscape" r:id="rId1"/>
  <drawing r:id="rId2"/>
  <legacyDrawing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3">
    <pageSetUpPr fitToPage="1"/>
  </sheetPr>
  <dimension ref="A1:I85"/>
  <sheetViews>
    <sheetView zoomScale="75" zoomScaleNormal="75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E14" sqref="E14:E16"/>
    </sheetView>
  </sheetViews>
  <sheetFormatPr baseColWidth="10" defaultRowHeight="14.25"/>
  <cols>
    <col min="1" max="1" width="43.85546875" style="690" customWidth="1"/>
    <col min="2" max="2" width="3.7109375" style="690" customWidth="1"/>
    <col min="3" max="3" width="25" style="696" customWidth="1"/>
    <col min="4" max="4" width="2.7109375" style="690" customWidth="1"/>
    <col min="5" max="5" width="25" style="696" customWidth="1"/>
    <col min="6" max="6" width="16.5703125" style="690" customWidth="1"/>
    <col min="7" max="7" width="20.5703125" style="690" bestFit="1" customWidth="1"/>
    <col min="8" max="16384" width="11.42578125" style="690"/>
  </cols>
  <sheetData>
    <row r="1" spans="1:7" s="686" customFormat="1" ht="18">
      <c r="A1" s="2019" t="s">
        <v>2907</v>
      </c>
      <c r="B1" s="2019"/>
      <c r="C1" s="2019"/>
      <c r="D1" s="2019"/>
      <c r="E1" s="2019"/>
      <c r="F1" s="2019"/>
      <c r="G1" s="2019"/>
    </row>
    <row r="2" spans="1:7" s="686" customFormat="1" ht="18">
      <c r="A2" s="2019" t="s">
        <v>2908</v>
      </c>
      <c r="B2" s="2019"/>
      <c r="C2" s="2019"/>
      <c r="D2" s="2019"/>
      <c r="E2" s="2019"/>
      <c r="F2" s="2019"/>
      <c r="G2" s="2019"/>
    </row>
    <row r="3" spans="1:7" s="686" customFormat="1" ht="15" customHeight="1">
      <c r="A3" s="2019"/>
      <c r="B3" s="2019"/>
      <c r="C3" s="2019"/>
      <c r="D3" s="2019"/>
      <c r="E3" s="2019"/>
      <c r="F3" s="2019"/>
      <c r="G3" s="2019"/>
    </row>
    <row r="4" spans="1:7" s="686" customFormat="1" ht="18">
      <c r="A4" s="2019" t="s">
        <v>2992</v>
      </c>
      <c r="B4" s="2019"/>
      <c r="C4" s="2019"/>
      <c r="D4" s="2019"/>
      <c r="E4" s="2019"/>
      <c r="F4" s="2019"/>
      <c r="G4" s="2019"/>
    </row>
    <row r="5" spans="1:7" s="686" customFormat="1" ht="10.5" customHeight="1">
      <c r="A5" s="2019"/>
      <c r="B5" s="2019"/>
      <c r="C5" s="2019"/>
      <c r="D5" s="2019"/>
      <c r="E5" s="2019"/>
      <c r="F5" s="2019"/>
      <c r="G5" s="2019"/>
    </row>
    <row r="6" spans="1:7" ht="15">
      <c r="A6" s="687"/>
      <c r="B6" s="688"/>
      <c r="C6" s="689"/>
      <c r="D6" s="688"/>
      <c r="E6" s="689"/>
      <c r="F6" s="688"/>
      <c r="G6" s="688"/>
    </row>
    <row r="7" spans="1:7" ht="18">
      <c r="A7" s="2020" t="s">
        <v>2909</v>
      </c>
      <c r="B7" s="2020"/>
      <c r="C7" s="2020"/>
      <c r="D7" s="2020"/>
      <c r="E7" s="2020"/>
      <c r="F7" s="2020"/>
      <c r="G7" s="2020"/>
    </row>
    <row r="8" spans="1:7" ht="18">
      <c r="A8" s="2018" t="s">
        <v>6953</v>
      </c>
      <c r="B8" s="2018"/>
      <c r="C8" s="2018"/>
      <c r="D8" s="2018"/>
      <c r="E8" s="2018"/>
      <c r="F8" s="2018"/>
      <c r="G8" s="2018"/>
    </row>
    <row r="10" spans="1:7" ht="15">
      <c r="A10" s="691"/>
      <c r="C10" s="692" t="s">
        <v>2910</v>
      </c>
      <c r="D10" s="693"/>
      <c r="E10" s="692" t="s">
        <v>2911</v>
      </c>
      <c r="F10" s="693" t="s">
        <v>2912</v>
      </c>
      <c r="G10" s="693" t="s">
        <v>2913</v>
      </c>
    </row>
    <row r="11" spans="1:7" ht="31.5" customHeight="1">
      <c r="A11" s="694" t="s">
        <v>81</v>
      </c>
      <c r="B11" s="695"/>
      <c r="C11" s="695"/>
      <c r="D11" s="695"/>
      <c r="E11" s="695"/>
      <c r="F11" s="695"/>
      <c r="G11" s="695"/>
    </row>
    <row r="12" spans="1:7">
      <c r="D12" s="697"/>
      <c r="F12" s="697"/>
      <c r="G12" s="697"/>
    </row>
    <row r="13" spans="1:7" ht="16.5" customHeight="1">
      <c r="A13" s="698" t="s">
        <v>68</v>
      </c>
      <c r="D13" s="697"/>
      <c r="F13" s="697"/>
      <c r="G13" s="697"/>
    </row>
    <row r="14" spans="1:7" s="700" customFormat="1" ht="16.5" customHeight="1">
      <c r="A14" s="699" t="s">
        <v>2914</v>
      </c>
      <c r="C14" s="701">
        <v>11000</v>
      </c>
      <c r="D14" s="702"/>
      <c r="E14" s="701">
        <f>+BALANCE!B12</f>
        <v>11000</v>
      </c>
      <c r="F14" s="702"/>
      <c r="G14" s="702"/>
    </row>
    <row r="15" spans="1:7" s="700" customFormat="1" ht="16.5" customHeight="1">
      <c r="A15" s="699" t="s">
        <v>83</v>
      </c>
      <c r="C15" s="701">
        <v>27566078.359999999</v>
      </c>
      <c r="D15" s="702"/>
      <c r="E15" s="701">
        <f>+BALANCE!B13</f>
        <v>12780838.359999999</v>
      </c>
      <c r="F15" s="702"/>
      <c r="G15" s="702"/>
    </row>
    <row r="16" spans="1:7" s="700" customFormat="1" ht="16.5" customHeight="1">
      <c r="A16" s="699" t="s">
        <v>2915</v>
      </c>
      <c r="C16" s="701">
        <v>164855843.05000001</v>
      </c>
      <c r="D16" s="702"/>
      <c r="E16" s="701">
        <f>+BALANCE!B14</f>
        <v>171876012.13</v>
      </c>
      <c r="F16" s="702"/>
      <c r="G16" s="702"/>
    </row>
    <row r="17" spans="1:7" ht="16.5" customHeight="1">
      <c r="A17" s="690" t="s">
        <v>2916</v>
      </c>
      <c r="D17" s="697"/>
      <c r="F17" s="697" t="str">
        <f>IF(C17&gt;E17,C17-E17,"")</f>
        <v/>
      </c>
      <c r="G17" s="697" t="str">
        <f>IF(E17&gt;C17,E17-C17,"")</f>
        <v/>
      </c>
    </row>
    <row r="18" spans="1:7" ht="16.5" customHeight="1">
      <c r="A18" s="699" t="s">
        <v>2917</v>
      </c>
      <c r="C18" s="696">
        <v>7045274.3300000001</v>
      </c>
      <c r="D18" s="697"/>
      <c r="E18" s="696">
        <f>+BALANCE!B16+BALANCE!B18</f>
        <v>24997.27</v>
      </c>
      <c r="F18" s="697">
        <f t="shared" ref="F18:F23" si="0">IF(C18&gt;E18,C18-E18,"")</f>
        <v>7020277.0600000005</v>
      </c>
      <c r="G18" s="697" t="str">
        <f>IF(E18&gt;C18,E18-C18,"")</f>
        <v/>
      </c>
    </row>
    <row r="19" spans="1:7" ht="16.5" customHeight="1">
      <c r="A19" s="699" t="s">
        <v>2918</v>
      </c>
      <c r="C19" s="696">
        <v>15440775.220000001</v>
      </c>
      <c r="D19" s="697"/>
      <c r="E19" s="696">
        <f>+BALANCE!B15</f>
        <v>9771171.2899999991</v>
      </c>
      <c r="F19" s="697">
        <f t="shared" si="0"/>
        <v>5669603.9300000016</v>
      </c>
      <c r="G19" s="697" t="str">
        <f t="shared" ref="G19:G23" si="1">IF(E19&gt;C19,E19-C19,"")</f>
        <v/>
      </c>
    </row>
    <row r="20" spans="1:7" ht="16.5" customHeight="1">
      <c r="A20" s="699" t="s">
        <v>2919</v>
      </c>
      <c r="C20" s="696">
        <v>292951.38</v>
      </c>
      <c r="D20" s="697"/>
      <c r="E20" s="696">
        <f>+BALANCE!B19+BALANCE!B20+BALANCE!B21</f>
        <v>785385.31</v>
      </c>
      <c r="F20" s="697" t="str">
        <f t="shared" si="0"/>
        <v/>
      </c>
      <c r="G20" s="697">
        <f t="shared" si="1"/>
        <v>492433.93000000005</v>
      </c>
    </row>
    <row r="21" spans="1:7" ht="16.5" customHeight="1">
      <c r="A21" s="699" t="s">
        <v>2920</v>
      </c>
      <c r="C21" s="696">
        <v>7518457.3099999996</v>
      </c>
      <c r="D21" s="697"/>
      <c r="E21" s="696">
        <f>+BALANCE!B17</f>
        <v>8551162.3599999994</v>
      </c>
      <c r="F21" s="697" t="str">
        <f t="shared" si="0"/>
        <v/>
      </c>
      <c r="G21" s="697">
        <f t="shared" si="1"/>
        <v>1032705.0499999998</v>
      </c>
    </row>
    <row r="22" spans="1:7" ht="16.5" customHeight="1">
      <c r="A22" s="699" t="s">
        <v>2921</v>
      </c>
      <c r="C22" s="696">
        <v>0</v>
      </c>
      <c r="D22" s="697"/>
      <c r="E22" s="696">
        <v>0</v>
      </c>
      <c r="F22" s="697" t="str">
        <f t="shared" si="0"/>
        <v/>
      </c>
      <c r="G22" s="697" t="str">
        <f t="shared" si="1"/>
        <v/>
      </c>
    </row>
    <row r="23" spans="1:7" ht="16.5" customHeight="1">
      <c r="A23" s="699" t="s">
        <v>191</v>
      </c>
      <c r="C23" s="696">
        <v>163103.14000000001</v>
      </c>
      <c r="D23" s="697"/>
      <c r="E23" s="696">
        <f>+BALANCE!B22</f>
        <v>163103.14000000001</v>
      </c>
      <c r="F23" s="697" t="str">
        <f t="shared" si="0"/>
        <v/>
      </c>
      <c r="G23" s="697" t="str">
        <f t="shared" si="1"/>
        <v/>
      </c>
    </row>
    <row r="24" spans="1:7" ht="16.5" customHeight="1">
      <c r="A24" s="699"/>
      <c r="C24" s="703"/>
      <c r="D24" s="697"/>
      <c r="E24" s="703"/>
      <c r="F24" s="697"/>
      <c r="G24" s="697"/>
    </row>
    <row r="25" spans="1:7" ht="16.5" customHeight="1">
      <c r="A25" s="693" t="s">
        <v>66</v>
      </c>
      <c r="B25" s="698"/>
      <c r="C25" s="704">
        <f>SUM(C14:C23)</f>
        <v>222893482.79000002</v>
      </c>
      <c r="D25" s="705"/>
      <c r="E25" s="704">
        <f>SUM(E14:E23)</f>
        <v>203963669.86000001</v>
      </c>
      <c r="F25" s="697"/>
      <c r="G25" s="697"/>
    </row>
    <row r="26" spans="1:7" ht="16.5" customHeight="1">
      <c r="D26" s="697"/>
      <c r="F26" s="697"/>
      <c r="G26" s="697"/>
    </row>
    <row r="27" spans="1:7" ht="16.5" customHeight="1">
      <c r="A27" s="698" t="s">
        <v>2922</v>
      </c>
      <c r="D27" s="697"/>
      <c r="F27" s="697"/>
      <c r="G27" s="697"/>
    </row>
    <row r="28" spans="1:7" ht="16.5" customHeight="1">
      <c r="A28" s="690" t="s">
        <v>2923</v>
      </c>
      <c r="C28" s="696">
        <v>1758830</v>
      </c>
      <c r="D28" s="697"/>
      <c r="E28" s="696">
        <f>+BALANCE!B28</f>
        <v>1758830</v>
      </c>
      <c r="F28" s="697" t="str">
        <f t="shared" ref="F28:F34" si="2">IF(C28&gt;E28,C28-E28,"")</f>
        <v/>
      </c>
      <c r="G28" s="697" t="str">
        <f t="shared" ref="G28:G34" si="3">IF(E28&gt;C28,E28-C28,"")</f>
        <v/>
      </c>
    </row>
    <row r="29" spans="1:7" ht="16.5" customHeight="1">
      <c r="A29" s="690" t="s">
        <v>2924</v>
      </c>
      <c r="C29" s="696">
        <v>0</v>
      </c>
      <c r="D29" s="697"/>
      <c r="E29" s="696">
        <f>+BALANCE!B29</f>
        <v>0</v>
      </c>
      <c r="F29" s="697" t="str">
        <f t="shared" si="2"/>
        <v/>
      </c>
      <c r="G29" s="697" t="str">
        <f t="shared" si="3"/>
        <v/>
      </c>
    </row>
    <row r="30" spans="1:7" ht="16.5" customHeight="1">
      <c r="A30" s="690" t="s">
        <v>2925</v>
      </c>
      <c r="C30" s="696">
        <v>947679244.29999995</v>
      </c>
      <c r="D30" s="697"/>
      <c r="E30" s="696">
        <f>+BALANCE!B30+BALANCE!B31+BALANCE!B32</f>
        <v>980297651.08000004</v>
      </c>
      <c r="F30" s="697" t="str">
        <f t="shared" si="2"/>
        <v/>
      </c>
      <c r="G30" s="697">
        <f t="shared" si="3"/>
        <v>32618406.780000091</v>
      </c>
    </row>
    <row r="31" spans="1:7" ht="16.5" customHeight="1">
      <c r="A31" s="690" t="s">
        <v>1017</v>
      </c>
      <c r="C31" s="696">
        <v>12279237.109999999</v>
      </c>
      <c r="D31" s="697"/>
      <c r="E31" s="696">
        <f>+BALANCE!B33+BALANCE!B34+BALANCE!B35</f>
        <v>12318241.439999999</v>
      </c>
      <c r="F31" s="697" t="str">
        <f t="shared" si="2"/>
        <v/>
      </c>
      <c r="G31" s="697">
        <f t="shared" si="3"/>
        <v>39004.330000000075</v>
      </c>
    </row>
    <row r="32" spans="1:7" ht="16.5" customHeight="1">
      <c r="A32" s="699" t="s">
        <v>198</v>
      </c>
      <c r="C32" s="696">
        <v>8744971.7599999998</v>
      </c>
      <c r="D32" s="697"/>
      <c r="E32" s="696">
        <f>+BALANCE!B36</f>
        <v>8744971.7599999998</v>
      </c>
      <c r="F32" s="697" t="str">
        <f t="shared" si="2"/>
        <v/>
      </c>
      <c r="G32" s="697" t="str">
        <f t="shared" si="3"/>
        <v/>
      </c>
    </row>
    <row r="33" spans="1:9" ht="16.5" customHeight="1">
      <c r="A33" s="699" t="s">
        <v>2926</v>
      </c>
      <c r="C33" s="696">
        <v>-35607398.879999995</v>
      </c>
      <c r="D33" s="697"/>
      <c r="E33" s="696">
        <f>+BALANCE!B37+BALANCE!B38</f>
        <v>-36979865.799999997</v>
      </c>
      <c r="F33" s="697">
        <f t="shared" si="2"/>
        <v>1372466.9200000018</v>
      </c>
      <c r="G33" s="697" t="str">
        <f t="shared" si="3"/>
        <v/>
      </c>
    </row>
    <row r="34" spans="1:9" ht="16.5" customHeight="1">
      <c r="A34" s="690" t="s">
        <v>2927</v>
      </c>
      <c r="D34" s="697"/>
      <c r="F34" s="697" t="str">
        <f t="shared" si="2"/>
        <v/>
      </c>
      <c r="G34" s="697" t="str">
        <f t="shared" si="3"/>
        <v/>
      </c>
    </row>
    <row r="35" spans="1:9" ht="16.5" customHeight="1">
      <c r="A35" s="690" t="s">
        <v>2928</v>
      </c>
      <c r="C35" s="703"/>
      <c r="D35" s="697"/>
      <c r="F35" s="697"/>
      <c r="G35" s="697"/>
    </row>
    <row r="36" spans="1:9" ht="16.5" customHeight="1">
      <c r="A36" s="693" t="s">
        <v>2929</v>
      </c>
      <c r="C36" s="704">
        <f>SUM(C28:C35)</f>
        <v>934854884.28999996</v>
      </c>
      <c r="D36" s="697"/>
      <c r="E36" s="706">
        <f>SUM(E28:E35)</f>
        <v>966139828.48000014</v>
      </c>
      <c r="F36" s="697"/>
      <c r="G36" s="697"/>
    </row>
    <row r="37" spans="1:9" ht="16.5" customHeight="1">
      <c r="D37" s="697"/>
      <c r="E37" s="707"/>
      <c r="F37" s="697"/>
      <c r="G37" s="697"/>
    </row>
    <row r="38" spans="1:9" ht="16.5" customHeight="1">
      <c r="A38" s="698" t="s">
        <v>2930</v>
      </c>
      <c r="D38" s="697"/>
      <c r="F38" s="697"/>
      <c r="G38" s="697"/>
    </row>
    <row r="39" spans="1:9" ht="16.5" customHeight="1">
      <c r="A39" s="690" t="s">
        <v>2931</v>
      </c>
      <c r="D39" s="697"/>
      <c r="F39" s="697"/>
      <c r="G39" s="697" t="str">
        <f t="shared" ref="G39:G41" si="4">IF(E39&gt;C39,E39-C39,"")</f>
        <v/>
      </c>
    </row>
    <row r="40" spans="1:9" ht="16.5" customHeight="1">
      <c r="A40" s="690" t="s">
        <v>2932</v>
      </c>
      <c r="C40" s="703"/>
      <c r="D40" s="697"/>
      <c r="E40" s="703"/>
      <c r="F40" s="697"/>
      <c r="G40" s="697" t="str">
        <f t="shared" si="4"/>
        <v/>
      </c>
    </row>
    <row r="41" spans="1:9" ht="16.5" customHeight="1">
      <c r="A41" s="693" t="s">
        <v>2933</v>
      </c>
      <c r="C41" s="704">
        <f>SUM(C39:C40)</f>
        <v>0</v>
      </c>
      <c r="D41" s="697"/>
      <c r="E41" s="704">
        <f>SUM(E39:E40)</f>
        <v>0</v>
      </c>
      <c r="F41" s="697" t="str">
        <f t="shared" ref="F41:F71" si="5">IF(C41&gt;E41,C41-E41,"")</f>
        <v/>
      </c>
      <c r="G41" s="697" t="str">
        <f t="shared" si="4"/>
        <v/>
      </c>
    </row>
    <row r="42" spans="1:9" ht="16.5" customHeight="1">
      <c r="D42" s="705"/>
      <c r="F42" s="697"/>
      <c r="G42" s="697"/>
    </row>
    <row r="43" spans="1:9" ht="16.5" customHeight="1" thickBot="1">
      <c r="A43" s="708" t="s">
        <v>2934</v>
      </c>
      <c r="C43" s="709">
        <f>+C25+C36+C41</f>
        <v>1157748367.0799999</v>
      </c>
      <c r="D43" s="707"/>
      <c r="E43" s="709">
        <f>+E25+E36+E41</f>
        <v>1170103498.3400002</v>
      </c>
      <c r="F43" s="697"/>
      <c r="G43" s="697"/>
      <c r="H43" s="707"/>
      <c r="I43" s="707"/>
    </row>
    <row r="44" spans="1:9" ht="16.5" customHeight="1" thickTop="1">
      <c r="D44" s="697"/>
      <c r="F44" s="697"/>
      <c r="G44" s="697"/>
    </row>
    <row r="45" spans="1:9" ht="16.5" customHeight="1">
      <c r="A45" s="694" t="s">
        <v>82</v>
      </c>
      <c r="D45" s="697"/>
      <c r="F45" s="697"/>
      <c r="G45" s="697"/>
    </row>
    <row r="46" spans="1:9" ht="16.5" customHeight="1">
      <c r="D46" s="697"/>
      <c r="F46" s="697"/>
      <c r="G46" s="697"/>
    </row>
    <row r="47" spans="1:9" ht="16.5" customHeight="1">
      <c r="A47" s="698" t="s">
        <v>68</v>
      </c>
      <c r="D47" s="705"/>
      <c r="F47" s="697"/>
      <c r="G47" s="697"/>
    </row>
    <row r="48" spans="1:9" ht="16.5" customHeight="1">
      <c r="A48" s="699" t="s">
        <v>2935</v>
      </c>
      <c r="D48" s="697"/>
      <c r="F48" s="697"/>
      <c r="G48" s="697"/>
    </row>
    <row r="49" spans="1:9" ht="16.5" customHeight="1">
      <c r="A49" s="699" t="s">
        <v>2936</v>
      </c>
      <c r="B49" s="710"/>
      <c r="C49" s="696">
        <v>814594.64999999991</v>
      </c>
      <c r="D49" s="711"/>
      <c r="E49" s="696">
        <f>+BALANCE!E15+BALANCE!E17</f>
        <v>114656.48999999999</v>
      </c>
      <c r="F49" s="697" t="str">
        <f t="shared" ref="F49:F50" si="6">IF(C49&lt;E49,E49-C49,"")</f>
        <v/>
      </c>
      <c r="G49" s="697">
        <f t="shared" ref="G49:G50" si="7">IF(E49&lt;C49,C49-E49,"")</f>
        <v>699938.15999999992</v>
      </c>
    </row>
    <row r="50" spans="1:9" ht="16.5" customHeight="1">
      <c r="A50" s="690" t="s">
        <v>2937</v>
      </c>
      <c r="D50" s="697"/>
      <c r="F50" s="697" t="str">
        <f t="shared" si="6"/>
        <v/>
      </c>
      <c r="G50" s="697" t="str">
        <f t="shared" si="7"/>
        <v/>
      </c>
    </row>
    <row r="51" spans="1:9" ht="16.5" customHeight="1">
      <c r="A51" s="690" t="s">
        <v>2938</v>
      </c>
      <c r="C51" s="696">
        <v>2485657.2799999998</v>
      </c>
      <c r="D51" s="697"/>
      <c r="E51" s="696">
        <f>+BALANCE!E14-0.45</f>
        <v>1560882.49</v>
      </c>
      <c r="F51" s="697" t="str">
        <f>IF(C51&lt;E51,E51-C51,"")</f>
        <v/>
      </c>
      <c r="G51" s="697">
        <f>IF(E51&lt;C51,C51-E51,"")</f>
        <v>924774.7899999998</v>
      </c>
    </row>
    <row r="52" spans="1:9" ht="16.5" customHeight="1">
      <c r="A52" s="690" t="s">
        <v>2939</v>
      </c>
      <c r="C52" s="696">
        <v>0</v>
      </c>
      <c r="D52" s="697"/>
      <c r="E52" s="696">
        <f>+BALANCE!E13</f>
        <v>0</v>
      </c>
      <c r="F52" s="697" t="str">
        <f t="shared" ref="F52:F54" si="8">IF(C52&lt;E52,E52-C52,"")</f>
        <v/>
      </c>
      <c r="G52" s="697" t="str">
        <f t="shared" ref="G52:G54" si="9">IF(E52&lt;C52,C52-E52,"")</f>
        <v/>
      </c>
    </row>
    <row r="53" spans="1:9" ht="16.5" customHeight="1">
      <c r="A53" s="690" t="s">
        <v>2940</v>
      </c>
      <c r="C53" s="696">
        <v>0</v>
      </c>
      <c r="D53" s="697"/>
      <c r="E53" s="696">
        <f>+BALANCE!E16</f>
        <v>0</v>
      </c>
      <c r="F53" s="697" t="str">
        <f t="shared" si="8"/>
        <v/>
      </c>
      <c r="G53" s="697" t="str">
        <f t="shared" si="9"/>
        <v/>
      </c>
    </row>
    <row r="54" spans="1:9" ht="16.5" customHeight="1">
      <c r="A54" s="699" t="s">
        <v>2941</v>
      </c>
      <c r="C54" s="703"/>
      <c r="D54" s="697"/>
      <c r="E54" s="703"/>
      <c r="F54" s="697" t="str">
        <f t="shared" si="8"/>
        <v/>
      </c>
      <c r="G54" s="697" t="str">
        <f t="shared" si="9"/>
        <v/>
      </c>
    </row>
    <row r="55" spans="1:9" ht="16.5" customHeight="1">
      <c r="A55" s="712" t="s">
        <v>2942</v>
      </c>
      <c r="C55" s="704">
        <f>SUM(C48:C54)</f>
        <v>3300251.9299999997</v>
      </c>
      <c r="D55" s="697"/>
      <c r="E55" s="704">
        <f>SUM(E48:E54)</f>
        <v>1675538.98</v>
      </c>
      <c r="F55" s="697"/>
      <c r="G55" s="697"/>
    </row>
    <row r="56" spans="1:9" ht="16.5" customHeight="1">
      <c r="A56" s="713"/>
      <c r="C56" s="704"/>
      <c r="D56" s="697"/>
      <c r="E56" s="704"/>
      <c r="F56" s="697"/>
      <c r="G56" s="697"/>
    </row>
    <row r="57" spans="1:9" ht="16.5" customHeight="1">
      <c r="A57" s="693" t="s">
        <v>2943</v>
      </c>
      <c r="C57" s="704"/>
      <c r="D57" s="697"/>
      <c r="E57" s="704"/>
      <c r="F57" s="697"/>
      <c r="G57" s="697"/>
    </row>
    <row r="58" spans="1:9" ht="16.5" customHeight="1">
      <c r="A58" s="714" t="s">
        <v>2976</v>
      </c>
      <c r="C58" s="703"/>
      <c r="D58" s="697"/>
      <c r="E58" s="703"/>
      <c r="F58" s="697"/>
      <c r="G58" s="697"/>
    </row>
    <row r="59" spans="1:9" ht="16.5" customHeight="1">
      <c r="A59" s="693" t="s">
        <v>2944</v>
      </c>
      <c r="C59" s="704">
        <f>C58</f>
        <v>0</v>
      </c>
      <c r="D59" s="697"/>
      <c r="E59" s="704">
        <f>E58</f>
        <v>0</v>
      </c>
      <c r="F59" s="697"/>
      <c r="G59" s="697"/>
    </row>
    <row r="60" spans="1:9" ht="16.5" customHeight="1">
      <c r="A60" s="713"/>
      <c r="B60" s="698"/>
      <c r="C60" s="704"/>
      <c r="D60" s="705"/>
      <c r="E60" s="704"/>
      <c r="F60" s="697"/>
      <c r="G60" s="697"/>
    </row>
    <row r="61" spans="1:9" ht="16.5" customHeight="1" thickBot="1">
      <c r="A61" s="708" t="s">
        <v>2945</v>
      </c>
      <c r="C61" s="709">
        <f>C59+C55</f>
        <v>3300251.9299999997</v>
      </c>
      <c r="D61" s="707"/>
      <c r="E61" s="709">
        <f>E59+E55</f>
        <v>1675538.98</v>
      </c>
      <c r="F61" s="697"/>
      <c r="G61" s="697"/>
      <c r="H61" s="707"/>
      <c r="I61" s="707"/>
    </row>
    <row r="62" spans="1:9" ht="16.5" customHeight="1" thickTop="1">
      <c r="B62" s="698"/>
      <c r="D62" s="705"/>
      <c r="F62" s="697"/>
      <c r="G62" s="697"/>
    </row>
    <row r="63" spans="1:9" ht="16.5" customHeight="1">
      <c r="A63" s="694" t="s">
        <v>2946</v>
      </c>
      <c r="B63" s="698"/>
      <c r="D63" s="705"/>
      <c r="F63" s="697"/>
      <c r="G63" s="697"/>
    </row>
    <row r="64" spans="1:9" ht="16.5" customHeight="1">
      <c r="B64" s="698"/>
      <c r="D64" s="705"/>
      <c r="F64" s="697"/>
      <c r="G64" s="697"/>
    </row>
    <row r="65" spans="1:9" ht="16.5" customHeight="1">
      <c r="A65" s="690" t="s">
        <v>85</v>
      </c>
      <c r="B65" s="698"/>
      <c r="C65" s="696">
        <v>278482909</v>
      </c>
      <c r="D65" s="705"/>
      <c r="E65" s="696">
        <v>278482909</v>
      </c>
      <c r="F65" s="697" t="str">
        <f t="shared" ref="F65:F68" si="10">IF(C65&lt;E65,E65-C65,"")</f>
        <v/>
      </c>
      <c r="G65" s="697" t="str">
        <f t="shared" ref="G65:G68" si="11">IF(E65&lt;C65,C65-E65,"")</f>
        <v/>
      </c>
    </row>
    <row r="66" spans="1:9" ht="16.5" customHeight="1">
      <c r="A66" s="690" t="s">
        <v>2947</v>
      </c>
      <c r="B66" s="698"/>
      <c r="C66" s="696">
        <v>20576226</v>
      </c>
      <c r="D66" s="705"/>
      <c r="E66" s="696">
        <v>20576226</v>
      </c>
      <c r="F66" s="697" t="str">
        <f t="shared" si="10"/>
        <v/>
      </c>
      <c r="G66" s="697" t="str">
        <f t="shared" si="11"/>
        <v/>
      </c>
    </row>
    <row r="67" spans="1:9" ht="16.5" customHeight="1">
      <c r="A67" s="690" t="s">
        <v>2948</v>
      </c>
      <c r="B67" s="698"/>
      <c r="C67" s="696">
        <v>772681577.31000006</v>
      </c>
      <c r="D67" s="715"/>
      <c r="E67" s="696">
        <f>+BALANCE!E37+0.86</f>
        <v>855388980.14999998</v>
      </c>
      <c r="F67" s="697">
        <f t="shared" si="10"/>
        <v>82707402.839999914</v>
      </c>
      <c r="G67" s="697" t="str">
        <f t="shared" si="11"/>
        <v/>
      </c>
    </row>
    <row r="68" spans="1:9" ht="16.5" customHeight="1">
      <c r="A68" s="690" t="s">
        <v>2949</v>
      </c>
      <c r="C68" s="703">
        <v>82707402.840000004</v>
      </c>
      <c r="D68" s="697"/>
      <c r="E68" s="703">
        <f>+BALANCE!E38</f>
        <v>13979844.210000001</v>
      </c>
      <c r="F68" s="697" t="str">
        <f t="shared" si="10"/>
        <v/>
      </c>
      <c r="G68" s="697">
        <f t="shared" si="11"/>
        <v>68727558.629999995</v>
      </c>
    </row>
    <row r="69" spans="1:9" ht="16.5" customHeight="1">
      <c r="D69" s="697"/>
      <c r="F69" s="697" t="str">
        <f t="shared" si="5"/>
        <v/>
      </c>
      <c r="G69" s="697" t="str">
        <f t="shared" ref="G69" si="12">IF(E69&gt;C69,E69-C69,"")</f>
        <v/>
      </c>
    </row>
    <row r="70" spans="1:9" ht="16.5" customHeight="1" thickBot="1">
      <c r="A70" s="708" t="s">
        <v>2950</v>
      </c>
      <c r="C70" s="709">
        <f>SUM(C65:C69)</f>
        <v>1154448115.1500001</v>
      </c>
      <c r="D70" s="707"/>
      <c r="E70" s="709">
        <f>SUM(E65:E69)</f>
        <v>1168427959.3600001</v>
      </c>
      <c r="F70" s="697" t="str">
        <f t="shared" si="5"/>
        <v/>
      </c>
      <c r="G70" s="697"/>
      <c r="H70" s="707"/>
      <c r="I70" s="707"/>
    </row>
    <row r="71" spans="1:9" ht="16.5" customHeight="1" thickTop="1">
      <c r="D71" s="697"/>
      <c r="F71" s="697" t="str">
        <f t="shared" si="5"/>
        <v/>
      </c>
      <c r="G71" s="697" t="str">
        <f t="shared" ref="G71" si="13">IF(E71&gt;C71,E71-C71,"")</f>
        <v/>
      </c>
    </row>
    <row r="72" spans="1:9" ht="16.5" customHeight="1" thickBot="1">
      <c r="A72" s="708" t="s">
        <v>2951</v>
      </c>
      <c r="C72" s="709">
        <f>C61+C70</f>
        <v>1157748367.0800002</v>
      </c>
      <c r="D72" s="707"/>
      <c r="E72" s="709">
        <f>E61+E70</f>
        <v>1170103498.3400002</v>
      </c>
      <c r="F72" s="697"/>
      <c r="G72" s="697"/>
      <c r="H72" s="707"/>
      <c r="I72" s="707"/>
    </row>
    <row r="73" spans="1:9" ht="16.5" customHeight="1" thickTop="1">
      <c r="D73" s="697"/>
      <c r="F73" s="697"/>
      <c r="G73" s="697"/>
    </row>
    <row r="74" spans="1:9" ht="16.5" customHeight="1">
      <c r="A74" s="716" t="s">
        <v>2952</v>
      </c>
      <c r="C74" s="717"/>
      <c r="D74" s="697"/>
      <c r="E74" s="717"/>
      <c r="F74" s="717">
        <f>SUM(F12:F72)</f>
        <v>96769750.749999911</v>
      </c>
      <c r="G74" s="717"/>
    </row>
    <row r="75" spans="1:9" ht="16.5" customHeight="1">
      <c r="A75" s="716" t="s">
        <v>2953</v>
      </c>
      <c r="C75" s="717"/>
      <c r="D75" s="697"/>
      <c r="E75" s="717"/>
      <c r="F75" s="717"/>
      <c r="G75" s="718">
        <f>SUM(G12:G72)</f>
        <v>104534821.67000008</v>
      </c>
    </row>
    <row r="76" spans="1:9" ht="16.5" customHeight="1" thickBot="1">
      <c r="A76" s="719" t="s">
        <v>2954</v>
      </c>
      <c r="B76" s="698"/>
      <c r="C76" s="717"/>
      <c r="D76" s="705"/>
      <c r="E76" s="717"/>
      <c r="F76" s="717"/>
      <c r="G76" s="720">
        <f>+F74-G75</f>
        <v>-7765070.9200001657</v>
      </c>
    </row>
    <row r="77" spans="1:9" ht="16.5" customHeight="1" thickTop="1">
      <c r="D77" s="697"/>
    </row>
    <row r="78" spans="1:9" ht="16.5" customHeight="1">
      <c r="B78" s="721"/>
      <c r="C78" s="722">
        <f>C43-C72</f>
        <v>0</v>
      </c>
      <c r="D78" s="711"/>
      <c r="E78" s="722">
        <f>E43-E72</f>
        <v>0</v>
      </c>
      <c r="G78" s="696"/>
      <c r="H78" s="697"/>
    </row>
    <row r="79" spans="1:9" ht="15">
      <c r="C79" s="722"/>
      <c r="D79" s="697"/>
      <c r="E79" s="722"/>
    </row>
    <row r="80" spans="1:9">
      <c r="B80" s="716"/>
      <c r="D80" s="723"/>
    </row>
    <row r="81" spans="2:4">
      <c r="B81" s="716"/>
      <c r="D81" s="723"/>
    </row>
    <row r="82" spans="2:4">
      <c r="B82" s="716"/>
      <c r="D82" s="723"/>
    </row>
    <row r="84" spans="2:4" ht="15">
      <c r="D84" s="719"/>
    </row>
    <row r="85" spans="2:4" ht="15">
      <c r="D85" s="719"/>
    </row>
  </sheetData>
  <mergeCells count="7">
    <mergeCell ref="A8:G8"/>
    <mergeCell ref="A1:G1"/>
    <mergeCell ref="A2:G2"/>
    <mergeCell ref="A3:G3"/>
    <mergeCell ref="A4:G4"/>
    <mergeCell ref="A5:G5"/>
    <mergeCell ref="A7:G7"/>
  </mergeCells>
  <printOptions horizontalCentered="1" verticalCentered="1"/>
  <pageMargins left="0" right="0" top="0" bottom="0" header="0.31496062992125984" footer="0.31496062992125984"/>
  <pageSetup scale="50" orientation="portrait" r:id="rId1"/>
  <headerFooter>
    <oddFooter>&amp;L&amp;D&amp;C&amp;F   &amp;A&amp;RJLB</oddFoot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4"/>
  <dimension ref="A1:N18"/>
  <sheetViews>
    <sheetView workbookViewId="0">
      <selection activeCell="I7" sqref="I7"/>
    </sheetView>
  </sheetViews>
  <sheetFormatPr baseColWidth="10" defaultRowHeight="12.75"/>
  <cols>
    <col min="6" max="9" width="17" customWidth="1"/>
    <col min="10" max="13" width="0" hidden="1" customWidth="1"/>
    <col min="14" max="14" width="15.5703125" customWidth="1"/>
  </cols>
  <sheetData>
    <row r="1" spans="1:14" ht="16.5">
      <c r="A1" s="2021"/>
      <c r="B1" s="2021"/>
      <c r="C1" s="2021"/>
      <c r="D1" s="2022" t="s">
        <v>2992</v>
      </c>
      <c r="E1" s="2022"/>
      <c r="F1" s="2022"/>
      <c r="G1" s="2022"/>
      <c r="H1" s="2022"/>
      <c r="I1" s="2022"/>
      <c r="J1" s="2022"/>
      <c r="K1" s="2022"/>
      <c r="L1" s="2022"/>
      <c r="M1" s="668"/>
      <c r="N1" s="668"/>
    </row>
    <row r="2" spans="1:14" ht="15">
      <c r="A2" s="2021"/>
      <c r="B2" s="2021"/>
      <c r="C2" s="2021"/>
      <c r="D2" s="2023" t="s">
        <v>79</v>
      </c>
      <c r="E2" s="2023"/>
      <c r="F2" s="2023"/>
      <c r="G2" s="2023"/>
      <c r="H2" s="2023"/>
      <c r="I2" s="2023"/>
      <c r="J2" s="2023"/>
      <c r="K2" s="668"/>
      <c r="L2" s="668"/>
      <c r="M2" s="668"/>
      <c r="N2" s="668"/>
    </row>
    <row r="3" spans="1:14">
      <c r="A3" s="668"/>
      <c r="B3" s="668"/>
      <c r="C3" s="2024" t="s">
        <v>728</v>
      </c>
      <c r="D3" s="2024"/>
      <c r="E3" s="2024"/>
      <c r="F3" s="2024"/>
      <c r="G3" s="2024"/>
      <c r="H3" s="2024"/>
      <c r="I3" s="2025" t="s">
        <v>1918</v>
      </c>
      <c r="J3" s="2025"/>
      <c r="K3" s="2026" t="s">
        <v>1919</v>
      </c>
      <c r="L3" s="2026"/>
      <c r="M3" s="2026"/>
      <c r="N3" s="2026"/>
    </row>
    <row r="4" spans="1:14">
      <c r="A4" s="668"/>
      <c r="B4" s="670" t="s">
        <v>1920</v>
      </c>
      <c r="C4" s="2027" t="s">
        <v>1921</v>
      </c>
      <c r="D4" s="2027"/>
      <c r="E4" s="2027"/>
      <c r="F4" s="2027"/>
      <c r="G4" s="2027"/>
      <c r="H4" s="2027"/>
      <c r="I4" s="2027"/>
      <c r="J4" s="669" t="s">
        <v>1921</v>
      </c>
      <c r="K4" s="2025" t="s">
        <v>2830</v>
      </c>
      <c r="L4" s="2025"/>
      <c r="M4" s="2025"/>
      <c r="N4" s="668"/>
    </row>
    <row r="5" spans="1:14" ht="36">
      <c r="A5" s="668"/>
      <c r="B5" s="668"/>
      <c r="C5" s="668"/>
      <c r="D5" s="668"/>
      <c r="E5" s="668"/>
      <c r="F5" s="671" t="s">
        <v>2831</v>
      </c>
      <c r="G5" s="672" t="s">
        <v>2832</v>
      </c>
      <c r="H5" s="672" t="s">
        <v>2833</v>
      </c>
      <c r="I5" s="673" t="s">
        <v>2834</v>
      </c>
      <c r="J5" s="668"/>
      <c r="K5" s="2028" t="s">
        <v>2835</v>
      </c>
      <c r="L5" s="2028"/>
      <c r="M5" s="2028"/>
      <c r="N5" s="2028"/>
    </row>
    <row r="6" spans="1:14">
      <c r="A6" s="2029" t="s">
        <v>230</v>
      </c>
      <c r="B6" s="2029"/>
      <c r="C6" s="2029"/>
      <c r="D6" s="2029"/>
      <c r="E6" s="2029"/>
      <c r="F6" s="668"/>
      <c r="G6" s="668"/>
      <c r="H6" s="668"/>
      <c r="I6" s="668"/>
      <c r="J6" s="668"/>
      <c r="K6" s="668"/>
      <c r="L6" s="668"/>
      <c r="M6" s="668"/>
      <c r="N6" s="668"/>
    </row>
    <row r="7" spans="1:14" ht="18.75">
      <c r="A7" s="2030" t="s">
        <v>1022</v>
      </c>
      <c r="B7" s="2030"/>
      <c r="C7" s="2030"/>
      <c r="D7" s="2030"/>
      <c r="E7" s="2030"/>
      <c r="F7" s="1380">
        <v>1157748367.0799999</v>
      </c>
      <c r="G7" s="1380">
        <v>3443296129.0700002</v>
      </c>
      <c r="H7" s="1384">
        <v>3430940997.8099999</v>
      </c>
      <c r="I7" s="674">
        <f>+F7+G7-H7</f>
        <v>1170103498.3399997</v>
      </c>
      <c r="J7" s="675" t="s">
        <v>1921</v>
      </c>
      <c r="K7" s="2031">
        <f>+I7-F7</f>
        <v>12355131.259999752</v>
      </c>
      <c r="L7" s="2031"/>
      <c r="M7" s="2031"/>
      <c r="N7" s="2031"/>
    </row>
    <row r="8" spans="1:14">
      <c r="A8" s="2032" t="s">
        <v>1010</v>
      </c>
      <c r="B8" s="2032"/>
      <c r="C8" s="2032"/>
      <c r="D8" s="2032"/>
      <c r="E8" s="2032"/>
      <c r="F8" s="1381">
        <v>222893482.78999999</v>
      </c>
      <c r="G8" s="1381">
        <v>3407671215.52</v>
      </c>
      <c r="H8" s="1385">
        <v>3426601028.4499998</v>
      </c>
      <c r="I8" s="676">
        <f t="shared" ref="I8:I18" si="0">+F8+G8-H8</f>
        <v>203963669.86000013</v>
      </c>
      <c r="J8" s="668"/>
      <c r="K8" s="2033">
        <f t="shared" ref="K8:K18" si="1">+I8-F8</f>
        <v>-18929812.929999858</v>
      </c>
      <c r="L8" s="2033"/>
      <c r="M8" s="2033"/>
      <c r="N8" s="2033"/>
    </row>
    <row r="9" spans="1:14">
      <c r="A9" s="2034" t="s">
        <v>1009</v>
      </c>
      <c r="B9" s="2034"/>
      <c r="C9" s="2034"/>
      <c r="D9" s="2034"/>
      <c r="E9" s="2034"/>
      <c r="F9" s="1382">
        <v>192432921.41</v>
      </c>
      <c r="G9" s="1382">
        <v>3326499906.2800002</v>
      </c>
      <c r="H9" s="1386">
        <v>3334264977.1999998</v>
      </c>
      <c r="I9" s="677">
        <f t="shared" si="0"/>
        <v>184667850.49000025</v>
      </c>
      <c r="J9" s="678" t="s">
        <v>1921</v>
      </c>
      <c r="K9" s="2035">
        <f t="shared" si="1"/>
        <v>-7765070.9199997485</v>
      </c>
      <c r="L9" s="2035"/>
      <c r="M9" s="2035"/>
      <c r="N9" s="2035"/>
    </row>
    <row r="10" spans="1:14">
      <c r="A10" s="2034" t="s">
        <v>1011</v>
      </c>
      <c r="B10" s="2034"/>
      <c r="C10" s="2034"/>
      <c r="D10" s="2034"/>
      <c r="E10" s="2034"/>
      <c r="F10" s="1382">
        <v>30004506.859999999</v>
      </c>
      <c r="G10" s="1382">
        <v>79383102.450000003</v>
      </c>
      <c r="H10" s="1386">
        <v>91040278.390000001</v>
      </c>
      <c r="I10" s="677">
        <f t="shared" si="0"/>
        <v>18347330.920000002</v>
      </c>
      <c r="J10" s="678" t="s">
        <v>1921</v>
      </c>
      <c r="K10" s="2035">
        <f t="shared" si="1"/>
        <v>-11657175.939999998</v>
      </c>
      <c r="L10" s="2035"/>
      <c r="M10" s="2035"/>
      <c r="N10" s="2035"/>
    </row>
    <row r="11" spans="1:14">
      <c r="A11" s="2034" t="s">
        <v>1012</v>
      </c>
      <c r="B11" s="2034"/>
      <c r="C11" s="2034"/>
      <c r="D11" s="2034"/>
      <c r="E11" s="2034"/>
      <c r="F11" s="1382">
        <v>292951.38</v>
      </c>
      <c r="G11" s="1382">
        <v>1788206.79</v>
      </c>
      <c r="H11" s="1386">
        <v>1295772.8600000001</v>
      </c>
      <c r="I11" s="677">
        <f t="shared" si="0"/>
        <v>785385.30999999982</v>
      </c>
      <c r="J11" s="678" t="s">
        <v>1921</v>
      </c>
      <c r="K11" s="2036">
        <f t="shared" si="1"/>
        <v>492433.92999999982</v>
      </c>
      <c r="L11" s="2036"/>
      <c r="M11" s="2036"/>
      <c r="N11" s="2036"/>
    </row>
    <row r="12" spans="1:14">
      <c r="A12" s="2034" t="s">
        <v>1013</v>
      </c>
      <c r="B12" s="2034"/>
      <c r="C12" s="2034"/>
      <c r="D12" s="2034"/>
      <c r="E12" s="2034"/>
      <c r="F12" s="1382">
        <v>163103.14000000001</v>
      </c>
      <c r="G12" s="1382">
        <v>0</v>
      </c>
      <c r="H12" s="1386">
        <v>0</v>
      </c>
      <c r="I12" s="677">
        <f t="shared" si="0"/>
        <v>163103.14000000001</v>
      </c>
      <c r="J12" s="678" t="s">
        <v>1921</v>
      </c>
      <c r="K12" s="2035">
        <f t="shared" si="1"/>
        <v>0</v>
      </c>
      <c r="L12" s="2035"/>
      <c r="M12" s="2035"/>
      <c r="N12" s="2035"/>
    </row>
    <row r="13" spans="1:14">
      <c r="A13" s="2032" t="s">
        <v>1014</v>
      </c>
      <c r="B13" s="2032"/>
      <c r="C13" s="2032"/>
      <c r="D13" s="2032"/>
      <c r="E13" s="2032"/>
      <c r="F13" s="1381">
        <v>934854884.28999996</v>
      </c>
      <c r="G13" s="1381">
        <v>35624913.549999997</v>
      </c>
      <c r="H13" s="1385">
        <v>4339969.3600000003</v>
      </c>
      <c r="I13" s="676">
        <f t="shared" si="0"/>
        <v>966139828.4799999</v>
      </c>
      <c r="J13" s="668"/>
      <c r="K13" s="2037">
        <f t="shared" si="1"/>
        <v>31284944.189999938</v>
      </c>
      <c r="L13" s="2037"/>
      <c r="M13" s="2037"/>
      <c r="N13" s="2037"/>
    </row>
    <row r="14" spans="1:14">
      <c r="A14" s="2034" t="s">
        <v>1015</v>
      </c>
      <c r="B14" s="2034"/>
      <c r="C14" s="2034"/>
      <c r="D14" s="2034"/>
      <c r="E14" s="2034"/>
      <c r="F14" s="1382">
        <v>1758830</v>
      </c>
      <c r="G14" s="1382">
        <v>0</v>
      </c>
      <c r="H14" s="1386">
        <v>0</v>
      </c>
      <c r="I14" s="677">
        <f t="shared" si="0"/>
        <v>1758830</v>
      </c>
      <c r="J14" s="678" t="s">
        <v>1921</v>
      </c>
      <c r="K14" s="2035">
        <f t="shared" si="1"/>
        <v>0</v>
      </c>
      <c r="L14" s="2035"/>
      <c r="M14" s="2035"/>
      <c r="N14" s="2035"/>
    </row>
    <row r="15" spans="1:14" ht="12.75" customHeight="1">
      <c r="A15" s="685" t="s">
        <v>1016</v>
      </c>
      <c r="B15" s="685"/>
      <c r="C15" s="685"/>
      <c r="D15" s="685"/>
      <c r="E15" s="685"/>
      <c r="F15" s="1382">
        <v>947679244.29999995</v>
      </c>
      <c r="G15" s="1382">
        <v>34334909.219999999</v>
      </c>
      <c r="H15" s="1386">
        <v>1716502.44</v>
      </c>
      <c r="I15" s="677">
        <f t="shared" si="0"/>
        <v>980297651.07999992</v>
      </c>
      <c r="J15" s="678" t="s">
        <v>1921</v>
      </c>
      <c r="K15" s="2035">
        <f t="shared" si="1"/>
        <v>32618406.779999971</v>
      </c>
      <c r="L15" s="2035"/>
      <c r="M15" s="2035"/>
      <c r="N15" s="2035"/>
    </row>
    <row r="16" spans="1:14">
      <c r="A16" s="2034" t="s">
        <v>1017</v>
      </c>
      <c r="B16" s="2034"/>
      <c r="C16" s="2034"/>
      <c r="D16" s="2034"/>
      <c r="E16" s="2034"/>
      <c r="F16" s="1382">
        <v>12279237.109999999</v>
      </c>
      <c r="G16" s="1382">
        <v>1290004.33</v>
      </c>
      <c r="H16" s="1386">
        <v>1251000</v>
      </c>
      <c r="I16" s="677">
        <f t="shared" si="0"/>
        <v>12318241.439999999</v>
      </c>
      <c r="J16" s="678" t="s">
        <v>1921</v>
      </c>
      <c r="K16" s="2035">
        <f t="shared" si="1"/>
        <v>39004.330000000075</v>
      </c>
      <c r="L16" s="2035"/>
      <c r="M16" s="2035"/>
      <c r="N16" s="2035"/>
    </row>
    <row r="17" spans="1:14">
      <c r="A17" s="2034" t="s">
        <v>198</v>
      </c>
      <c r="B17" s="2034"/>
      <c r="C17" s="2034"/>
      <c r="D17" s="2034"/>
      <c r="E17" s="2034"/>
      <c r="F17" s="1382">
        <v>8744971.7599999998</v>
      </c>
      <c r="G17" s="1382">
        <v>0</v>
      </c>
      <c r="H17" s="1386">
        <v>0</v>
      </c>
      <c r="I17" s="677">
        <f t="shared" si="0"/>
        <v>8744971.7599999998</v>
      </c>
      <c r="J17" s="678" t="s">
        <v>1921</v>
      </c>
      <c r="K17" s="2035">
        <f t="shared" si="1"/>
        <v>0</v>
      </c>
      <c r="L17" s="2035"/>
      <c r="M17" s="2035"/>
      <c r="N17" s="2035"/>
    </row>
    <row r="18" spans="1:14">
      <c r="A18" s="2034" t="s">
        <v>1018</v>
      </c>
      <c r="B18" s="2034"/>
      <c r="C18" s="2034"/>
      <c r="D18" s="2034"/>
      <c r="E18" s="2034"/>
      <c r="F18" s="1383">
        <v>-35607398.880000003</v>
      </c>
      <c r="G18" s="1382">
        <v>0</v>
      </c>
      <c r="H18" s="1386">
        <v>1372466.92</v>
      </c>
      <c r="I18" s="679">
        <f t="shared" si="0"/>
        <v>-36979865.800000004</v>
      </c>
      <c r="J18" s="678" t="s">
        <v>1921</v>
      </c>
      <c r="K18" s="2036">
        <f t="shared" si="1"/>
        <v>-1372466.9200000018</v>
      </c>
      <c r="L18" s="2036"/>
      <c r="M18" s="2036"/>
      <c r="N18" s="2036"/>
    </row>
  </sheetData>
  <mergeCells count="33">
    <mergeCell ref="A14:E14"/>
    <mergeCell ref="K14:N14"/>
    <mergeCell ref="A18:E18"/>
    <mergeCell ref="K18:N18"/>
    <mergeCell ref="K15:N15"/>
    <mergeCell ref="A16:E16"/>
    <mergeCell ref="K16:N16"/>
    <mergeCell ref="A17:E17"/>
    <mergeCell ref="K17:N17"/>
    <mergeCell ref="A11:E11"/>
    <mergeCell ref="K11:N11"/>
    <mergeCell ref="A12:E12"/>
    <mergeCell ref="K12:N12"/>
    <mergeCell ref="A13:E13"/>
    <mergeCell ref="K13:N13"/>
    <mergeCell ref="A8:E8"/>
    <mergeCell ref="K8:N8"/>
    <mergeCell ref="A9:E9"/>
    <mergeCell ref="K9:N9"/>
    <mergeCell ref="A10:E10"/>
    <mergeCell ref="K10:N10"/>
    <mergeCell ref="C4:I4"/>
    <mergeCell ref="K4:M4"/>
    <mergeCell ref="K5:N5"/>
    <mergeCell ref="A6:E6"/>
    <mergeCell ref="A7:E7"/>
    <mergeCell ref="K7:N7"/>
    <mergeCell ref="A1:C2"/>
    <mergeCell ref="D1:L1"/>
    <mergeCell ref="D2:J2"/>
    <mergeCell ref="C3:H3"/>
    <mergeCell ref="I3:J3"/>
    <mergeCell ref="K3:N3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pageSetUpPr fitToPage="1"/>
  </sheetPr>
  <dimension ref="A1:U105"/>
  <sheetViews>
    <sheetView topLeftCell="A22" zoomScaleNormal="100" workbookViewId="0">
      <selection activeCell="C66" sqref="C66"/>
    </sheetView>
  </sheetViews>
  <sheetFormatPr baseColWidth="10" defaultRowHeight="12.75"/>
  <cols>
    <col min="1" max="1" width="5.42578125" customWidth="1"/>
    <col min="2" max="2" width="74" customWidth="1"/>
    <col min="3" max="3" width="15.85546875" style="13" bestFit="1" customWidth="1"/>
    <col min="4" max="4" width="49.85546875" style="7" customWidth="1"/>
    <col min="5" max="6" width="12.85546875" style="4" bestFit="1" customWidth="1"/>
  </cols>
  <sheetData>
    <row r="1" spans="1:21" ht="15.75">
      <c r="A1" s="1553" t="s">
        <v>2992</v>
      </c>
      <c r="B1" s="1553"/>
      <c r="C1" s="1553"/>
      <c r="D1" s="73"/>
      <c r="E1" s="733"/>
      <c r="F1" s="73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13"/>
      <c r="U1" s="73"/>
    </row>
    <row r="2" spans="1:21" ht="15">
      <c r="A2" s="1552" t="s">
        <v>161</v>
      </c>
      <c r="B2" s="1552"/>
      <c r="C2" s="1552"/>
      <c r="D2" s="70"/>
      <c r="E2" s="734"/>
      <c r="F2" s="734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</row>
    <row r="3" spans="1:21" ht="15">
      <c r="A3" s="1552" t="str">
        <f>+'VARIACIONES EGRESOS'!A4:S4</f>
        <v>ACUMULADO AL MES DE ABRIL DE 2021</v>
      </c>
      <c r="B3" s="1552"/>
      <c r="C3" s="1552"/>
      <c r="D3" s="70"/>
      <c r="E3" s="734"/>
      <c r="F3" s="734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</row>
    <row r="4" spans="1:21">
      <c r="A4" s="73"/>
      <c r="B4" s="73"/>
      <c r="C4" s="73"/>
      <c r="D4" s="73"/>
      <c r="E4" s="733"/>
      <c r="F4" s="73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13"/>
      <c r="U4" s="73"/>
    </row>
    <row r="5" spans="1:21">
      <c r="A5" s="592"/>
      <c r="B5" s="622"/>
      <c r="C5" s="623"/>
    </row>
    <row r="7" spans="1:21" s="2" customFormat="1">
      <c r="A7" s="47" t="s">
        <v>14</v>
      </c>
      <c r="B7" s="48"/>
      <c r="C7" s="59"/>
      <c r="D7" s="15"/>
      <c r="E7" s="735"/>
      <c r="F7" s="735"/>
    </row>
    <row r="8" spans="1:21" s="2" customFormat="1">
      <c r="A8" s="35"/>
      <c r="C8" s="39"/>
      <c r="D8" s="15"/>
      <c r="E8" s="735"/>
      <c r="F8" s="735"/>
    </row>
    <row r="9" spans="1:21" s="2" customFormat="1">
      <c r="A9" s="24" t="s">
        <v>79</v>
      </c>
      <c r="B9" s="25"/>
      <c r="C9" s="40">
        <f>SUM(C10:C13)</f>
        <v>22348225.960000001</v>
      </c>
      <c r="D9" s="15"/>
      <c r="E9" s="735"/>
      <c r="F9" s="735"/>
    </row>
    <row r="10" spans="1:21">
      <c r="A10" s="16"/>
      <c r="B10" t="s">
        <v>22</v>
      </c>
      <c r="C10" s="41">
        <v>18942890.609999999</v>
      </c>
      <c r="D10" s="26"/>
    </row>
    <row r="11" spans="1:21">
      <c r="A11" s="16"/>
      <c r="B11" t="s">
        <v>78</v>
      </c>
      <c r="C11" s="41">
        <v>1220226.3600000001</v>
      </c>
      <c r="D11" s="26"/>
    </row>
    <row r="12" spans="1:21">
      <c r="A12" s="16"/>
      <c r="B12" t="s">
        <v>29</v>
      </c>
      <c r="C12" s="41">
        <v>2170932.69</v>
      </c>
      <c r="D12" s="26"/>
    </row>
    <row r="13" spans="1:21">
      <c r="A13" s="16"/>
      <c r="B13" s="73" t="s">
        <v>77</v>
      </c>
      <c r="C13" s="41">
        <v>14176.3</v>
      </c>
      <c r="D13" s="26"/>
    </row>
    <row r="14" spans="1:21" s="2" customFormat="1">
      <c r="A14" s="24" t="s">
        <v>80</v>
      </c>
      <c r="B14" s="25"/>
      <c r="C14" s="40">
        <f>SUM(C15:C18)</f>
        <v>1460997.69</v>
      </c>
      <c r="D14" s="15"/>
      <c r="E14" s="735"/>
      <c r="F14" s="735"/>
    </row>
    <row r="15" spans="1:21">
      <c r="A15" s="16"/>
      <c r="B15" t="s">
        <v>22</v>
      </c>
      <c r="C15" s="41">
        <v>944560.14</v>
      </c>
      <c r="D15" s="26"/>
    </row>
    <row r="16" spans="1:21">
      <c r="A16" s="16"/>
      <c r="B16" s="73" t="s">
        <v>6310</v>
      </c>
      <c r="C16" s="41">
        <v>0</v>
      </c>
      <c r="D16" s="26"/>
    </row>
    <row r="17" spans="1:6">
      <c r="A17" s="16"/>
      <c r="B17" t="s">
        <v>29</v>
      </c>
      <c r="C17" s="41">
        <v>516037.55</v>
      </c>
      <c r="D17" s="26"/>
    </row>
    <row r="18" spans="1:6">
      <c r="A18" s="16"/>
      <c r="B18" t="s">
        <v>88</v>
      </c>
      <c r="C18" s="41">
        <v>400</v>
      </c>
      <c r="D18" s="26"/>
    </row>
    <row r="19" spans="1:6" s="2" customFormat="1">
      <c r="A19" s="24" t="s">
        <v>28</v>
      </c>
      <c r="B19" s="25"/>
      <c r="C19" s="40">
        <f>SUM(C20:C23)</f>
        <v>2702713.1199999996</v>
      </c>
      <c r="D19" s="15"/>
      <c r="E19" s="735"/>
      <c r="F19" s="735"/>
    </row>
    <row r="20" spans="1:6">
      <c r="A20" s="16"/>
      <c r="B20" t="s">
        <v>22</v>
      </c>
      <c r="C20" s="41">
        <v>2270424.5099999998</v>
      </c>
      <c r="D20" s="26"/>
    </row>
    <row r="21" spans="1:6">
      <c r="A21" s="16"/>
      <c r="B21" t="s">
        <v>78</v>
      </c>
      <c r="C21" s="41">
        <v>154388.35</v>
      </c>
      <c r="D21" s="26"/>
    </row>
    <row r="22" spans="1:6">
      <c r="A22" s="16"/>
      <c r="B22" t="s">
        <v>29</v>
      </c>
      <c r="C22" s="41">
        <v>258714.36</v>
      </c>
      <c r="D22" s="26"/>
    </row>
    <row r="23" spans="1:6">
      <c r="A23" s="16"/>
      <c r="B23" s="73" t="s">
        <v>5957</v>
      </c>
      <c r="C23" s="1379">
        <v>19185.900000000001</v>
      </c>
      <c r="D23" s="26"/>
    </row>
    <row r="24" spans="1:6" s="2" customFormat="1">
      <c r="A24" s="24" t="s">
        <v>13</v>
      </c>
      <c r="B24" s="25"/>
      <c r="C24" s="40">
        <f>SUM(C25:C27)</f>
        <v>202870.1</v>
      </c>
      <c r="D24" s="15"/>
      <c r="E24" s="735"/>
      <c r="F24" s="735"/>
    </row>
    <row r="25" spans="1:6">
      <c r="A25" s="16"/>
      <c r="B25" t="s">
        <v>22</v>
      </c>
      <c r="C25" s="41">
        <v>111294.3</v>
      </c>
      <c r="D25" s="26"/>
    </row>
    <row r="26" spans="1:6">
      <c r="A26" s="16"/>
      <c r="B26" t="s">
        <v>29</v>
      </c>
      <c r="C26" s="41">
        <v>91575.8</v>
      </c>
      <c r="D26" s="26"/>
    </row>
    <row r="27" spans="1:6">
      <c r="A27" s="16"/>
      <c r="B27" t="s">
        <v>77</v>
      </c>
      <c r="C27" s="41"/>
      <c r="D27" s="26"/>
    </row>
    <row r="28" spans="1:6">
      <c r="A28" s="24" t="s">
        <v>159</v>
      </c>
      <c r="B28" s="25"/>
      <c r="C28" s="40">
        <f>SUM(C29:C31)</f>
        <v>683450.13</v>
      </c>
      <c r="D28" s="26"/>
    </row>
    <row r="29" spans="1:6">
      <c r="A29" s="35"/>
      <c r="B29" s="73" t="s">
        <v>78</v>
      </c>
      <c r="C29" s="41">
        <v>239370.36</v>
      </c>
      <c r="D29" s="26"/>
    </row>
    <row r="30" spans="1:6">
      <c r="A30" s="16"/>
      <c r="B30" t="s">
        <v>29</v>
      </c>
      <c r="C30" s="41">
        <v>444079.77</v>
      </c>
      <c r="D30" s="26"/>
    </row>
    <row r="31" spans="1:6">
      <c r="A31" s="16"/>
      <c r="B31" t="s">
        <v>77</v>
      </c>
      <c r="C31" s="41"/>
      <c r="D31" s="26"/>
    </row>
    <row r="32" spans="1:6">
      <c r="A32" s="134"/>
      <c r="B32" s="25"/>
      <c r="C32" s="40"/>
      <c r="D32" s="26"/>
    </row>
    <row r="33" spans="1:6">
      <c r="A33" s="16"/>
      <c r="C33" s="41"/>
      <c r="D33" s="26"/>
    </row>
    <row r="34" spans="1:6">
      <c r="A34" s="16"/>
      <c r="C34" s="41"/>
      <c r="D34" s="26"/>
    </row>
    <row r="35" spans="1:6" s="2" customFormat="1">
      <c r="A35" s="24" t="s">
        <v>30</v>
      </c>
      <c r="B35" s="25"/>
      <c r="C35" s="71">
        <f>+C24+C19+C14+C9+C28+C32</f>
        <v>27398257</v>
      </c>
      <c r="D35" s="15"/>
      <c r="E35" s="735"/>
      <c r="F35" s="735"/>
    </row>
    <row r="36" spans="1:6" s="2" customFormat="1">
      <c r="C36" s="9"/>
      <c r="D36" s="15"/>
      <c r="E36" s="735"/>
      <c r="F36" s="735"/>
    </row>
    <row r="37" spans="1:6">
      <c r="D37" s="26"/>
    </row>
    <row r="38" spans="1:6">
      <c r="A38" s="47" t="s">
        <v>23</v>
      </c>
      <c r="B38" s="48"/>
      <c r="C38" s="59"/>
      <c r="D38" s="26"/>
    </row>
    <row r="39" spans="1:6">
      <c r="A39" s="35"/>
      <c r="B39" s="73"/>
      <c r="C39" s="49"/>
      <c r="D39" s="26"/>
    </row>
    <row r="40" spans="1:6">
      <c r="A40" s="35"/>
      <c r="B40" s="73"/>
      <c r="C40" s="51"/>
      <c r="D40" s="26"/>
    </row>
    <row r="41" spans="1:6">
      <c r="A41" s="16"/>
      <c r="C41" s="41"/>
      <c r="D41" s="26"/>
    </row>
    <row r="42" spans="1:6">
      <c r="A42" s="24" t="s">
        <v>48</v>
      </c>
      <c r="B42" s="25"/>
      <c r="C42" s="71">
        <f>SUM(C39:C41)</f>
        <v>0</v>
      </c>
      <c r="D42" s="26"/>
    </row>
    <row r="43" spans="1:6">
      <c r="A43" s="2"/>
      <c r="B43" s="2"/>
      <c r="C43" s="121"/>
      <c r="D43" s="26"/>
    </row>
    <row r="44" spans="1:6">
      <c r="A44" s="515" t="s">
        <v>0</v>
      </c>
      <c r="B44" s="48"/>
      <c r="C44" s="59"/>
      <c r="D44" s="26"/>
    </row>
    <row r="45" spans="1:6">
      <c r="A45" s="35"/>
      <c r="B45" s="1562" t="s">
        <v>3274</v>
      </c>
      <c r="C45" s="1378">
        <v>372362.81</v>
      </c>
      <c r="D45" s="26"/>
    </row>
    <row r="46" spans="1:6">
      <c r="A46" s="35"/>
      <c r="B46" s="1563"/>
      <c r="C46" s="51"/>
      <c r="D46" s="26"/>
    </row>
    <row r="47" spans="1:6">
      <c r="A47" s="16"/>
      <c r="C47" s="41"/>
      <c r="D47" s="26"/>
    </row>
    <row r="48" spans="1:6">
      <c r="A48" s="134" t="s">
        <v>1</v>
      </c>
      <c r="B48" s="25"/>
      <c r="C48" s="71">
        <f>SUM(C45:C47)</f>
        <v>372362.81</v>
      </c>
      <c r="D48" s="26"/>
    </row>
    <row r="49" spans="1:6">
      <c r="A49" s="2"/>
      <c r="B49" s="2"/>
      <c r="C49" s="9"/>
      <c r="D49" s="26"/>
    </row>
    <row r="50" spans="1:6">
      <c r="D50" s="26"/>
    </row>
    <row r="51" spans="1:6" s="2" customFormat="1">
      <c r="A51" s="47" t="s">
        <v>91</v>
      </c>
      <c r="B51" s="48"/>
      <c r="C51" s="59"/>
      <c r="D51" s="15"/>
      <c r="E51" s="735"/>
      <c r="F51" s="735"/>
    </row>
    <row r="52" spans="1:6">
      <c r="A52" s="16"/>
      <c r="B52" s="73" t="s">
        <v>162</v>
      </c>
      <c r="C52" s="42">
        <v>2583261.17</v>
      </c>
      <c r="D52" s="26"/>
    </row>
    <row r="53" spans="1:6">
      <c r="A53" s="16"/>
      <c r="B53" s="73" t="s">
        <v>163</v>
      </c>
      <c r="C53" s="41">
        <v>13281.86</v>
      </c>
      <c r="D53" s="26"/>
    </row>
    <row r="54" spans="1:6">
      <c r="A54" s="16"/>
      <c r="B54" s="73" t="s">
        <v>1039</v>
      </c>
      <c r="C54" s="41">
        <v>0</v>
      </c>
      <c r="D54" s="26"/>
    </row>
    <row r="55" spans="1:6">
      <c r="A55" s="16"/>
      <c r="B55" s="73" t="s">
        <v>205</v>
      </c>
      <c r="C55" s="41">
        <v>52763.28</v>
      </c>
      <c r="D55" s="26"/>
    </row>
    <row r="56" spans="1:6" ht="12.75" customHeight="1">
      <c r="A56" s="16"/>
      <c r="B56" s="511" t="s">
        <v>186</v>
      </c>
      <c r="C56" s="512">
        <v>27876.76</v>
      </c>
      <c r="D56" s="26"/>
    </row>
    <row r="57" spans="1:6">
      <c r="A57" s="16"/>
      <c r="C57" s="41"/>
      <c r="D57" s="26"/>
    </row>
    <row r="58" spans="1:6" s="2" customFormat="1">
      <c r="A58" s="24" t="s">
        <v>165</v>
      </c>
      <c r="B58" s="25"/>
      <c r="C58" s="71">
        <f>SUM(C52:C57)</f>
        <v>2677183.0699999994</v>
      </c>
      <c r="D58" s="15"/>
      <c r="E58" s="735"/>
      <c r="F58" s="735"/>
    </row>
    <row r="59" spans="1:6">
      <c r="D59" s="26"/>
    </row>
    <row r="60" spans="1:6">
      <c r="A60" s="515" t="s">
        <v>1044</v>
      </c>
      <c r="B60" s="48"/>
      <c r="C60" s="59"/>
      <c r="D60" s="26"/>
    </row>
    <row r="61" spans="1:6">
      <c r="A61" s="35"/>
      <c r="B61" s="73"/>
      <c r="C61" s="49"/>
      <c r="D61" s="26"/>
    </row>
    <row r="62" spans="1:6">
      <c r="A62" s="35"/>
      <c r="B62" s="73"/>
      <c r="C62" s="51">
        <v>0</v>
      </c>
      <c r="D62" s="26"/>
    </row>
    <row r="63" spans="1:6">
      <c r="A63" s="16"/>
      <c r="C63" s="41"/>
      <c r="D63" s="26"/>
    </row>
    <row r="64" spans="1:6">
      <c r="A64" s="134" t="s">
        <v>1045</v>
      </c>
      <c r="B64" s="25"/>
      <c r="C64" s="71">
        <f>SUM(C61:C63)</f>
        <v>0</v>
      </c>
      <c r="D64" s="26"/>
    </row>
    <row r="65" spans="1:15">
      <c r="A65" s="24"/>
      <c r="B65" s="25"/>
      <c r="C65" s="71"/>
      <c r="D65" s="26"/>
    </row>
    <row r="66" spans="1:15">
      <c r="A66" s="47" t="s">
        <v>93</v>
      </c>
      <c r="B66" s="48"/>
      <c r="C66" s="61">
        <f>+C58+C42+C35+C64+C48</f>
        <v>30447802.879999999</v>
      </c>
      <c r="D66" s="26"/>
    </row>
    <row r="67" spans="1:15">
      <c r="D67" s="26"/>
    </row>
    <row r="68" spans="1:15">
      <c r="D68" s="26"/>
    </row>
    <row r="69" spans="1:15">
      <c r="D69" s="26"/>
    </row>
    <row r="70" spans="1:15">
      <c r="D70" s="26"/>
      <c r="N70" s="4"/>
    </row>
    <row r="71" spans="1:15">
      <c r="D71" s="26"/>
      <c r="N71" s="4"/>
    </row>
    <row r="72" spans="1:15">
      <c r="D72" s="26"/>
      <c r="N72" s="4"/>
    </row>
    <row r="73" spans="1:15">
      <c r="D73" s="26"/>
      <c r="N73" s="4"/>
    </row>
    <row r="74" spans="1:15">
      <c r="N74" s="4"/>
      <c r="O74" s="74"/>
    </row>
    <row r="75" spans="1:15">
      <c r="D75" s="26"/>
    </row>
    <row r="76" spans="1:15">
      <c r="D76" s="26"/>
      <c r="N76" s="74"/>
    </row>
    <row r="77" spans="1:15">
      <c r="D77" s="26"/>
    </row>
    <row r="78" spans="1:15">
      <c r="D78" s="26"/>
    </row>
    <row r="80" spans="1:15">
      <c r="D80" s="26"/>
    </row>
    <row r="81" spans="3:6">
      <c r="D81" s="26"/>
    </row>
    <row r="82" spans="3:6">
      <c r="D82" s="26"/>
    </row>
    <row r="83" spans="3:6">
      <c r="D83" s="26"/>
    </row>
    <row r="84" spans="3:6">
      <c r="D84" s="26"/>
    </row>
    <row r="85" spans="3:6">
      <c r="D85" s="26"/>
    </row>
    <row r="86" spans="3:6">
      <c r="D86" s="26"/>
    </row>
    <row r="87" spans="3:6">
      <c r="D87" s="26"/>
    </row>
    <row r="88" spans="3:6">
      <c r="D88" s="26"/>
    </row>
    <row r="89" spans="3:6">
      <c r="D89" s="26"/>
    </row>
    <row r="90" spans="3:6">
      <c r="D90" s="26"/>
    </row>
    <row r="91" spans="3:6">
      <c r="D91" s="26"/>
    </row>
    <row r="92" spans="3:6">
      <c r="D92" s="26"/>
    </row>
    <row r="93" spans="3:6">
      <c r="D93" s="26"/>
    </row>
    <row r="94" spans="3:6">
      <c r="D94" s="26"/>
    </row>
    <row r="95" spans="3:6">
      <c r="D95" s="26"/>
    </row>
    <row r="96" spans="3:6" s="2" customFormat="1">
      <c r="C96" s="43"/>
      <c r="D96" s="7"/>
      <c r="E96" s="735"/>
      <c r="F96" s="735"/>
    </row>
    <row r="98" spans="3:6">
      <c r="D98" s="26"/>
    </row>
    <row r="99" spans="3:6">
      <c r="D99" s="26"/>
    </row>
    <row r="100" spans="3:6">
      <c r="D100" s="26"/>
    </row>
    <row r="101" spans="3:6">
      <c r="D101" s="26"/>
    </row>
    <row r="102" spans="3:6">
      <c r="D102" s="26"/>
    </row>
    <row r="103" spans="3:6">
      <c r="D103" s="26"/>
    </row>
    <row r="105" spans="3:6" s="2" customFormat="1">
      <c r="C105" s="9"/>
      <c r="D105" s="7"/>
      <c r="E105" s="735"/>
      <c r="F105" s="735"/>
    </row>
  </sheetData>
  <mergeCells count="4">
    <mergeCell ref="A2:C2"/>
    <mergeCell ref="A3:C3"/>
    <mergeCell ref="A1:C1"/>
    <mergeCell ref="B45:B46"/>
  </mergeCells>
  <phoneticPr fontId="14" type="noConversion"/>
  <pageMargins left="1.07" right="0.57999999999999996" top="1.01" bottom="1" header="0" footer="0"/>
  <pageSetup scale="84" orientation="portrait" horizontalDpi="1200" verticalDpi="12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>
    <pageSetUpPr fitToPage="1"/>
  </sheetPr>
  <dimension ref="A1:D72"/>
  <sheetViews>
    <sheetView topLeftCell="A46" zoomScaleNormal="100" workbookViewId="0">
      <selection activeCell="C62" sqref="C62"/>
    </sheetView>
  </sheetViews>
  <sheetFormatPr baseColWidth="10" defaultRowHeight="12.75"/>
  <cols>
    <col min="1" max="1" width="5.42578125" customWidth="1"/>
    <col min="2" max="2" width="73" customWidth="1"/>
    <col min="3" max="3" width="14.85546875" style="13" bestFit="1" customWidth="1"/>
    <col min="4" max="4" width="49.85546875" style="7" customWidth="1"/>
  </cols>
  <sheetData>
    <row r="1" spans="1:4" ht="15.75">
      <c r="A1" s="1553" t="s">
        <v>2992</v>
      </c>
      <c r="B1" s="1553"/>
      <c r="C1" s="1553"/>
    </row>
    <row r="2" spans="1:4" ht="15">
      <c r="A2" s="1552" t="s">
        <v>166</v>
      </c>
      <c r="B2" s="1552"/>
      <c r="C2" s="1552"/>
    </row>
    <row r="3" spans="1:4" ht="15">
      <c r="A3" s="1552" t="str">
        <f>+'VARIACIONES EGRESOS'!A4:S4</f>
        <v>ACUMULADO AL MES DE ABRIL DE 2021</v>
      </c>
      <c r="B3" s="1552"/>
      <c r="C3" s="1552"/>
    </row>
    <row r="4" spans="1:4" ht="15">
      <c r="A4" s="505"/>
      <c r="B4" s="505"/>
      <c r="C4" s="505"/>
    </row>
    <row r="5" spans="1:4">
      <c r="A5" s="624"/>
      <c r="B5" s="625"/>
      <c r="C5" s="626"/>
    </row>
    <row r="7" spans="1:4">
      <c r="A7" s="133" t="s">
        <v>233</v>
      </c>
      <c r="B7" s="60"/>
      <c r="C7" s="61"/>
    </row>
    <row r="8" spans="1:4">
      <c r="A8" s="35"/>
      <c r="B8" s="73" t="s">
        <v>169</v>
      </c>
      <c r="C8" s="49">
        <f>+'VARIACIONES EGRESOS'!R9</f>
        <v>4375817.34</v>
      </c>
    </row>
    <row r="9" spans="1:4">
      <c r="A9" s="35"/>
      <c r="B9" s="73" t="s">
        <v>167</v>
      </c>
      <c r="C9" s="51">
        <f>+'VARIACIONES EGRESOS'!R20</f>
        <v>80737.680000000008</v>
      </c>
    </row>
    <row r="10" spans="1:4">
      <c r="A10" s="35"/>
      <c r="B10" s="73" t="s">
        <v>168</v>
      </c>
      <c r="C10" s="51">
        <f>+'VARIACIONES EGRESOS'!R28</f>
        <v>3414512.9</v>
      </c>
    </row>
    <row r="11" spans="1:4">
      <c r="A11" s="35"/>
      <c r="B11" s="73" t="s">
        <v>1917</v>
      </c>
      <c r="C11" s="51">
        <f>+'VARIACIONES EGRESOS'!R54</f>
        <v>159527.47</v>
      </c>
    </row>
    <row r="12" spans="1:4">
      <c r="A12" s="134" t="s">
        <v>237</v>
      </c>
      <c r="B12" s="25"/>
      <c r="C12" s="71">
        <f>SUM(C8:C11)</f>
        <v>8030595.3899999997</v>
      </c>
    </row>
    <row r="14" spans="1:4" s="2" customFormat="1">
      <c r="A14" s="47" t="s">
        <v>12</v>
      </c>
      <c r="B14" s="48"/>
      <c r="C14" s="59"/>
      <c r="D14" s="15"/>
    </row>
    <row r="15" spans="1:4" s="2" customFormat="1">
      <c r="A15" s="35"/>
      <c r="C15" s="39"/>
      <c r="D15" s="15"/>
    </row>
    <row r="16" spans="1:4" s="2" customFormat="1">
      <c r="A16" s="24" t="s">
        <v>79</v>
      </c>
      <c r="B16" s="25"/>
      <c r="C16" s="40">
        <f>SUM(C17:C19)</f>
        <v>4478452.1399999997</v>
      </c>
      <c r="D16" s="15"/>
    </row>
    <row r="17" spans="1:4" s="2" customFormat="1">
      <c r="A17" s="35"/>
      <c r="B17" s="73" t="s">
        <v>167</v>
      </c>
      <c r="C17" s="51">
        <f>+'VARIACIONES EGRESOS'!R67</f>
        <v>117639.26</v>
      </c>
      <c r="D17" s="15"/>
    </row>
    <row r="18" spans="1:4">
      <c r="A18" s="16"/>
      <c r="B18" s="73" t="s">
        <v>168</v>
      </c>
      <c r="C18" s="41">
        <f>+'VARIACIONES EGRESOS'!R70</f>
        <v>4360812.88</v>
      </c>
      <c r="D18" s="26"/>
    </row>
    <row r="19" spans="1:4">
      <c r="A19" s="16"/>
      <c r="C19" s="41"/>
      <c r="D19" s="26"/>
    </row>
    <row r="20" spans="1:4" s="2" customFormat="1">
      <c r="A20" s="24" t="s">
        <v>80</v>
      </c>
      <c r="B20" s="25"/>
      <c r="C20" s="40">
        <f>SUM(C21:C23)</f>
        <v>902721.86</v>
      </c>
      <c r="D20" s="15"/>
    </row>
    <row r="21" spans="1:4" s="2" customFormat="1">
      <c r="A21" s="35"/>
      <c r="B21" s="73" t="s">
        <v>167</v>
      </c>
      <c r="C21" s="784">
        <f>+'VARIACIONES EGRESOS'!R82</f>
        <v>22200</v>
      </c>
      <c r="D21" s="15"/>
    </row>
    <row r="22" spans="1:4">
      <c r="A22" s="16"/>
      <c r="B22" s="73" t="s">
        <v>168</v>
      </c>
      <c r="C22" s="41">
        <f>+'VARIACIONES EGRESOS'!R84</f>
        <v>880521.86</v>
      </c>
      <c r="D22" s="26"/>
    </row>
    <row r="23" spans="1:4">
      <c r="A23" s="16"/>
      <c r="C23" s="41"/>
      <c r="D23" s="26"/>
    </row>
    <row r="24" spans="1:4" s="2" customFormat="1">
      <c r="A24" s="24" t="s">
        <v>28</v>
      </c>
      <c r="B24" s="25"/>
      <c r="C24" s="40">
        <f>SUM(C25:C27)</f>
        <v>834646.91</v>
      </c>
      <c r="D24" s="15"/>
    </row>
    <row r="25" spans="1:4" s="2" customFormat="1">
      <c r="A25" s="35"/>
      <c r="B25" s="73" t="s">
        <v>167</v>
      </c>
      <c r="C25" s="784">
        <f>+'VARIACIONES EGRESOS'!R94</f>
        <v>6600</v>
      </c>
      <c r="D25" s="15"/>
    </row>
    <row r="26" spans="1:4" s="7" customFormat="1">
      <c r="A26" s="32"/>
      <c r="B26" s="73" t="s">
        <v>168</v>
      </c>
      <c r="C26" s="51">
        <f>+'VARIACIONES EGRESOS'!R96</f>
        <v>828046.91</v>
      </c>
      <c r="D26" s="26"/>
    </row>
    <row r="27" spans="1:4">
      <c r="A27" s="16"/>
      <c r="C27" s="41"/>
      <c r="D27" s="26"/>
    </row>
    <row r="28" spans="1:4" s="2" customFormat="1">
      <c r="A28" s="24" t="s">
        <v>2</v>
      </c>
      <c r="B28" s="25"/>
      <c r="C28" s="40">
        <f>SUM(C29)</f>
        <v>0</v>
      </c>
      <c r="D28" s="15"/>
    </row>
    <row r="29" spans="1:4" s="2" customFormat="1">
      <c r="A29" s="35"/>
      <c r="B29" s="73" t="s">
        <v>168</v>
      </c>
      <c r="C29" s="41">
        <f>+'VARIACIONES EGRESOS'!R106</f>
        <v>0</v>
      </c>
      <c r="D29" s="15"/>
    </row>
    <row r="30" spans="1:4">
      <c r="A30" s="16"/>
      <c r="C30" s="41"/>
      <c r="D30" s="26"/>
    </row>
    <row r="31" spans="1:4" s="2" customFormat="1">
      <c r="A31" s="24" t="s">
        <v>221</v>
      </c>
      <c r="B31" s="25"/>
      <c r="C31" s="40">
        <f>SUM(C32:C34)</f>
        <v>240176.01</v>
      </c>
      <c r="D31" s="15"/>
    </row>
    <row r="32" spans="1:4" s="2" customFormat="1">
      <c r="A32" s="35"/>
      <c r="B32" s="73" t="s">
        <v>167</v>
      </c>
      <c r="C32" s="784">
        <f>+'VARIACIONES EGRESOS'!R112</f>
        <v>4800</v>
      </c>
      <c r="D32" s="15"/>
    </row>
    <row r="33" spans="1:4" s="2" customFormat="1">
      <c r="A33" s="35"/>
      <c r="B33" s="73" t="s">
        <v>168</v>
      </c>
      <c r="C33" s="51">
        <f>+'VARIACIONES EGRESOS'!R114</f>
        <v>235376.01</v>
      </c>
      <c r="D33" s="15"/>
    </row>
    <row r="34" spans="1:4">
      <c r="A34" s="16"/>
      <c r="C34" s="41"/>
      <c r="D34" s="26"/>
    </row>
    <row r="35" spans="1:4">
      <c r="A35" s="24" t="s">
        <v>159</v>
      </c>
      <c r="B35" s="25"/>
      <c r="C35" s="40">
        <f>SUM(C36:C38)</f>
        <v>533910</v>
      </c>
      <c r="D35" s="26"/>
    </row>
    <row r="36" spans="1:4">
      <c r="A36" s="35"/>
      <c r="B36" s="73" t="s">
        <v>167</v>
      </c>
      <c r="C36" s="784">
        <f>+'VARIACIONES EGRESOS'!R123</f>
        <v>9400</v>
      </c>
      <c r="D36" s="26"/>
    </row>
    <row r="37" spans="1:4">
      <c r="A37" s="35"/>
      <c r="B37" s="73" t="s">
        <v>168</v>
      </c>
      <c r="C37" s="51">
        <f>+'VARIACIONES EGRESOS'!R125</f>
        <v>524510</v>
      </c>
      <c r="D37" s="26"/>
    </row>
    <row r="38" spans="1:4">
      <c r="A38" s="16"/>
      <c r="C38" s="41"/>
      <c r="D38" s="26"/>
    </row>
    <row r="39" spans="1:4">
      <c r="A39" s="16"/>
      <c r="C39" s="41"/>
      <c r="D39" s="26"/>
    </row>
    <row r="40" spans="1:4" s="2" customFormat="1">
      <c r="A40" s="24" t="s">
        <v>8</v>
      </c>
      <c r="B40" s="25"/>
      <c r="C40" s="71">
        <f>+C31+C28+C24+C20+C16+C35</f>
        <v>6989906.9199999999</v>
      </c>
      <c r="D40" s="15"/>
    </row>
    <row r="41" spans="1:4" s="2" customFormat="1">
      <c r="C41" s="9"/>
      <c r="D41" s="15"/>
    </row>
    <row r="42" spans="1:4">
      <c r="A42" s="47" t="s">
        <v>71</v>
      </c>
      <c r="B42" s="48"/>
      <c r="C42" s="61"/>
      <c r="D42" s="26"/>
    </row>
    <row r="43" spans="1:4">
      <c r="A43" s="35"/>
      <c r="B43" s="73"/>
      <c r="C43" s="49"/>
      <c r="D43" s="26"/>
    </row>
    <row r="44" spans="1:4">
      <c r="A44" s="35"/>
      <c r="B44" s="73"/>
      <c r="C44" s="41"/>
      <c r="D44" s="26"/>
    </row>
    <row r="45" spans="1:4">
      <c r="A45" s="16"/>
      <c r="C45" s="51"/>
      <c r="D45" s="26"/>
    </row>
    <row r="46" spans="1:4">
      <c r="A46" s="24" t="s">
        <v>72</v>
      </c>
      <c r="B46" s="25"/>
      <c r="C46" s="71">
        <f>SUM(C43:C45)</f>
        <v>0</v>
      </c>
      <c r="D46" s="26"/>
    </row>
    <row r="47" spans="1:4">
      <c r="D47" s="26"/>
    </row>
    <row r="48" spans="1:4" s="2" customFormat="1">
      <c r="A48" s="47" t="s">
        <v>64</v>
      </c>
      <c r="B48" s="48"/>
      <c r="C48" s="61"/>
      <c r="D48" s="15"/>
    </row>
    <row r="49" spans="1:4" s="2" customFormat="1">
      <c r="A49" s="35"/>
      <c r="B49" s="73"/>
      <c r="C49" s="41"/>
      <c r="D49" s="15"/>
    </row>
    <row r="50" spans="1:4" s="2" customFormat="1">
      <c r="A50" s="35"/>
      <c r="B50" s="73"/>
      <c r="C50" s="41"/>
      <c r="D50" s="15"/>
    </row>
    <row r="51" spans="1:4" s="2" customFormat="1">
      <c r="A51" s="35"/>
      <c r="B51" s="73"/>
      <c r="C51" s="41"/>
      <c r="D51" s="15"/>
    </row>
    <row r="52" spans="1:4">
      <c r="A52" s="76"/>
      <c r="B52" s="75"/>
      <c r="C52" s="50"/>
      <c r="D52" s="26"/>
    </row>
    <row r="53" spans="1:4" s="2" customFormat="1">
      <c r="A53" s="24" t="s">
        <v>73</v>
      </c>
      <c r="B53" s="25"/>
      <c r="C53" s="71">
        <f>SUM(C49:C52)</f>
        <v>0</v>
      </c>
      <c r="D53" s="15"/>
    </row>
    <row r="54" spans="1:4">
      <c r="D54" s="26"/>
    </row>
    <row r="55" spans="1:4">
      <c r="A55" s="2"/>
      <c r="B55" s="2"/>
      <c r="C55" s="121"/>
      <c r="D55" s="26"/>
    </row>
    <row r="56" spans="1:4" s="2" customFormat="1">
      <c r="A56" s="60" t="s">
        <v>170</v>
      </c>
      <c r="B56" s="60"/>
      <c r="C56" s="61"/>
      <c r="D56" s="15"/>
    </row>
    <row r="57" spans="1:4" s="2" customFormat="1">
      <c r="A57" s="35"/>
      <c r="B57" s="73" t="s">
        <v>27</v>
      </c>
      <c r="C57" s="49">
        <f>+'VARIACIONES EGRESOS'!R137</f>
        <v>1372466.92</v>
      </c>
      <c r="D57" s="15"/>
    </row>
    <row r="58" spans="1:4" s="2" customFormat="1">
      <c r="A58" s="35"/>
      <c r="B58" s="73" t="s">
        <v>976</v>
      </c>
      <c r="C58" s="51">
        <f>+'VARIACIONES EGRESOS'!R138</f>
        <v>43408.46</v>
      </c>
      <c r="D58" s="15"/>
    </row>
    <row r="59" spans="1:4" s="2" customFormat="1">
      <c r="A59" s="16"/>
      <c r="B59" s="508" t="s">
        <v>1764</v>
      </c>
      <c r="C59" s="50">
        <f>+'VARIACIONES EGRESOS'!R139+'VARIACIONES EGRESOS'!R140</f>
        <v>31580.98</v>
      </c>
      <c r="D59" s="15"/>
    </row>
    <row r="60" spans="1:4">
      <c r="A60" s="24" t="s">
        <v>74</v>
      </c>
      <c r="B60" s="25"/>
      <c r="C60" s="71">
        <f>SUM(C57:C59)</f>
        <v>1447456.3599999999</v>
      </c>
      <c r="D60" s="26"/>
    </row>
    <row r="61" spans="1:4" s="2" customFormat="1">
      <c r="D61" s="15"/>
    </row>
    <row r="62" spans="1:4">
      <c r="A62" s="60" t="s">
        <v>222</v>
      </c>
      <c r="B62" s="60"/>
      <c r="C62" s="61">
        <f>+C60+C53+C46+C40+C12</f>
        <v>16467958.669999998</v>
      </c>
      <c r="D62" s="26"/>
    </row>
    <row r="63" spans="1:4">
      <c r="D63" s="26"/>
    </row>
    <row r="65" spans="1:4">
      <c r="D65" s="26"/>
    </row>
    <row r="66" spans="1:4">
      <c r="D66" s="26"/>
    </row>
    <row r="67" spans="1:4">
      <c r="D67" s="26"/>
    </row>
    <row r="68" spans="1:4">
      <c r="D68" s="26"/>
    </row>
    <row r="69" spans="1:4">
      <c r="A69" s="2"/>
      <c r="B69" s="2"/>
      <c r="C69" s="9"/>
      <c r="D69" s="26"/>
    </row>
    <row r="70" spans="1:4">
      <c r="D70" s="26"/>
    </row>
    <row r="72" spans="1:4" s="2" customFormat="1">
      <c r="C72" s="9"/>
      <c r="D72" s="7"/>
    </row>
  </sheetData>
  <mergeCells count="3">
    <mergeCell ref="A2:C2"/>
    <mergeCell ref="A3:C3"/>
    <mergeCell ref="A1:C1"/>
  </mergeCells>
  <phoneticPr fontId="14" type="noConversion"/>
  <pageMargins left="1.0629921259842521" right="0.59055118110236227" top="0.51181102362204722" bottom="0.23622047244094491" header="0" footer="0"/>
  <pageSetup scale="96" orientation="portrait" horizontalDpi="1200" verticalDpi="12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D62"/>
  <sheetViews>
    <sheetView topLeftCell="A22" zoomScaleNormal="100" workbookViewId="0">
      <selection activeCell="A22" sqref="A22:D28"/>
    </sheetView>
  </sheetViews>
  <sheetFormatPr baseColWidth="10" defaultRowHeight="12.75"/>
  <cols>
    <col min="1" max="1" width="10.5703125" customWidth="1"/>
    <col min="2" max="2" width="48.42578125" customWidth="1"/>
    <col min="3" max="3" width="14.85546875" style="6" bestFit="1" customWidth="1"/>
    <col min="4" max="4" width="54" style="7" customWidth="1"/>
    <col min="5" max="5" width="14.85546875" bestFit="1" customWidth="1"/>
    <col min="6" max="6" width="13.85546875" bestFit="1" customWidth="1"/>
    <col min="7" max="7" width="14.85546875" bestFit="1" customWidth="1"/>
    <col min="8" max="8" width="13.85546875" customWidth="1"/>
  </cols>
  <sheetData>
    <row r="1" spans="1:4">
      <c r="C1" s="13"/>
    </row>
    <row r="2" spans="1:4" ht="15">
      <c r="A2" s="1552" t="s">
        <v>2992</v>
      </c>
      <c r="B2" s="1552"/>
      <c r="C2" s="1552"/>
      <c r="D2" s="1552"/>
    </row>
    <row r="3" spans="1:4" ht="15">
      <c r="A3" s="1552" t="s">
        <v>171</v>
      </c>
      <c r="B3" s="1552"/>
      <c r="C3" s="1552"/>
      <c r="D3" s="1552"/>
    </row>
    <row r="4" spans="1:4" ht="15">
      <c r="A4" s="1552" t="str">
        <f>+BALANCE!A5</f>
        <v>AL 30 DE ABRIL DE 2021</v>
      </c>
      <c r="B4" s="1552"/>
      <c r="C4" s="1552"/>
      <c r="D4" s="1552"/>
    </row>
    <row r="5" spans="1:4">
      <c r="A5" s="73"/>
      <c r="B5" s="73"/>
      <c r="C5" s="73"/>
    </row>
    <row r="6" spans="1:4">
      <c r="A6" s="592"/>
      <c r="B6" s="622"/>
      <c r="C6" s="627"/>
      <c r="D6" s="628"/>
    </row>
    <row r="8" spans="1:4" ht="15">
      <c r="A8" s="52" t="s">
        <v>83</v>
      </c>
      <c r="B8" s="53"/>
      <c r="C8" s="62"/>
      <c r="D8" s="54"/>
    </row>
    <row r="9" spans="1:4">
      <c r="A9" s="28"/>
      <c r="B9" s="8"/>
      <c r="C9" s="63"/>
      <c r="D9" s="29"/>
    </row>
    <row r="10" spans="1:4">
      <c r="A10" s="79" t="s">
        <v>172</v>
      </c>
      <c r="B10" t="s">
        <v>38</v>
      </c>
      <c r="C10" s="825">
        <v>935862.81</v>
      </c>
      <c r="D10" s="30" t="s">
        <v>42</v>
      </c>
    </row>
    <row r="11" spans="1:4">
      <c r="A11" s="79" t="s">
        <v>173</v>
      </c>
      <c r="B11" t="s">
        <v>39</v>
      </c>
      <c r="C11" s="1404">
        <v>1928063.87</v>
      </c>
      <c r="D11" s="30" t="s">
        <v>43</v>
      </c>
    </row>
    <row r="12" spans="1:4">
      <c r="A12" s="79" t="s">
        <v>174</v>
      </c>
      <c r="B12" t="s">
        <v>37</v>
      </c>
      <c r="C12" s="825">
        <v>1580921.27</v>
      </c>
      <c r="D12" s="30" t="s">
        <v>41</v>
      </c>
    </row>
    <row r="13" spans="1:4">
      <c r="A13" s="79" t="s">
        <v>175</v>
      </c>
      <c r="B13" s="73" t="s">
        <v>6756</v>
      </c>
      <c r="C13" s="825">
        <f>57532.75+1098748.95</f>
        <v>1156281.7</v>
      </c>
      <c r="D13" s="86" t="s">
        <v>3156</v>
      </c>
    </row>
    <row r="14" spans="1:4">
      <c r="A14" s="79" t="s">
        <v>5958</v>
      </c>
      <c r="B14" s="73" t="s">
        <v>5959</v>
      </c>
      <c r="C14" s="825">
        <v>19536.04</v>
      </c>
      <c r="D14" s="86" t="s">
        <v>5960</v>
      </c>
    </row>
    <row r="15" spans="1:4">
      <c r="A15" s="79" t="s">
        <v>5961</v>
      </c>
      <c r="B15" s="73" t="s">
        <v>5962</v>
      </c>
      <c r="C15" s="825">
        <v>40417.949999999997</v>
      </c>
      <c r="D15" s="86" t="s">
        <v>5963</v>
      </c>
    </row>
    <row r="16" spans="1:4">
      <c r="A16" s="79" t="s">
        <v>6757</v>
      </c>
      <c r="B16" s="73" t="s">
        <v>6758</v>
      </c>
      <c r="C16" s="825">
        <v>7119754.4000000004</v>
      </c>
      <c r="D16" s="86" t="s">
        <v>6759</v>
      </c>
    </row>
    <row r="17" spans="1:4">
      <c r="A17" s="16"/>
      <c r="D17" s="30"/>
    </row>
    <row r="18" spans="1:4" s="2" customFormat="1">
      <c r="A18" s="24"/>
      <c r="B18" s="25" t="s">
        <v>40</v>
      </c>
      <c r="C18" s="34">
        <f>SUM(C10:C17)</f>
        <v>12780838.040000001</v>
      </c>
      <c r="D18" s="31"/>
    </row>
    <row r="19" spans="1:4" s="2" customFormat="1">
      <c r="C19" s="9"/>
    </row>
    <row r="20" spans="1:4" s="2" customFormat="1">
      <c r="C20" s="9"/>
    </row>
    <row r="22" spans="1:4" ht="15">
      <c r="A22" s="52" t="s">
        <v>76</v>
      </c>
      <c r="B22" s="53"/>
      <c r="C22" s="62"/>
      <c r="D22" s="54"/>
    </row>
    <row r="23" spans="1:4">
      <c r="A23" s="28"/>
      <c r="B23" s="8"/>
      <c r="C23" s="63"/>
      <c r="D23" s="29"/>
    </row>
    <row r="24" spans="1:4" s="7" customFormat="1">
      <c r="A24" s="79" t="s">
        <v>176</v>
      </c>
      <c r="B24" s="7" t="s">
        <v>44</v>
      </c>
      <c r="C24" s="549">
        <v>1875881.67</v>
      </c>
      <c r="D24" s="86" t="s">
        <v>1797</v>
      </c>
    </row>
    <row r="25" spans="1:4" s="7" customFormat="1">
      <c r="A25" s="79" t="s">
        <v>177</v>
      </c>
      <c r="B25" s="7" t="s">
        <v>90</v>
      </c>
      <c r="C25" s="64">
        <v>89999951.799999997</v>
      </c>
      <c r="D25" s="86" t="s">
        <v>1797</v>
      </c>
    </row>
    <row r="26" spans="1:4" s="7" customFormat="1">
      <c r="A26" s="79" t="s">
        <v>178</v>
      </c>
      <c r="B26" s="73" t="s">
        <v>96</v>
      </c>
      <c r="C26" s="64">
        <v>80000178.659999996</v>
      </c>
      <c r="D26" s="86" t="s">
        <v>1797</v>
      </c>
    </row>
    <row r="27" spans="1:4" s="7" customFormat="1">
      <c r="A27" s="32"/>
      <c r="C27" s="64"/>
      <c r="D27" s="30"/>
    </row>
    <row r="28" spans="1:4" s="2" customFormat="1">
      <c r="A28" s="24"/>
      <c r="B28" s="25" t="s">
        <v>45</v>
      </c>
      <c r="C28" s="65">
        <f>SUM(C24:C27)</f>
        <v>171876012.13</v>
      </c>
      <c r="D28" s="31"/>
    </row>
    <row r="29" spans="1:4" s="2" customFormat="1">
      <c r="C29" s="11"/>
    </row>
    <row r="30" spans="1:4" s="2" customFormat="1">
      <c r="C30" s="11"/>
    </row>
    <row r="31" spans="1:4" s="2" customFormat="1">
      <c r="C31" s="11"/>
    </row>
    <row r="32" spans="1:4" ht="15">
      <c r="A32" s="52" t="s">
        <v>179</v>
      </c>
      <c r="B32" s="53"/>
      <c r="C32" s="62"/>
      <c r="D32" s="54"/>
    </row>
    <row r="33" spans="1:4">
      <c r="A33" s="28"/>
      <c r="B33" s="8"/>
      <c r="C33" s="63"/>
      <c r="D33" s="29"/>
    </row>
    <row r="34" spans="1:4" s="7" customFormat="1">
      <c r="A34" s="79">
        <v>1221</v>
      </c>
      <c r="B34" s="73" t="s">
        <v>3299</v>
      </c>
      <c r="C34" s="64"/>
      <c r="D34" s="86"/>
    </row>
    <row r="35" spans="1:4" s="7" customFormat="1">
      <c r="A35" s="32"/>
      <c r="C35" s="64"/>
      <c r="D35" s="30"/>
    </row>
    <row r="36" spans="1:4" s="2" customFormat="1">
      <c r="A36" s="24"/>
      <c r="B36" s="25" t="s">
        <v>203</v>
      </c>
      <c r="C36" s="65">
        <f>SUM(C34:C35)</f>
        <v>0</v>
      </c>
      <c r="D36" s="31"/>
    </row>
    <row r="37" spans="1:4" s="2" customFormat="1">
      <c r="C37" s="11"/>
    </row>
    <row r="38" spans="1:4" s="2" customFormat="1">
      <c r="C38" s="11"/>
    </row>
    <row r="39" spans="1:4" s="7" customFormat="1" ht="15">
      <c r="A39" s="52" t="s">
        <v>65</v>
      </c>
      <c r="B39" s="53"/>
      <c r="C39" s="62"/>
      <c r="D39" s="54"/>
    </row>
    <row r="40" spans="1:4" s="7" customFormat="1" ht="12.75" customHeight="1">
      <c r="A40" s="79" t="s">
        <v>1541</v>
      </c>
      <c r="B40" s="73" t="s">
        <v>6490</v>
      </c>
      <c r="C40" s="6">
        <v>9699.2000000000007</v>
      </c>
      <c r="D40" s="1358" t="s">
        <v>5815</v>
      </c>
    </row>
    <row r="41" spans="1:4" s="7" customFormat="1" ht="12.75" customHeight="1">
      <c r="A41" s="79" t="s">
        <v>5511</v>
      </c>
      <c r="B41" s="73" t="s">
        <v>5814</v>
      </c>
      <c r="C41" s="6">
        <v>15298.07</v>
      </c>
      <c r="D41" s="1358" t="s">
        <v>5815</v>
      </c>
    </row>
    <row r="42" spans="1:4" s="7" customFormat="1">
      <c r="A42" s="16"/>
      <c r="B42"/>
      <c r="C42" s="6"/>
      <c r="D42" s="33"/>
    </row>
    <row r="43" spans="1:4" s="7" customFormat="1">
      <c r="A43" s="24"/>
      <c r="B43" s="25" t="s">
        <v>180</v>
      </c>
      <c r="C43" s="66">
        <f>SUM(C40:C42)</f>
        <v>24997.27</v>
      </c>
      <c r="D43" s="27"/>
    </row>
    <row r="44" spans="1:4" s="7" customFormat="1">
      <c r="A44" s="2"/>
      <c r="B44" s="2"/>
      <c r="C44" s="43"/>
      <c r="D44" s="15"/>
    </row>
    <row r="45" spans="1:4" s="7" customFormat="1">
      <c r="C45" s="14"/>
    </row>
    <row r="46" spans="1:4" ht="15">
      <c r="A46" s="52" t="s">
        <v>46</v>
      </c>
      <c r="B46" s="53"/>
      <c r="C46" s="62"/>
      <c r="D46" s="54"/>
    </row>
    <row r="47" spans="1:4">
      <c r="A47" s="79" t="s">
        <v>6491</v>
      </c>
      <c r="B47" s="73" t="s">
        <v>6492</v>
      </c>
      <c r="C47" s="6">
        <v>8604.6</v>
      </c>
      <c r="D47" s="86" t="s">
        <v>6493</v>
      </c>
    </row>
    <row r="48" spans="1:4">
      <c r="A48" s="79"/>
      <c r="B48" s="73"/>
      <c r="D48" s="86"/>
    </row>
    <row r="49" spans="1:4">
      <c r="A49" s="16"/>
      <c r="D49" s="33"/>
    </row>
    <row r="50" spans="1:4" s="2" customFormat="1">
      <c r="A50" s="24"/>
      <c r="B50" s="25" t="s">
        <v>7</v>
      </c>
      <c r="C50" s="66">
        <f>SUM(C47:C49)</f>
        <v>8604.6</v>
      </c>
      <c r="D50" s="27"/>
    </row>
    <row r="51" spans="1:4" s="2" customFormat="1">
      <c r="C51" s="43"/>
      <c r="D51" s="15"/>
    </row>
    <row r="52" spans="1:4" s="2" customFormat="1">
      <c r="C52" s="43"/>
      <c r="D52" s="15"/>
    </row>
    <row r="53" spans="1:4" ht="15">
      <c r="A53" s="52" t="s">
        <v>206</v>
      </c>
      <c r="B53" s="55"/>
      <c r="C53" s="67"/>
      <c r="D53" s="56"/>
    </row>
    <row r="54" spans="1:4">
      <c r="A54" s="79">
        <v>1125</v>
      </c>
      <c r="B54" s="73" t="s">
        <v>3299</v>
      </c>
      <c r="C54" s="14"/>
      <c r="D54" s="86"/>
    </row>
    <row r="55" spans="1:4">
      <c r="A55" s="79"/>
      <c r="B55" s="73"/>
      <c r="C55" s="14"/>
      <c r="D55" s="86"/>
    </row>
    <row r="56" spans="1:4">
      <c r="A56" s="79"/>
      <c r="B56" s="73"/>
      <c r="C56" s="14"/>
      <c r="D56" s="86"/>
    </row>
    <row r="57" spans="1:4">
      <c r="A57" s="79"/>
      <c r="B57" s="73"/>
      <c r="C57" s="14"/>
      <c r="D57" s="86"/>
    </row>
    <row r="58" spans="1:4">
      <c r="A58" s="32"/>
      <c r="B58" s="7"/>
      <c r="C58" s="14"/>
      <c r="D58" s="30"/>
    </row>
    <row r="59" spans="1:4">
      <c r="A59" s="24"/>
      <c r="B59" s="25" t="s">
        <v>207</v>
      </c>
      <c r="C59" s="34">
        <f>SUM(C54:C58)</f>
        <v>0</v>
      </c>
      <c r="D59" s="31"/>
    </row>
    <row r="60" spans="1:4">
      <c r="A60" s="2"/>
      <c r="B60" s="2"/>
      <c r="C60" s="9"/>
      <c r="D60" s="2"/>
    </row>
    <row r="62" spans="1:4">
      <c r="A62" s="2"/>
      <c r="B62" s="2"/>
      <c r="C62" s="9"/>
      <c r="D62" s="2"/>
    </row>
  </sheetData>
  <mergeCells count="3">
    <mergeCell ref="A3:D3"/>
    <mergeCell ref="A4:D4"/>
    <mergeCell ref="A2:D2"/>
  </mergeCells>
  <phoneticPr fontId="14" type="noConversion"/>
  <pageMargins left="0.59055118110236227" right="0.23622047244094491" top="0.45" bottom="0.19685039370078741" header="0" footer="0"/>
  <pageSetup scale="75" orientation="portrait" horizontalDpi="1200" verticalDpi="12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8E581F-51A7-4729-BA11-99705D410DA1}">
  <dimension ref="A1:AL1825"/>
  <sheetViews>
    <sheetView workbookViewId="0">
      <selection activeCell="P11" sqref="P11:R11"/>
    </sheetView>
  </sheetViews>
  <sheetFormatPr baseColWidth="10" defaultColWidth="8" defaultRowHeight="12.75"/>
  <cols>
    <col min="1" max="4" width="1.28515625" customWidth="1"/>
    <col min="5" max="5" width="5.42578125" customWidth="1"/>
    <col min="6" max="6" width="1.28515625" customWidth="1"/>
    <col min="7" max="7" width="1.85546875" customWidth="1"/>
    <col min="8" max="8" width="9.42578125" customWidth="1"/>
    <col min="9" max="9" width="0.85546875" customWidth="1"/>
    <col min="10" max="10" width="8.140625" customWidth="1"/>
    <col min="11" max="11" width="25.7109375" customWidth="1"/>
    <col min="12" max="12" width="8.140625" customWidth="1"/>
    <col min="13" max="14" width="1.28515625" customWidth="1"/>
    <col min="15" max="15" width="9.42578125" customWidth="1"/>
    <col min="16" max="16" width="1.28515625" customWidth="1"/>
    <col min="17" max="17" width="8.140625" customWidth="1"/>
    <col min="18" max="18" width="2.7109375" customWidth="1"/>
    <col min="19" max="21" width="1.28515625" customWidth="1"/>
    <col min="22" max="22" width="8.140625" customWidth="1"/>
    <col min="23" max="23" width="1.28515625" customWidth="1"/>
    <col min="24" max="24" width="6.7109375" customWidth="1"/>
    <col min="25" max="25" width="2.7109375" customWidth="1"/>
    <col min="26" max="29" width="1.28515625" customWidth="1"/>
    <col min="30" max="30" width="5.42578125" customWidth="1"/>
    <col min="31" max="33" width="1.28515625" customWidth="1"/>
    <col min="34" max="34" width="5.42578125" customWidth="1"/>
    <col min="35" max="35" width="2.7109375" customWidth="1"/>
    <col min="36" max="37" width="1.28515625" customWidth="1"/>
    <col min="38" max="38" width="1" customWidth="1"/>
  </cols>
  <sheetData>
    <row r="1" spans="1:38" ht="15.75" customHeight="1">
      <c r="D1" s="1578" t="s">
        <v>2992</v>
      </c>
      <c r="E1" s="1578"/>
      <c r="F1" s="1578"/>
      <c r="G1" s="1578"/>
      <c r="H1" s="1578"/>
      <c r="I1" s="1578"/>
      <c r="J1" s="1578"/>
      <c r="K1" s="1578"/>
      <c r="L1" s="1578"/>
      <c r="M1" s="1578"/>
      <c r="N1" s="1578"/>
      <c r="O1" s="1578"/>
      <c r="P1" s="1578"/>
      <c r="Q1" s="1578"/>
      <c r="R1" s="1578"/>
      <c r="S1" s="1578"/>
      <c r="T1" s="1578"/>
      <c r="U1" s="1578"/>
      <c r="V1" s="1578"/>
      <c r="W1" s="1578"/>
      <c r="X1" s="1578"/>
      <c r="Y1" s="1578"/>
      <c r="Z1" s="1578"/>
      <c r="AA1" s="1578"/>
      <c r="AB1" s="1578"/>
      <c r="AC1" s="1578"/>
      <c r="AD1" s="1578"/>
      <c r="AE1" s="1578"/>
      <c r="AF1" s="1578"/>
      <c r="AG1" s="1578"/>
      <c r="AH1" s="1578"/>
    </row>
    <row r="2" spans="1:38" ht="9.6" customHeight="1">
      <c r="A2" s="1579"/>
      <c r="B2" s="1579"/>
      <c r="C2" s="1579"/>
      <c r="D2" s="1579"/>
      <c r="E2" s="1579"/>
      <c r="F2" s="1579"/>
      <c r="G2" s="1579"/>
      <c r="H2" s="1579"/>
      <c r="I2" s="1579"/>
      <c r="J2" s="1578"/>
      <c r="K2" s="1578"/>
      <c r="L2" s="1578"/>
      <c r="M2" s="1578"/>
      <c r="N2" s="1578"/>
      <c r="O2" s="1578"/>
      <c r="P2" s="1578"/>
      <c r="Q2" s="1578"/>
      <c r="R2" s="1578"/>
      <c r="S2" s="1578"/>
      <c r="T2" s="1578"/>
      <c r="U2" s="1578"/>
      <c r="V2" s="1578"/>
      <c r="W2" s="1578"/>
      <c r="X2" s="1578"/>
      <c r="Y2" s="1578"/>
      <c r="Z2" s="1578"/>
      <c r="AA2" s="1578"/>
      <c r="AB2" s="1578"/>
      <c r="AC2" s="1578"/>
      <c r="AD2" s="1578"/>
      <c r="AE2" s="1578"/>
      <c r="AF2" s="1578"/>
      <c r="AG2" s="1578"/>
      <c r="AH2" s="1578"/>
    </row>
    <row r="3" spans="1:38" ht="13.35" customHeight="1">
      <c r="A3" s="1579"/>
      <c r="B3" s="1579"/>
      <c r="C3" s="1579"/>
      <c r="D3" s="1579"/>
      <c r="E3" s="1579"/>
      <c r="F3" s="1579"/>
      <c r="G3" s="1579"/>
      <c r="H3" s="1579"/>
      <c r="I3" s="1579"/>
      <c r="J3" s="1580" t="s">
        <v>79</v>
      </c>
      <c r="K3" s="1580"/>
      <c r="L3" s="1580"/>
      <c r="M3" s="1580"/>
      <c r="N3" s="1580"/>
      <c r="O3" s="1580"/>
      <c r="P3" s="1580"/>
      <c r="Q3" s="1580"/>
      <c r="R3" s="1580"/>
      <c r="S3" s="1580"/>
      <c r="T3" s="1580"/>
      <c r="U3" s="1580"/>
      <c r="V3" s="1580"/>
      <c r="W3" s="1580"/>
      <c r="X3" s="1580"/>
      <c r="Y3" s="1580"/>
      <c r="Z3" s="1580"/>
      <c r="AA3" s="1580"/>
      <c r="AB3" s="1580"/>
      <c r="AC3" s="1580"/>
      <c r="AD3" s="1580"/>
      <c r="AE3" s="1580"/>
      <c r="AF3" s="1580"/>
    </row>
    <row r="4" spans="1:38" ht="15.75" customHeight="1">
      <c r="A4" s="1579"/>
      <c r="B4" s="1579"/>
      <c r="C4" s="1579"/>
      <c r="D4" s="1579"/>
      <c r="E4" s="1579"/>
      <c r="F4" s="1579"/>
      <c r="G4" s="1579"/>
      <c r="H4" s="1579"/>
      <c r="I4" s="1579"/>
      <c r="J4" s="1573" t="s">
        <v>6760</v>
      </c>
      <c r="K4" s="1573"/>
      <c r="L4" s="1573"/>
      <c r="M4" s="1573"/>
      <c r="N4" s="1573"/>
      <c r="O4" s="1573"/>
      <c r="P4" s="1573"/>
      <c r="Q4" s="1573"/>
      <c r="R4" s="1573"/>
      <c r="S4" s="1573"/>
      <c r="T4" s="1573"/>
      <c r="U4" s="1573"/>
      <c r="V4" s="1573"/>
      <c r="W4" s="1573"/>
      <c r="X4" s="1573"/>
      <c r="Y4" s="1573"/>
      <c r="Z4" s="1573"/>
      <c r="AA4" s="1573"/>
      <c r="AB4" s="1573"/>
      <c r="AC4" s="1573"/>
      <c r="AD4" s="1573"/>
      <c r="AE4" s="1573"/>
    </row>
    <row r="5" spans="1:38" ht="8.1" customHeight="1">
      <c r="C5" s="1572" t="s">
        <v>1920</v>
      </c>
      <c r="D5" s="1572"/>
      <c r="E5" s="1572"/>
      <c r="F5" s="1572"/>
      <c r="G5" s="1572"/>
      <c r="H5" s="1572"/>
      <c r="I5" s="1572"/>
      <c r="J5" s="1572"/>
      <c r="K5" s="1573"/>
      <c r="L5" s="1573"/>
      <c r="M5" s="1573"/>
      <c r="N5" s="1573"/>
      <c r="O5" s="1573"/>
      <c r="P5" s="1573"/>
      <c r="Q5" s="1573"/>
      <c r="R5" s="1573"/>
      <c r="S5" s="1573"/>
      <c r="T5" s="1573"/>
      <c r="U5" s="1573"/>
      <c r="V5" s="1573"/>
      <c r="W5" s="1573"/>
      <c r="X5" s="1573"/>
      <c r="Y5" s="1574" t="s">
        <v>5920</v>
      </c>
      <c r="Z5" s="1574"/>
      <c r="AA5" s="1574"/>
      <c r="AB5" s="1574"/>
      <c r="AC5" s="1574"/>
      <c r="AD5" s="1574"/>
      <c r="AE5" s="1574"/>
      <c r="AF5" s="1574"/>
      <c r="AG5" s="1574"/>
      <c r="AH5" s="1575" t="s">
        <v>6761</v>
      </c>
      <c r="AI5" s="1575"/>
      <c r="AJ5" s="1575"/>
      <c r="AK5" s="1575"/>
      <c r="AL5" s="1575"/>
    </row>
    <row r="6" spans="1:38" ht="12.75" customHeight="1">
      <c r="C6" s="1572"/>
      <c r="D6" s="1572"/>
      <c r="E6" s="1572"/>
      <c r="F6" s="1572"/>
      <c r="G6" s="1572"/>
      <c r="H6" s="1572"/>
      <c r="I6" s="1572"/>
      <c r="J6" s="1572"/>
      <c r="K6" s="1576" t="s">
        <v>1999</v>
      </c>
      <c r="L6" s="1576"/>
      <c r="M6" s="1576"/>
      <c r="N6" s="1576"/>
      <c r="O6" s="1576"/>
      <c r="P6" s="1576"/>
      <c r="Q6" s="1576"/>
      <c r="R6" s="1576"/>
      <c r="S6" s="1576"/>
      <c r="T6" s="1576"/>
      <c r="U6" s="1576"/>
      <c r="V6" s="1576"/>
      <c r="W6" s="1576"/>
      <c r="X6" s="1576"/>
      <c r="Y6" s="1574"/>
      <c r="Z6" s="1574"/>
      <c r="AA6" s="1574"/>
      <c r="AB6" s="1574"/>
      <c r="AC6" s="1574"/>
      <c r="AD6" s="1574"/>
      <c r="AE6" s="1574"/>
      <c r="AF6" s="1574"/>
      <c r="AG6" s="1574"/>
      <c r="AH6" s="1575"/>
      <c r="AI6" s="1575"/>
      <c r="AJ6" s="1575"/>
      <c r="AK6" s="1575"/>
      <c r="AL6" s="1575"/>
    </row>
    <row r="7" spans="1:38" ht="7.35" customHeight="1">
      <c r="C7" s="1572" t="s">
        <v>1998</v>
      </c>
      <c r="D7" s="1572"/>
      <c r="E7" s="1572"/>
      <c r="F7" s="1572"/>
      <c r="G7" s="1577"/>
      <c r="H7" s="1577"/>
      <c r="I7" s="1577"/>
      <c r="J7" s="1577"/>
      <c r="K7" s="1577"/>
      <c r="L7" s="1577"/>
      <c r="M7" s="1577"/>
      <c r="N7" s="1577"/>
      <c r="O7" s="1577"/>
      <c r="P7" s="1577"/>
      <c r="Q7" s="1577"/>
      <c r="R7" s="1577"/>
      <c r="S7" s="1577"/>
      <c r="T7" s="1577"/>
      <c r="U7" s="1577"/>
      <c r="V7" s="1577"/>
      <c r="W7" s="1577"/>
      <c r="X7" s="1577"/>
      <c r="Y7" s="1577"/>
      <c r="Z7" s="1577"/>
      <c r="AA7" s="1577"/>
      <c r="AB7" s="1577"/>
      <c r="AC7" s="1577"/>
      <c r="AD7" s="1577"/>
      <c r="AE7" s="1577"/>
      <c r="AF7" s="1574"/>
      <c r="AG7" s="1574"/>
      <c r="AH7" s="1574" t="s">
        <v>6762</v>
      </c>
      <c r="AI7" s="1574"/>
    </row>
    <row r="8" spans="1:38" ht="6.75" customHeight="1">
      <c r="G8" s="1577"/>
      <c r="H8" s="1577"/>
      <c r="I8" s="1577"/>
      <c r="J8" s="1577"/>
      <c r="K8" s="1577"/>
      <c r="L8" s="1577"/>
      <c r="M8" s="1577"/>
      <c r="N8" s="1577"/>
      <c r="O8" s="1577"/>
      <c r="P8" s="1577"/>
      <c r="Q8" s="1577"/>
      <c r="R8" s="1577"/>
      <c r="S8" s="1577"/>
      <c r="T8" s="1577"/>
      <c r="U8" s="1577"/>
      <c r="V8" s="1577"/>
      <c r="W8" s="1577"/>
      <c r="X8" s="1577"/>
      <c r="Y8" s="1577"/>
      <c r="Z8" s="1577"/>
      <c r="AA8" s="1577"/>
      <c r="AB8" s="1577"/>
      <c r="AC8" s="1577"/>
      <c r="AD8" s="1577"/>
      <c r="AE8" s="1577"/>
      <c r="AF8" s="1574"/>
      <c r="AG8" s="1574"/>
      <c r="AH8" s="1574"/>
      <c r="AI8" s="1574"/>
    </row>
    <row r="9" spans="1:38" ht="11.25" customHeight="1">
      <c r="O9" s="1570" t="s">
        <v>1318</v>
      </c>
      <c r="P9" s="1570"/>
      <c r="Q9" s="1570"/>
      <c r="V9" s="1570" t="s">
        <v>1319</v>
      </c>
      <c r="W9" s="1570"/>
      <c r="X9" s="1570"/>
      <c r="Y9" s="1570"/>
      <c r="AD9" s="1570" t="s">
        <v>1320</v>
      </c>
      <c r="AE9" s="1570"/>
      <c r="AF9" s="1570"/>
      <c r="AG9" s="1570"/>
      <c r="AH9" s="1570"/>
      <c r="AI9" s="1570"/>
      <c r="AJ9" s="1570"/>
    </row>
    <row r="10" spans="1:38" ht="8.4499999999999993" customHeight="1">
      <c r="B10" s="1571" t="s">
        <v>1321</v>
      </c>
      <c r="C10" s="1571"/>
      <c r="D10" s="1571"/>
      <c r="E10" s="1571" t="s">
        <v>1322</v>
      </c>
      <c r="F10" s="1571"/>
      <c r="G10" s="1571"/>
      <c r="J10" s="1571" t="s">
        <v>1323</v>
      </c>
      <c r="K10" s="1571"/>
      <c r="L10" s="1571"/>
      <c r="M10" s="1571"/>
      <c r="N10" s="1571"/>
      <c r="O10" s="1402" t="s">
        <v>1324</v>
      </c>
      <c r="Q10" s="1569" t="s">
        <v>1325</v>
      </c>
      <c r="R10" s="1569"/>
      <c r="U10" s="1569" t="s">
        <v>1324</v>
      </c>
      <c r="V10" s="1569"/>
      <c r="X10" s="1569" t="s">
        <v>1325</v>
      </c>
      <c r="Y10" s="1569"/>
      <c r="Z10" s="1569"/>
      <c r="AC10" s="1569" t="s">
        <v>1324</v>
      </c>
      <c r="AD10" s="1569"/>
      <c r="AE10" s="1569"/>
      <c r="AF10" s="1569"/>
      <c r="AH10" s="1569" t="s">
        <v>1325</v>
      </c>
      <c r="AI10" s="1569"/>
      <c r="AJ10" s="1569"/>
      <c r="AK10" s="1569"/>
    </row>
    <row r="11" spans="1:38" ht="9.9499999999999993" customHeight="1">
      <c r="B11" s="1568" t="s">
        <v>1326</v>
      </c>
      <c r="C11" s="1568"/>
      <c r="D11" s="1568"/>
      <c r="E11" s="1568" t="s">
        <v>1922</v>
      </c>
      <c r="F11" s="1568"/>
      <c r="G11" s="1568"/>
      <c r="H11" s="1568"/>
      <c r="J11" s="1568" t="s">
        <v>1022</v>
      </c>
      <c r="K11" s="1568"/>
      <c r="L11" s="1568"/>
      <c r="M11" s="1566">
        <v>1166141937.54</v>
      </c>
      <c r="N11" s="1566"/>
      <c r="O11" s="1566"/>
      <c r="P11" s="1566">
        <v>0</v>
      </c>
      <c r="Q11" s="1566"/>
      <c r="R11" s="1566"/>
      <c r="S11" s="1566">
        <v>791820418.77999997</v>
      </c>
      <c r="T11" s="1566"/>
      <c r="U11" s="1566"/>
      <c r="V11" s="1566"/>
      <c r="W11" s="1566">
        <v>787858857.98000002</v>
      </c>
      <c r="X11" s="1566"/>
      <c r="Y11" s="1566"/>
      <c r="Z11" s="1566"/>
      <c r="AA11" s="1566">
        <v>1170103498.3399999</v>
      </c>
      <c r="AB11" s="1566"/>
      <c r="AC11" s="1566"/>
      <c r="AD11" s="1566"/>
      <c r="AE11" s="1566"/>
      <c r="AF11" s="1566"/>
      <c r="AG11" s="1566">
        <v>0</v>
      </c>
      <c r="AH11" s="1566"/>
      <c r="AI11" s="1566"/>
      <c r="AJ11" s="1566"/>
      <c r="AK11" s="1566"/>
    </row>
    <row r="12" spans="1:38" ht="9.4" customHeight="1">
      <c r="B12" s="1568" t="s">
        <v>1326</v>
      </c>
      <c r="C12" s="1568"/>
      <c r="D12" s="1568"/>
      <c r="E12" s="1568" t="s">
        <v>1923</v>
      </c>
      <c r="F12" s="1568"/>
      <c r="G12" s="1568"/>
      <c r="H12" s="1568"/>
      <c r="J12" s="1568" t="s">
        <v>1010</v>
      </c>
      <c r="K12" s="1568"/>
      <c r="L12" s="1568"/>
      <c r="M12" s="1566">
        <v>208720370.19999999</v>
      </c>
      <c r="N12" s="1566"/>
      <c r="O12" s="1566"/>
      <c r="P12" s="1566">
        <v>0</v>
      </c>
      <c r="Q12" s="1566"/>
      <c r="R12" s="1566"/>
      <c r="S12" s="1566">
        <v>782760976.94000006</v>
      </c>
      <c r="T12" s="1566"/>
      <c r="U12" s="1566"/>
      <c r="V12" s="1566"/>
      <c r="W12" s="1566">
        <v>787517677.27999997</v>
      </c>
      <c r="X12" s="1566"/>
      <c r="Y12" s="1566"/>
      <c r="Z12" s="1566"/>
      <c r="AA12" s="1566">
        <v>203963669.86000001</v>
      </c>
      <c r="AB12" s="1566"/>
      <c r="AC12" s="1566"/>
      <c r="AD12" s="1566"/>
      <c r="AE12" s="1566"/>
      <c r="AF12" s="1566"/>
      <c r="AG12" s="1566">
        <v>0</v>
      </c>
      <c r="AH12" s="1566"/>
      <c r="AI12" s="1566"/>
      <c r="AJ12" s="1566"/>
      <c r="AK12" s="1566"/>
    </row>
    <row r="13" spans="1:38" ht="9.4" customHeight="1">
      <c r="B13" s="1568" t="s">
        <v>1326</v>
      </c>
      <c r="C13" s="1568"/>
      <c r="D13" s="1568"/>
      <c r="E13" s="1568" t="s">
        <v>1924</v>
      </c>
      <c r="F13" s="1568"/>
      <c r="G13" s="1568"/>
      <c r="H13" s="1568"/>
      <c r="J13" s="1568" t="s">
        <v>1009</v>
      </c>
      <c r="K13" s="1568"/>
      <c r="L13" s="1568"/>
      <c r="M13" s="1566">
        <v>188066986</v>
      </c>
      <c r="N13" s="1566"/>
      <c r="O13" s="1566"/>
      <c r="P13" s="1566">
        <v>0</v>
      </c>
      <c r="Q13" s="1566"/>
      <c r="R13" s="1566"/>
      <c r="S13" s="1566">
        <v>763017663.92999995</v>
      </c>
      <c r="T13" s="1566"/>
      <c r="U13" s="1566"/>
      <c r="V13" s="1566"/>
      <c r="W13" s="1566">
        <v>766416799.44000006</v>
      </c>
      <c r="X13" s="1566"/>
      <c r="Y13" s="1566"/>
      <c r="Z13" s="1566"/>
      <c r="AA13" s="1566">
        <v>184667850.49000001</v>
      </c>
      <c r="AB13" s="1566"/>
      <c r="AC13" s="1566"/>
      <c r="AD13" s="1566"/>
      <c r="AE13" s="1566"/>
      <c r="AF13" s="1566"/>
      <c r="AG13" s="1566">
        <v>0</v>
      </c>
      <c r="AH13" s="1566"/>
      <c r="AI13" s="1566"/>
      <c r="AJ13" s="1566"/>
      <c r="AK13" s="1566"/>
    </row>
    <row r="14" spans="1:38" ht="9.4" customHeight="1">
      <c r="B14" s="1568" t="s">
        <v>1326</v>
      </c>
      <c r="C14" s="1568"/>
      <c r="D14" s="1568"/>
      <c r="E14" s="1568" t="s">
        <v>1327</v>
      </c>
      <c r="F14" s="1568"/>
      <c r="G14" s="1568"/>
      <c r="H14" s="1568"/>
      <c r="J14" s="1568" t="s">
        <v>187</v>
      </c>
      <c r="K14" s="1568"/>
      <c r="L14" s="1568"/>
      <c r="M14" s="1566">
        <v>11000</v>
      </c>
      <c r="N14" s="1566"/>
      <c r="O14" s="1566"/>
      <c r="P14" s="1566">
        <v>0</v>
      </c>
      <c r="Q14" s="1566"/>
      <c r="R14" s="1566"/>
      <c r="S14" s="1566">
        <v>0</v>
      </c>
      <c r="T14" s="1566"/>
      <c r="U14" s="1566"/>
      <c r="V14" s="1566"/>
      <c r="W14" s="1566">
        <v>0</v>
      </c>
      <c r="X14" s="1566"/>
      <c r="Y14" s="1566"/>
      <c r="Z14" s="1566"/>
      <c r="AA14" s="1566">
        <v>11000</v>
      </c>
      <c r="AB14" s="1566"/>
      <c r="AC14" s="1566"/>
      <c r="AD14" s="1566"/>
      <c r="AE14" s="1566"/>
      <c r="AF14" s="1566"/>
      <c r="AG14" s="1566">
        <v>0</v>
      </c>
      <c r="AH14" s="1566"/>
      <c r="AI14" s="1566"/>
      <c r="AJ14" s="1566"/>
      <c r="AK14" s="1566"/>
    </row>
    <row r="15" spans="1:38" ht="9.4" customHeight="1">
      <c r="B15" s="1568" t="s">
        <v>1326</v>
      </c>
      <c r="C15" s="1568"/>
      <c r="D15" s="1568"/>
      <c r="E15" s="1568" t="s">
        <v>1328</v>
      </c>
      <c r="F15" s="1568"/>
      <c r="G15" s="1568"/>
      <c r="H15" s="1568"/>
      <c r="J15" s="1568" t="s">
        <v>1925</v>
      </c>
      <c r="K15" s="1568"/>
      <c r="L15" s="1568"/>
      <c r="M15" s="1566">
        <v>5000</v>
      </c>
      <c r="N15" s="1566"/>
      <c r="O15" s="1566"/>
      <c r="P15" s="1566">
        <v>0</v>
      </c>
      <c r="Q15" s="1566"/>
      <c r="R15" s="1566"/>
      <c r="S15" s="1566">
        <v>0</v>
      </c>
      <c r="T15" s="1566"/>
      <c r="U15" s="1566"/>
      <c r="V15" s="1566"/>
      <c r="W15" s="1566">
        <v>0</v>
      </c>
      <c r="X15" s="1566"/>
      <c r="Y15" s="1566"/>
      <c r="Z15" s="1566"/>
      <c r="AA15" s="1566">
        <v>5000</v>
      </c>
      <c r="AB15" s="1566"/>
      <c r="AC15" s="1566"/>
      <c r="AD15" s="1566"/>
      <c r="AE15" s="1566"/>
      <c r="AF15" s="1566"/>
      <c r="AG15" s="1566">
        <v>0</v>
      </c>
      <c r="AH15" s="1566"/>
      <c r="AI15" s="1566"/>
      <c r="AJ15" s="1566"/>
      <c r="AK15" s="1566"/>
    </row>
    <row r="16" spans="1:38" ht="9.4" customHeight="1">
      <c r="B16" s="1568" t="s">
        <v>1326</v>
      </c>
      <c r="C16" s="1568"/>
      <c r="D16" s="1568"/>
      <c r="E16" s="1568" t="s">
        <v>1329</v>
      </c>
      <c r="F16" s="1568"/>
      <c r="G16" s="1568"/>
      <c r="H16" s="1568"/>
      <c r="J16" s="1568" t="s">
        <v>1926</v>
      </c>
      <c r="K16" s="1568"/>
      <c r="L16" s="1568"/>
      <c r="M16" s="1566">
        <v>6000</v>
      </c>
      <c r="N16" s="1566"/>
      <c r="O16" s="1566"/>
      <c r="P16" s="1566">
        <v>0</v>
      </c>
      <c r="Q16" s="1566"/>
      <c r="R16" s="1566"/>
      <c r="S16" s="1566">
        <v>0</v>
      </c>
      <c r="T16" s="1566"/>
      <c r="U16" s="1566"/>
      <c r="V16" s="1566"/>
      <c r="W16" s="1566">
        <v>0</v>
      </c>
      <c r="X16" s="1566"/>
      <c r="Y16" s="1566"/>
      <c r="Z16" s="1566"/>
      <c r="AA16" s="1566">
        <v>6000</v>
      </c>
      <c r="AB16" s="1566"/>
      <c r="AC16" s="1566"/>
      <c r="AD16" s="1566"/>
      <c r="AE16" s="1566"/>
      <c r="AF16" s="1566"/>
      <c r="AG16" s="1566">
        <v>0</v>
      </c>
      <c r="AH16" s="1566"/>
      <c r="AI16" s="1566"/>
      <c r="AJ16" s="1566"/>
      <c r="AK16" s="1566"/>
    </row>
    <row r="17" spans="2:37" ht="9.4" customHeight="1">
      <c r="B17" s="1568" t="s">
        <v>1326</v>
      </c>
      <c r="C17" s="1568"/>
      <c r="D17" s="1568"/>
      <c r="E17" s="1568" t="s">
        <v>1330</v>
      </c>
      <c r="F17" s="1568"/>
      <c r="G17" s="1568"/>
      <c r="H17" s="1568"/>
      <c r="J17" s="1568" t="s">
        <v>1331</v>
      </c>
      <c r="K17" s="1568"/>
      <c r="L17" s="1568"/>
      <c r="M17" s="1566">
        <v>12183764.609999999</v>
      </c>
      <c r="N17" s="1566"/>
      <c r="O17" s="1566"/>
      <c r="P17" s="1566">
        <v>0</v>
      </c>
      <c r="Q17" s="1566"/>
      <c r="R17" s="1566"/>
      <c r="S17" s="1566">
        <v>392031978.49000001</v>
      </c>
      <c r="T17" s="1566"/>
      <c r="U17" s="1566"/>
      <c r="V17" s="1566"/>
      <c r="W17" s="1566">
        <v>391434904.74000001</v>
      </c>
      <c r="X17" s="1566"/>
      <c r="Y17" s="1566"/>
      <c r="Z17" s="1566"/>
      <c r="AA17" s="1566">
        <v>12780838.359999999</v>
      </c>
      <c r="AB17" s="1566"/>
      <c r="AC17" s="1566"/>
      <c r="AD17" s="1566"/>
      <c r="AE17" s="1566"/>
      <c r="AF17" s="1566"/>
      <c r="AG17" s="1566">
        <v>0</v>
      </c>
      <c r="AH17" s="1566"/>
      <c r="AI17" s="1566"/>
      <c r="AJ17" s="1566"/>
      <c r="AK17" s="1566"/>
    </row>
    <row r="18" spans="2:37" ht="9.4" customHeight="1">
      <c r="B18" s="1568" t="s">
        <v>1326</v>
      </c>
      <c r="C18" s="1568"/>
      <c r="D18" s="1568"/>
      <c r="E18" s="1568" t="s">
        <v>172</v>
      </c>
      <c r="F18" s="1568"/>
      <c r="G18" s="1568"/>
      <c r="H18" s="1568"/>
      <c r="J18" s="1568" t="s">
        <v>1927</v>
      </c>
      <c r="K18" s="1568"/>
      <c r="L18" s="1568"/>
      <c r="M18" s="1566">
        <v>857794.41</v>
      </c>
      <c r="N18" s="1566"/>
      <c r="O18" s="1566"/>
      <c r="P18" s="1566">
        <v>0</v>
      </c>
      <c r="Q18" s="1566"/>
      <c r="R18" s="1566"/>
      <c r="S18" s="1566">
        <v>37563806.5</v>
      </c>
      <c r="T18" s="1566"/>
      <c r="U18" s="1566"/>
      <c r="V18" s="1566"/>
      <c r="W18" s="1566">
        <v>37485738.100000001</v>
      </c>
      <c r="X18" s="1566"/>
      <c r="Y18" s="1566"/>
      <c r="Z18" s="1566"/>
      <c r="AA18" s="1566">
        <v>935862.81</v>
      </c>
      <c r="AB18" s="1566"/>
      <c r="AC18" s="1566"/>
      <c r="AD18" s="1566"/>
      <c r="AE18" s="1566"/>
      <c r="AF18" s="1566"/>
      <c r="AG18" s="1566">
        <v>0</v>
      </c>
      <c r="AH18" s="1566"/>
      <c r="AI18" s="1566"/>
      <c r="AJ18" s="1566"/>
      <c r="AK18" s="1566"/>
    </row>
    <row r="19" spans="2:37" ht="9.4" customHeight="1">
      <c r="B19" s="1568" t="s">
        <v>1326</v>
      </c>
      <c r="C19" s="1568"/>
      <c r="D19" s="1568"/>
      <c r="E19" s="1568" t="s">
        <v>173</v>
      </c>
      <c r="F19" s="1568"/>
      <c r="G19" s="1568"/>
      <c r="H19" s="1568"/>
      <c r="J19" s="1568" t="s">
        <v>1928</v>
      </c>
      <c r="K19" s="1568"/>
      <c r="L19" s="1568"/>
      <c r="M19" s="1566">
        <v>6746897.2699999996</v>
      </c>
      <c r="N19" s="1566"/>
      <c r="O19" s="1566"/>
      <c r="P19" s="1566">
        <v>0</v>
      </c>
      <c r="Q19" s="1566"/>
      <c r="R19" s="1566"/>
      <c r="S19" s="1566">
        <v>217915680.12</v>
      </c>
      <c r="T19" s="1566"/>
      <c r="U19" s="1566"/>
      <c r="V19" s="1566"/>
      <c r="W19" s="1566">
        <v>222734513.52000001</v>
      </c>
      <c r="X19" s="1566"/>
      <c r="Y19" s="1566"/>
      <c r="Z19" s="1566"/>
      <c r="AA19" s="1566">
        <v>1928063.87</v>
      </c>
      <c r="AB19" s="1566"/>
      <c r="AC19" s="1566"/>
      <c r="AD19" s="1566"/>
      <c r="AE19" s="1566"/>
      <c r="AF19" s="1566"/>
      <c r="AG19" s="1566">
        <v>0</v>
      </c>
      <c r="AH19" s="1566"/>
      <c r="AI19" s="1566"/>
      <c r="AJ19" s="1566"/>
      <c r="AK19" s="1566"/>
    </row>
    <row r="20" spans="2:37" ht="9.4" customHeight="1">
      <c r="B20" s="1568" t="s">
        <v>1326</v>
      </c>
      <c r="C20" s="1568"/>
      <c r="D20" s="1568"/>
      <c r="E20" s="1568" t="s">
        <v>174</v>
      </c>
      <c r="F20" s="1568"/>
      <c r="G20" s="1568"/>
      <c r="H20" s="1568"/>
      <c r="J20" s="1568" t="s">
        <v>1929</v>
      </c>
      <c r="K20" s="1568"/>
      <c r="L20" s="1568"/>
      <c r="M20" s="1566">
        <v>3333800.31</v>
      </c>
      <c r="N20" s="1566"/>
      <c r="O20" s="1566"/>
      <c r="P20" s="1566">
        <v>0</v>
      </c>
      <c r="Q20" s="1566"/>
      <c r="R20" s="1566"/>
      <c r="S20" s="1566">
        <v>129432737.3</v>
      </c>
      <c r="T20" s="1566"/>
      <c r="U20" s="1566"/>
      <c r="V20" s="1566"/>
      <c r="W20" s="1566">
        <v>131185616.34</v>
      </c>
      <c r="X20" s="1566"/>
      <c r="Y20" s="1566"/>
      <c r="Z20" s="1566"/>
      <c r="AA20" s="1566">
        <v>1580921.27</v>
      </c>
      <c r="AB20" s="1566"/>
      <c r="AC20" s="1566"/>
      <c r="AD20" s="1566"/>
      <c r="AE20" s="1566"/>
      <c r="AF20" s="1566"/>
      <c r="AG20" s="1566">
        <v>0</v>
      </c>
      <c r="AH20" s="1566"/>
      <c r="AI20" s="1566"/>
      <c r="AJ20" s="1566"/>
      <c r="AK20" s="1566"/>
    </row>
    <row r="21" spans="2:37" ht="9.4" customHeight="1">
      <c r="B21" s="1568" t="s">
        <v>1326</v>
      </c>
      <c r="C21" s="1568"/>
      <c r="D21" s="1568"/>
      <c r="E21" s="1568" t="s">
        <v>175</v>
      </c>
      <c r="F21" s="1568"/>
      <c r="G21" s="1568"/>
      <c r="H21" s="1568"/>
      <c r="J21" s="1568" t="s">
        <v>1930</v>
      </c>
      <c r="K21" s="1568"/>
      <c r="L21" s="1568"/>
      <c r="M21" s="1566">
        <v>57532.75</v>
      </c>
      <c r="N21" s="1566"/>
      <c r="O21" s="1566"/>
      <c r="P21" s="1566">
        <v>0</v>
      </c>
      <c r="Q21" s="1566"/>
      <c r="R21" s="1566"/>
      <c r="S21" s="1566">
        <v>0</v>
      </c>
      <c r="T21" s="1566"/>
      <c r="U21" s="1566"/>
      <c r="V21" s="1566"/>
      <c r="W21" s="1566">
        <v>0</v>
      </c>
      <c r="X21" s="1566"/>
      <c r="Y21" s="1566"/>
      <c r="Z21" s="1566"/>
      <c r="AA21" s="1566">
        <v>57532.75</v>
      </c>
      <c r="AB21" s="1566"/>
      <c r="AC21" s="1566"/>
      <c r="AD21" s="1566"/>
      <c r="AE21" s="1566"/>
      <c r="AF21" s="1566"/>
      <c r="AG21" s="1566">
        <v>0</v>
      </c>
      <c r="AH21" s="1566"/>
      <c r="AI21" s="1566"/>
      <c r="AJ21" s="1566"/>
      <c r="AK21" s="1566"/>
    </row>
    <row r="22" spans="2:37" ht="9.4" customHeight="1">
      <c r="B22" s="1568" t="s">
        <v>1326</v>
      </c>
      <c r="C22" s="1568"/>
      <c r="D22" s="1568"/>
      <c r="E22" s="1568" t="s">
        <v>1332</v>
      </c>
      <c r="F22" s="1568"/>
      <c r="G22" s="1568"/>
      <c r="H22" s="1568"/>
      <c r="J22" s="1568" t="s">
        <v>1931</v>
      </c>
      <c r="K22" s="1568"/>
      <c r="L22" s="1568"/>
      <c r="M22" s="1566">
        <v>1127785.73</v>
      </c>
      <c r="N22" s="1566"/>
      <c r="O22" s="1566"/>
      <c r="P22" s="1566">
        <v>0</v>
      </c>
      <c r="Q22" s="1566"/>
      <c r="R22" s="1566"/>
      <c r="S22" s="1566">
        <v>0</v>
      </c>
      <c r="T22" s="1566"/>
      <c r="U22" s="1566"/>
      <c r="V22" s="1566"/>
      <c r="W22" s="1566">
        <v>29036.78</v>
      </c>
      <c r="X22" s="1566"/>
      <c r="Y22" s="1566"/>
      <c r="Z22" s="1566"/>
      <c r="AA22" s="1566">
        <v>1098748.95</v>
      </c>
      <c r="AB22" s="1566"/>
      <c r="AC22" s="1566"/>
      <c r="AD22" s="1566"/>
      <c r="AE22" s="1566"/>
      <c r="AF22" s="1566"/>
      <c r="AG22" s="1566">
        <v>0</v>
      </c>
      <c r="AH22" s="1566"/>
      <c r="AI22" s="1566"/>
      <c r="AJ22" s="1566"/>
      <c r="AK22" s="1566"/>
    </row>
    <row r="23" spans="2:37" ht="9.4" customHeight="1">
      <c r="B23" s="1568" t="s">
        <v>1326</v>
      </c>
      <c r="C23" s="1568"/>
      <c r="D23" s="1568"/>
      <c r="E23" s="1568" t="s">
        <v>3142</v>
      </c>
      <c r="F23" s="1568"/>
      <c r="G23" s="1568"/>
      <c r="H23" s="1568"/>
      <c r="J23" s="1568" t="s">
        <v>6195</v>
      </c>
      <c r="K23" s="1568"/>
      <c r="L23" s="1568"/>
      <c r="M23" s="1566">
        <v>0</v>
      </c>
      <c r="N23" s="1566"/>
      <c r="O23" s="1566"/>
      <c r="P23" s="1566">
        <v>0</v>
      </c>
      <c r="Q23" s="1566"/>
      <c r="R23" s="1566"/>
      <c r="S23" s="1566">
        <v>0</v>
      </c>
      <c r="T23" s="1566"/>
      <c r="U23" s="1566"/>
      <c r="V23" s="1566"/>
      <c r="W23" s="1566">
        <v>0</v>
      </c>
      <c r="X23" s="1566"/>
      <c r="Y23" s="1566"/>
      <c r="Z23" s="1566"/>
      <c r="AA23" s="1566">
        <v>0</v>
      </c>
      <c r="AB23" s="1566"/>
      <c r="AC23" s="1566"/>
      <c r="AD23" s="1566"/>
      <c r="AE23" s="1566"/>
      <c r="AF23" s="1566"/>
      <c r="AG23" s="1566">
        <v>0</v>
      </c>
      <c r="AH23" s="1566"/>
      <c r="AI23" s="1566"/>
      <c r="AJ23" s="1566"/>
      <c r="AK23" s="1566"/>
    </row>
    <row r="24" spans="2:37" ht="9.4" customHeight="1">
      <c r="B24" s="1568" t="s">
        <v>1326</v>
      </c>
      <c r="C24" s="1568"/>
      <c r="D24" s="1568"/>
      <c r="E24" s="1568" t="s">
        <v>5958</v>
      </c>
      <c r="F24" s="1568"/>
      <c r="G24" s="1568"/>
      <c r="H24" s="1568"/>
      <c r="J24" s="1568" t="s">
        <v>5964</v>
      </c>
      <c r="K24" s="1568"/>
      <c r="L24" s="1568"/>
      <c r="M24" s="1566">
        <v>19536.189999999999</v>
      </c>
      <c r="N24" s="1566"/>
      <c r="O24" s="1566"/>
      <c r="P24" s="1566">
        <v>0</v>
      </c>
      <c r="Q24" s="1566"/>
      <c r="R24" s="1566"/>
      <c r="S24" s="1566">
        <v>0.17</v>
      </c>
      <c r="T24" s="1566"/>
      <c r="U24" s="1566"/>
      <c r="V24" s="1566"/>
      <c r="W24" s="1566">
        <v>0</v>
      </c>
      <c r="X24" s="1566"/>
      <c r="Y24" s="1566"/>
      <c r="Z24" s="1566"/>
      <c r="AA24" s="1566">
        <v>19536.36</v>
      </c>
      <c r="AB24" s="1566"/>
      <c r="AC24" s="1566"/>
      <c r="AD24" s="1566"/>
      <c r="AE24" s="1566"/>
      <c r="AF24" s="1566"/>
      <c r="AG24" s="1566">
        <v>0</v>
      </c>
      <c r="AH24" s="1566"/>
      <c r="AI24" s="1566"/>
      <c r="AJ24" s="1566"/>
      <c r="AK24" s="1566"/>
    </row>
    <row r="25" spans="2:37" ht="9.4" customHeight="1">
      <c r="B25" s="1568" t="s">
        <v>1326</v>
      </c>
      <c r="C25" s="1568"/>
      <c r="D25" s="1568"/>
      <c r="E25" s="1568" t="s">
        <v>5961</v>
      </c>
      <c r="F25" s="1568"/>
      <c r="G25" s="1568"/>
      <c r="H25" s="1568"/>
      <c r="J25" s="1568" t="s">
        <v>5965</v>
      </c>
      <c r="K25" s="1568"/>
      <c r="L25" s="1568"/>
      <c r="M25" s="1566">
        <v>40417.949999999997</v>
      </c>
      <c r="N25" s="1566"/>
      <c r="O25" s="1566"/>
      <c r="P25" s="1566">
        <v>0</v>
      </c>
      <c r="Q25" s="1566"/>
      <c r="R25" s="1566"/>
      <c r="S25" s="1566">
        <v>0</v>
      </c>
      <c r="T25" s="1566"/>
      <c r="U25" s="1566"/>
      <c r="V25" s="1566"/>
      <c r="W25" s="1566">
        <v>0</v>
      </c>
      <c r="X25" s="1566"/>
      <c r="Y25" s="1566"/>
      <c r="Z25" s="1566"/>
      <c r="AA25" s="1566">
        <v>40417.949999999997</v>
      </c>
      <c r="AB25" s="1566"/>
      <c r="AC25" s="1566"/>
      <c r="AD25" s="1566"/>
      <c r="AE25" s="1566"/>
      <c r="AF25" s="1566"/>
      <c r="AG25" s="1566">
        <v>0</v>
      </c>
      <c r="AH25" s="1566"/>
      <c r="AI25" s="1566"/>
      <c r="AJ25" s="1566"/>
      <c r="AK25" s="1566"/>
    </row>
    <row r="26" spans="2:37" ht="9.4" customHeight="1">
      <c r="B26" s="1568" t="s">
        <v>1326</v>
      </c>
      <c r="C26" s="1568"/>
      <c r="D26" s="1568"/>
      <c r="E26" s="1568" t="s">
        <v>6757</v>
      </c>
      <c r="F26" s="1568"/>
      <c r="G26" s="1568"/>
      <c r="H26" s="1568"/>
      <c r="J26" s="1568" t="s">
        <v>6763</v>
      </c>
      <c r="K26" s="1568"/>
      <c r="L26" s="1568"/>
      <c r="M26" s="1566">
        <v>0</v>
      </c>
      <c r="N26" s="1566"/>
      <c r="O26" s="1566"/>
      <c r="P26" s="1566">
        <v>0</v>
      </c>
      <c r="Q26" s="1566"/>
      <c r="R26" s="1566"/>
      <c r="S26" s="1566">
        <v>7119754.4000000004</v>
      </c>
      <c r="T26" s="1566"/>
      <c r="U26" s="1566"/>
      <c r="V26" s="1566"/>
      <c r="W26" s="1566">
        <v>0</v>
      </c>
      <c r="X26" s="1566"/>
      <c r="Y26" s="1566"/>
      <c r="Z26" s="1566"/>
      <c r="AA26" s="1566">
        <v>7119754.4000000004</v>
      </c>
      <c r="AB26" s="1566"/>
      <c r="AC26" s="1566"/>
      <c r="AD26" s="1566"/>
      <c r="AE26" s="1566"/>
      <c r="AF26" s="1566"/>
      <c r="AG26" s="1566">
        <v>0</v>
      </c>
      <c r="AH26" s="1566"/>
      <c r="AI26" s="1566"/>
      <c r="AJ26" s="1566"/>
      <c r="AK26" s="1566"/>
    </row>
    <row r="27" spans="2:37" ht="9.4" customHeight="1">
      <c r="B27" s="1568" t="s">
        <v>1326</v>
      </c>
      <c r="C27" s="1568"/>
      <c r="D27" s="1568"/>
      <c r="E27" s="1568" t="s">
        <v>1333</v>
      </c>
      <c r="F27" s="1568"/>
      <c r="G27" s="1568"/>
      <c r="H27" s="1568"/>
      <c r="J27" s="1568" t="s">
        <v>1334</v>
      </c>
      <c r="K27" s="1568"/>
      <c r="L27" s="1568"/>
      <c r="M27" s="1566">
        <v>175872221.38999999</v>
      </c>
      <c r="N27" s="1566"/>
      <c r="O27" s="1566"/>
      <c r="P27" s="1566">
        <v>0</v>
      </c>
      <c r="Q27" s="1566"/>
      <c r="R27" s="1566"/>
      <c r="S27" s="1566">
        <v>370985685.44</v>
      </c>
      <c r="T27" s="1566"/>
      <c r="U27" s="1566"/>
      <c r="V27" s="1566"/>
      <c r="W27" s="1566">
        <v>374981894.69999999</v>
      </c>
      <c r="X27" s="1566"/>
      <c r="Y27" s="1566"/>
      <c r="Z27" s="1566"/>
      <c r="AA27" s="1566">
        <v>171876012.13</v>
      </c>
      <c r="AB27" s="1566"/>
      <c r="AC27" s="1566"/>
      <c r="AD27" s="1566"/>
      <c r="AE27" s="1566"/>
      <c r="AF27" s="1566"/>
      <c r="AG27" s="1566">
        <v>0</v>
      </c>
      <c r="AH27" s="1566"/>
      <c r="AI27" s="1566"/>
      <c r="AJ27" s="1566"/>
      <c r="AK27" s="1566"/>
    </row>
    <row r="28" spans="2:37" ht="9.4" customHeight="1">
      <c r="B28" s="1568" t="s">
        <v>1326</v>
      </c>
      <c r="C28" s="1568"/>
      <c r="D28" s="1568"/>
      <c r="E28" s="1568" t="s">
        <v>176</v>
      </c>
      <c r="F28" s="1568"/>
      <c r="G28" s="1568"/>
      <c r="H28" s="1568"/>
      <c r="J28" s="1568" t="s">
        <v>1932</v>
      </c>
      <c r="K28" s="1568"/>
      <c r="L28" s="1568"/>
      <c r="M28" s="1566">
        <v>1872055.97</v>
      </c>
      <c r="N28" s="1566"/>
      <c r="O28" s="1566"/>
      <c r="P28" s="1566">
        <v>0</v>
      </c>
      <c r="Q28" s="1566"/>
      <c r="R28" s="1566"/>
      <c r="S28" s="1566">
        <v>37485738.100000001</v>
      </c>
      <c r="T28" s="1566"/>
      <c r="U28" s="1566"/>
      <c r="V28" s="1566"/>
      <c r="W28" s="1566">
        <v>37481912.399999999</v>
      </c>
      <c r="X28" s="1566"/>
      <c r="Y28" s="1566"/>
      <c r="Z28" s="1566"/>
      <c r="AA28" s="1566">
        <v>1875881.67</v>
      </c>
      <c r="AB28" s="1566"/>
      <c r="AC28" s="1566"/>
      <c r="AD28" s="1566"/>
      <c r="AE28" s="1566"/>
      <c r="AF28" s="1566"/>
      <c r="AG28" s="1566">
        <v>0</v>
      </c>
      <c r="AH28" s="1566"/>
      <c r="AI28" s="1566"/>
      <c r="AJ28" s="1566"/>
      <c r="AK28" s="1566"/>
    </row>
    <row r="29" spans="2:37" ht="9.4" customHeight="1">
      <c r="B29" s="1568" t="s">
        <v>1326</v>
      </c>
      <c r="C29" s="1568"/>
      <c r="D29" s="1568"/>
      <c r="E29" s="1568" t="s">
        <v>177</v>
      </c>
      <c r="F29" s="1568"/>
      <c r="G29" s="1568"/>
      <c r="H29" s="1568"/>
      <c r="J29" s="1568" t="s">
        <v>1933</v>
      </c>
      <c r="K29" s="1568"/>
      <c r="L29" s="1568"/>
      <c r="M29" s="1566">
        <v>89999985.549999997</v>
      </c>
      <c r="N29" s="1566"/>
      <c r="O29" s="1566"/>
      <c r="P29" s="1566">
        <v>0</v>
      </c>
      <c r="Q29" s="1566"/>
      <c r="R29" s="1566"/>
      <c r="S29" s="1566">
        <v>209499948.53</v>
      </c>
      <c r="T29" s="1566"/>
      <c r="U29" s="1566"/>
      <c r="V29" s="1566"/>
      <c r="W29" s="1566">
        <v>209499982.28</v>
      </c>
      <c r="X29" s="1566"/>
      <c r="Y29" s="1566"/>
      <c r="Z29" s="1566"/>
      <c r="AA29" s="1566">
        <v>89999951.799999997</v>
      </c>
      <c r="AB29" s="1566"/>
      <c r="AC29" s="1566"/>
      <c r="AD29" s="1566"/>
      <c r="AE29" s="1566"/>
      <c r="AF29" s="1566"/>
      <c r="AG29" s="1566">
        <v>0</v>
      </c>
      <c r="AH29" s="1566"/>
      <c r="AI29" s="1566"/>
      <c r="AJ29" s="1566"/>
      <c r="AK29" s="1566"/>
    </row>
    <row r="30" spans="2:37" ht="9.4" customHeight="1">
      <c r="B30" s="1568" t="s">
        <v>1326</v>
      </c>
      <c r="C30" s="1568"/>
      <c r="D30" s="1568"/>
      <c r="E30" s="1568" t="s">
        <v>178</v>
      </c>
      <c r="F30" s="1568"/>
      <c r="G30" s="1568"/>
      <c r="H30" s="1568"/>
      <c r="J30" s="1568" t="s">
        <v>1934</v>
      </c>
      <c r="K30" s="1568"/>
      <c r="L30" s="1568"/>
      <c r="M30" s="1566">
        <v>84000179.870000005</v>
      </c>
      <c r="N30" s="1566"/>
      <c r="O30" s="1566"/>
      <c r="P30" s="1566">
        <v>0</v>
      </c>
      <c r="Q30" s="1566"/>
      <c r="R30" s="1566"/>
      <c r="S30" s="1566">
        <v>123999998.81</v>
      </c>
      <c r="T30" s="1566"/>
      <c r="U30" s="1566"/>
      <c r="V30" s="1566"/>
      <c r="W30" s="1566">
        <v>128000000.02</v>
      </c>
      <c r="X30" s="1566"/>
      <c r="Y30" s="1566"/>
      <c r="Z30" s="1566"/>
      <c r="AA30" s="1566">
        <v>80000178.659999996</v>
      </c>
      <c r="AB30" s="1566"/>
      <c r="AC30" s="1566"/>
      <c r="AD30" s="1566"/>
      <c r="AE30" s="1566"/>
      <c r="AF30" s="1566"/>
      <c r="AG30" s="1566">
        <v>0</v>
      </c>
      <c r="AH30" s="1566"/>
      <c r="AI30" s="1566"/>
      <c r="AJ30" s="1566"/>
      <c r="AK30" s="1566"/>
    </row>
    <row r="31" spans="2:37" ht="9.4" customHeight="1">
      <c r="B31" s="1568" t="s">
        <v>1326</v>
      </c>
      <c r="C31" s="1568"/>
      <c r="D31" s="1568"/>
      <c r="E31" s="1568" t="s">
        <v>1935</v>
      </c>
      <c r="F31" s="1568"/>
      <c r="G31" s="1568"/>
      <c r="H31" s="1568"/>
      <c r="J31" s="1568" t="s">
        <v>1011</v>
      </c>
      <c r="K31" s="1568"/>
      <c r="L31" s="1568"/>
      <c r="M31" s="1566">
        <v>19618145.309999999</v>
      </c>
      <c r="N31" s="1566"/>
      <c r="O31" s="1566"/>
      <c r="P31" s="1566">
        <v>0</v>
      </c>
      <c r="Q31" s="1566"/>
      <c r="R31" s="1566"/>
      <c r="S31" s="1566">
        <v>19742551.010000002</v>
      </c>
      <c r="T31" s="1566"/>
      <c r="U31" s="1566"/>
      <c r="V31" s="1566"/>
      <c r="W31" s="1566">
        <v>21013365.399999999</v>
      </c>
      <c r="X31" s="1566"/>
      <c r="Y31" s="1566"/>
      <c r="Z31" s="1566"/>
      <c r="AA31" s="1566">
        <v>18347330.920000002</v>
      </c>
      <c r="AB31" s="1566"/>
      <c r="AC31" s="1566"/>
      <c r="AD31" s="1566"/>
      <c r="AE31" s="1566"/>
      <c r="AF31" s="1566"/>
      <c r="AG31" s="1566">
        <v>0</v>
      </c>
      <c r="AH31" s="1566"/>
      <c r="AI31" s="1566"/>
      <c r="AJ31" s="1566"/>
      <c r="AK31" s="1566"/>
    </row>
    <row r="32" spans="2:37" ht="9.4" customHeight="1">
      <c r="B32" s="1568" t="s">
        <v>1326</v>
      </c>
      <c r="C32" s="1568"/>
      <c r="D32" s="1568"/>
      <c r="E32" s="1568" t="s">
        <v>1335</v>
      </c>
      <c r="F32" s="1568"/>
      <c r="G32" s="1568"/>
      <c r="H32" s="1568"/>
      <c r="J32" s="1568" t="s">
        <v>188</v>
      </c>
      <c r="K32" s="1568"/>
      <c r="L32" s="1568"/>
      <c r="M32" s="1566">
        <v>11365511.4</v>
      </c>
      <c r="N32" s="1566"/>
      <c r="O32" s="1566"/>
      <c r="P32" s="1566">
        <v>0</v>
      </c>
      <c r="Q32" s="1566"/>
      <c r="R32" s="1566"/>
      <c r="S32" s="1566">
        <v>17224310.539999999</v>
      </c>
      <c r="T32" s="1566"/>
      <c r="U32" s="1566"/>
      <c r="V32" s="1566"/>
      <c r="W32" s="1566">
        <v>18818650.649999999</v>
      </c>
      <c r="X32" s="1566"/>
      <c r="Y32" s="1566"/>
      <c r="Z32" s="1566"/>
      <c r="AA32" s="1566">
        <v>9771171.2899999991</v>
      </c>
      <c r="AB32" s="1566"/>
      <c r="AC32" s="1566"/>
      <c r="AD32" s="1566"/>
      <c r="AE32" s="1566"/>
      <c r="AF32" s="1566"/>
      <c r="AG32" s="1566">
        <v>0</v>
      </c>
      <c r="AH32" s="1566"/>
      <c r="AI32" s="1566"/>
      <c r="AJ32" s="1566"/>
      <c r="AK32" s="1566"/>
    </row>
    <row r="33" spans="2:37" ht="9.4" customHeight="1">
      <c r="B33" s="1568" t="s">
        <v>1326</v>
      </c>
      <c r="C33" s="1568"/>
      <c r="D33" s="1568"/>
      <c r="E33" s="1568" t="s">
        <v>1336</v>
      </c>
      <c r="F33" s="1568"/>
      <c r="G33" s="1568"/>
      <c r="H33" s="1568"/>
      <c r="J33" s="1568" t="s">
        <v>1936</v>
      </c>
      <c r="K33" s="1568"/>
      <c r="L33" s="1568"/>
      <c r="M33" s="1566">
        <v>492741.11</v>
      </c>
      <c r="N33" s="1566"/>
      <c r="O33" s="1566"/>
      <c r="P33" s="1566">
        <v>0</v>
      </c>
      <c r="Q33" s="1566"/>
      <c r="R33" s="1566"/>
      <c r="S33" s="1566">
        <v>183916.61</v>
      </c>
      <c r="T33" s="1566"/>
      <c r="U33" s="1566"/>
      <c r="V33" s="1566"/>
      <c r="W33" s="1566">
        <v>42055.07</v>
      </c>
      <c r="X33" s="1566"/>
      <c r="Y33" s="1566"/>
      <c r="Z33" s="1566"/>
      <c r="AA33" s="1566">
        <v>634602.65</v>
      </c>
      <c r="AB33" s="1566"/>
      <c r="AC33" s="1566"/>
      <c r="AD33" s="1566"/>
      <c r="AE33" s="1566"/>
      <c r="AF33" s="1566"/>
      <c r="AG33" s="1566">
        <v>0</v>
      </c>
      <c r="AH33" s="1566"/>
      <c r="AI33" s="1566"/>
      <c r="AJ33" s="1566"/>
      <c r="AK33" s="1566"/>
    </row>
    <row r="34" spans="2:37" ht="9.4" customHeight="1">
      <c r="B34" s="1568" t="s">
        <v>1326</v>
      </c>
      <c r="C34" s="1568"/>
      <c r="D34" s="1568"/>
      <c r="E34" s="1568" t="s">
        <v>1337</v>
      </c>
      <c r="F34" s="1568"/>
      <c r="G34" s="1568"/>
      <c r="H34" s="1568"/>
      <c r="J34" s="1568" t="s">
        <v>1937</v>
      </c>
      <c r="K34" s="1568"/>
      <c r="L34" s="1568"/>
      <c r="M34" s="1566">
        <v>40853.07</v>
      </c>
      <c r="N34" s="1566"/>
      <c r="O34" s="1566"/>
      <c r="P34" s="1566">
        <v>0</v>
      </c>
      <c r="Q34" s="1566"/>
      <c r="R34" s="1566"/>
      <c r="S34" s="1566">
        <v>35642.71</v>
      </c>
      <c r="T34" s="1566"/>
      <c r="U34" s="1566"/>
      <c r="V34" s="1566"/>
      <c r="W34" s="1566">
        <v>76495.78</v>
      </c>
      <c r="X34" s="1566"/>
      <c r="Y34" s="1566"/>
      <c r="Z34" s="1566"/>
      <c r="AA34" s="1566">
        <v>0</v>
      </c>
      <c r="AB34" s="1566"/>
      <c r="AC34" s="1566"/>
      <c r="AD34" s="1566"/>
      <c r="AE34" s="1566"/>
      <c r="AF34" s="1566"/>
      <c r="AG34" s="1566">
        <v>0</v>
      </c>
      <c r="AH34" s="1566"/>
      <c r="AI34" s="1566"/>
      <c r="AJ34" s="1566"/>
      <c r="AK34" s="1566"/>
    </row>
    <row r="35" spans="2:37" ht="9.1999999999999993" customHeight="1">
      <c r="J35" s="1568"/>
      <c r="K35" s="1568"/>
      <c r="L35" s="1568"/>
    </row>
    <row r="36" spans="2:37" ht="8.4499999999999993" customHeight="1">
      <c r="B36" s="1568" t="s">
        <v>1326</v>
      </c>
      <c r="C36" s="1568"/>
      <c r="D36" s="1568"/>
      <c r="E36" s="1568" t="s">
        <v>1338</v>
      </c>
      <c r="F36" s="1568"/>
      <c r="G36" s="1568"/>
      <c r="H36" s="1568"/>
      <c r="J36" s="1568" t="s">
        <v>1938</v>
      </c>
      <c r="K36" s="1568"/>
      <c r="L36" s="1568"/>
      <c r="M36" s="1566">
        <v>2315346.56</v>
      </c>
      <c r="N36" s="1566"/>
      <c r="O36" s="1566"/>
      <c r="P36" s="1566">
        <v>0</v>
      </c>
      <c r="Q36" s="1566"/>
      <c r="R36" s="1566"/>
      <c r="S36" s="1566">
        <v>1308076.83</v>
      </c>
      <c r="T36" s="1566"/>
      <c r="U36" s="1566"/>
      <c r="V36" s="1566"/>
      <c r="W36" s="1566">
        <v>3603933.62</v>
      </c>
      <c r="X36" s="1566"/>
      <c r="Y36" s="1566"/>
      <c r="Z36" s="1566"/>
      <c r="AA36" s="1566">
        <v>19489.77</v>
      </c>
      <c r="AB36" s="1566"/>
      <c r="AC36" s="1566"/>
      <c r="AD36" s="1566"/>
      <c r="AE36" s="1566"/>
      <c r="AF36" s="1566"/>
      <c r="AG36" s="1566">
        <v>0</v>
      </c>
      <c r="AH36" s="1566"/>
      <c r="AI36" s="1566"/>
      <c r="AJ36" s="1566"/>
      <c r="AK36" s="1566"/>
    </row>
    <row r="37" spans="2:37" ht="9.4" customHeight="1">
      <c r="B37" s="1568" t="s">
        <v>1326</v>
      </c>
      <c r="C37" s="1568"/>
      <c r="D37" s="1568"/>
      <c r="E37" s="1568" t="s">
        <v>1339</v>
      </c>
      <c r="F37" s="1568"/>
      <c r="G37" s="1568"/>
      <c r="H37" s="1568"/>
      <c r="J37" s="1568" t="s">
        <v>1939</v>
      </c>
      <c r="K37" s="1568"/>
      <c r="L37" s="1568"/>
      <c r="M37" s="1566">
        <v>25392.799999999999</v>
      </c>
      <c r="N37" s="1566"/>
      <c r="O37" s="1566"/>
      <c r="P37" s="1566">
        <v>0</v>
      </c>
      <c r="Q37" s="1566"/>
      <c r="R37" s="1566"/>
      <c r="S37" s="1566">
        <v>60065.43</v>
      </c>
      <c r="T37" s="1566"/>
      <c r="U37" s="1566"/>
      <c r="V37" s="1566"/>
      <c r="W37" s="1566">
        <v>71227.41</v>
      </c>
      <c r="X37" s="1566"/>
      <c r="Y37" s="1566"/>
      <c r="Z37" s="1566"/>
      <c r="AA37" s="1566">
        <v>14230.82</v>
      </c>
      <c r="AB37" s="1566"/>
      <c r="AC37" s="1566"/>
      <c r="AD37" s="1566"/>
      <c r="AE37" s="1566"/>
      <c r="AF37" s="1566"/>
      <c r="AG37" s="1566">
        <v>0</v>
      </c>
      <c r="AH37" s="1566"/>
      <c r="AI37" s="1566"/>
      <c r="AJ37" s="1566"/>
      <c r="AK37" s="1566"/>
    </row>
    <row r="38" spans="2:37" ht="9.4" customHeight="1">
      <c r="B38" s="1568" t="s">
        <v>1326</v>
      </c>
      <c r="C38" s="1568"/>
      <c r="D38" s="1568"/>
      <c r="E38" s="1568" t="s">
        <v>1340</v>
      </c>
      <c r="F38" s="1568"/>
      <c r="G38" s="1568"/>
      <c r="H38" s="1568"/>
      <c r="J38" s="1568" t="s">
        <v>1940</v>
      </c>
      <c r="K38" s="1568"/>
      <c r="L38" s="1568"/>
      <c r="M38" s="1566">
        <v>0</v>
      </c>
      <c r="N38" s="1566"/>
      <c r="O38" s="1566"/>
      <c r="P38" s="1566">
        <v>0</v>
      </c>
      <c r="Q38" s="1566"/>
      <c r="R38" s="1566"/>
      <c r="S38" s="1566">
        <v>4770.63</v>
      </c>
      <c r="T38" s="1566"/>
      <c r="U38" s="1566"/>
      <c r="V38" s="1566"/>
      <c r="W38" s="1566">
        <v>4770.63</v>
      </c>
      <c r="X38" s="1566"/>
      <c r="Y38" s="1566"/>
      <c r="Z38" s="1566"/>
      <c r="AA38" s="1566">
        <v>0</v>
      </c>
      <c r="AB38" s="1566"/>
      <c r="AC38" s="1566"/>
      <c r="AD38" s="1566"/>
      <c r="AE38" s="1566"/>
      <c r="AF38" s="1566"/>
      <c r="AG38" s="1566">
        <v>0</v>
      </c>
      <c r="AH38" s="1566"/>
      <c r="AI38" s="1566"/>
      <c r="AJ38" s="1566"/>
      <c r="AK38" s="1566"/>
    </row>
    <row r="39" spans="2:37" ht="9.4" customHeight="1">
      <c r="B39" s="1568" t="s">
        <v>1326</v>
      </c>
      <c r="C39" s="1568"/>
      <c r="D39" s="1568"/>
      <c r="E39" s="1568" t="s">
        <v>2840</v>
      </c>
      <c r="F39" s="1568"/>
      <c r="G39" s="1568"/>
      <c r="H39" s="1568"/>
      <c r="J39" s="1568" t="s">
        <v>2841</v>
      </c>
      <c r="K39" s="1568"/>
      <c r="L39" s="1568"/>
      <c r="M39" s="1566">
        <v>0</v>
      </c>
      <c r="N39" s="1566"/>
      <c r="O39" s="1566"/>
      <c r="P39" s="1566">
        <v>0</v>
      </c>
      <c r="Q39" s="1566"/>
      <c r="R39" s="1566"/>
      <c r="S39" s="1566">
        <v>28824.36</v>
      </c>
      <c r="T39" s="1566"/>
      <c r="U39" s="1566"/>
      <c r="V39" s="1566"/>
      <c r="W39" s="1566">
        <v>28824.36</v>
      </c>
      <c r="X39" s="1566"/>
      <c r="Y39" s="1566"/>
      <c r="Z39" s="1566"/>
      <c r="AA39" s="1566">
        <v>0</v>
      </c>
      <c r="AB39" s="1566"/>
      <c r="AC39" s="1566"/>
      <c r="AD39" s="1566"/>
      <c r="AE39" s="1566"/>
      <c r="AF39" s="1566"/>
      <c r="AG39" s="1566">
        <v>0</v>
      </c>
      <c r="AH39" s="1566"/>
      <c r="AI39" s="1566"/>
      <c r="AJ39" s="1566"/>
      <c r="AK39" s="1566"/>
    </row>
    <row r="40" spans="2:37" ht="9.4" customHeight="1">
      <c r="B40" s="1568" t="s">
        <v>1326</v>
      </c>
      <c r="C40" s="1568"/>
      <c r="D40" s="1568"/>
      <c r="E40" s="1568" t="s">
        <v>1341</v>
      </c>
      <c r="F40" s="1568"/>
      <c r="G40" s="1568"/>
      <c r="H40" s="1568"/>
      <c r="J40" s="1568" t="s">
        <v>1941</v>
      </c>
      <c r="K40" s="1568"/>
      <c r="L40" s="1568"/>
      <c r="M40" s="1566">
        <v>0</v>
      </c>
      <c r="N40" s="1566"/>
      <c r="O40" s="1566"/>
      <c r="P40" s="1566">
        <v>0</v>
      </c>
      <c r="Q40" s="1566"/>
      <c r="R40" s="1566"/>
      <c r="S40" s="1566">
        <v>8781.92</v>
      </c>
      <c r="T40" s="1566"/>
      <c r="U40" s="1566"/>
      <c r="V40" s="1566"/>
      <c r="W40" s="1566">
        <v>8781.92</v>
      </c>
      <c r="X40" s="1566"/>
      <c r="Y40" s="1566"/>
      <c r="Z40" s="1566"/>
      <c r="AA40" s="1566">
        <v>0</v>
      </c>
      <c r="AB40" s="1566"/>
      <c r="AC40" s="1566"/>
      <c r="AD40" s="1566"/>
      <c r="AE40" s="1566"/>
      <c r="AF40" s="1566"/>
      <c r="AG40" s="1566">
        <v>0</v>
      </c>
      <c r="AH40" s="1566"/>
      <c r="AI40" s="1566"/>
      <c r="AJ40" s="1566"/>
      <c r="AK40" s="1566"/>
    </row>
    <row r="41" spans="2:37" ht="9.4" customHeight="1">
      <c r="B41" s="1568" t="s">
        <v>1326</v>
      </c>
      <c r="C41" s="1568"/>
      <c r="D41" s="1568"/>
      <c r="E41" s="1568" t="s">
        <v>6196</v>
      </c>
      <c r="F41" s="1568"/>
      <c r="G41" s="1568"/>
      <c r="H41" s="1568"/>
      <c r="J41" s="1568" t="s">
        <v>6197</v>
      </c>
      <c r="K41" s="1568"/>
      <c r="L41" s="1568"/>
      <c r="M41" s="1566">
        <v>21880.17</v>
      </c>
      <c r="N41" s="1566"/>
      <c r="O41" s="1566"/>
      <c r="P41" s="1566">
        <v>0</v>
      </c>
      <c r="Q41" s="1566"/>
      <c r="R41" s="1566"/>
      <c r="S41" s="1566">
        <v>0</v>
      </c>
      <c r="T41" s="1566"/>
      <c r="U41" s="1566"/>
      <c r="V41" s="1566"/>
      <c r="W41" s="1566">
        <v>21880.17</v>
      </c>
      <c r="X41" s="1566"/>
      <c r="Y41" s="1566"/>
      <c r="Z41" s="1566"/>
      <c r="AA41" s="1566">
        <v>0</v>
      </c>
      <c r="AB41" s="1566"/>
      <c r="AC41" s="1566"/>
      <c r="AD41" s="1566"/>
      <c r="AE41" s="1566"/>
      <c r="AF41" s="1566"/>
      <c r="AG41" s="1566">
        <v>0</v>
      </c>
      <c r="AH41" s="1566"/>
      <c r="AI41" s="1566"/>
      <c r="AJ41" s="1566"/>
      <c r="AK41" s="1566"/>
    </row>
    <row r="42" spans="2:37" ht="9.4" customHeight="1">
      <c r="B42" s="1568" t="s">
        <v>1326</v>
      </c>
      <c r="C42" s="1568"/>
      <c r="D42" s="1568"/>
      <c r="E42" s="1568" t="s">
        <v>1342</v>
      </c>
      <c r="F42" s="1568"/>
      <c r="G42" s="1568"/>
      <c r="H42" s="1568"/>
      <c r="J42" s="1568" t="s">
        <v>1942</v>
      </c>
      <c r="K42" s="1568"/>
      <c r="L42" s="1568"/>
      <c r="M42" s="1566">
        <v>0</v>
      </c>
      <c r="N42" s="1566"/>
      <c r="O42" s="1566"/>
      <c r="P42" s="1566">
        <v>0</v>
      </c>
      <c r="Q42" s="1566"/>
      <c r="R42" s="1566"/>
      <c r="S42" s="1566">
        <v>9494.39</v>
      </c>
      <c r="T42" s="1566"/>
      <c r="U42" s="1566"/>
      <c r="V42" s="1566"/>
      <c r="W42" s="1566">
        <v>9494.39</v>
      </c>
      <c r="X42" s="1566"/>
      <c r="Y42" s="1566"/>
      <c r="Z42" s="1566"/>
      <c r="AA42" s="1566">
        <v>0</v>
      </c>
      <c r="AB42" s="1566"/>
      <c r="AC42" s="1566"/>
      <c r="AD42" s="1566"/>
      <c r="AE42" s="1566"/>
      <c r="AF42" s="1566"/>
      <c r="AG42" s="1566">
        <v>0</v>
      </c>
      <c r="AH42" s="1566"/>
      <c r="AI42" s="1566"/>
      <c r="AJ42" s="1566"/>
      <c r="AK42" s="1566"/>
    </row>
    <row r="43" spans="2:37" ht="9.4" customHeight="1">
      <c r="B43" s="1568" t="s">
        <v>1326</v>
      </c>
      <c r="C43" s="1568"/>
      <c r="D43" s="1568"/>
      <c r="E43" s="1568" t="s">
        <v>1343</v>
      </c>
      <c r="F43" s="1568"/>
      <c r="G43" s="1568"/>
      <c r="H43" s="1568"/>
      <c r="J43" s="1568" t="s">
        <v>1943</v>
      </c>
      <c r="K43" s="1568"/>
      <c r="L43" s="1568"/>
      <c r="M43" s="1566">
        <v>0</v>
      </c>
      <c r="N43" s="1566"/>
      <c r="O43" s="1566"/>
      <c r="P43" s="1566">
        <v>0</v>
      </c>
      <c r="Q43" s="1566"/>
      <c r="R43" s="1566"/>
      <c r="S43" s="1566">
        <v>8428.2800000000007</v>
      </c>
      <c r="T43" s="1566"/>
      <c r="U43" s="1566"/>
      <c r="V43" s="1566"/>
      <c r="W43" s="1566">
        <v>8428.2800000000007</v>
      </c>
      <c r="X43" s="1566"/>
      <c r="Y43" s="1566"/>
      <c r="Z43" s="1566"/>
      <c r="AA43" s="1566">
        <v>0</v>
      </c>
      <c r="AB43" s="1566"/>
      <c r="AC43" s="1566"/>
      <c r="AD43" s="1566"/>
      <c r="AE43" s="1566"/>
      <c r="AF43" s="1566"/>
      <c r="AG43" s="1566">
        <v>0</v>
      </c>
      <c r="AH43" s="1566"/>
      <c r="AI43" s="1566"/>
      <c r="AJ43" s="1566"/>
      <c r="AK43" s="1566"/>
    </row>
    <row r="44" spans="2:37" ht="9.4" customHeight="1">
      <c r="B44" s="1568" t="s">
        <v>1326</v>
      </c>
      <c r="C44" s="1568"/>
      <c r="D44" s="1568"/>
      <c r="E44" s="1568" t="s">
        <v>1344</v>
      </c>
      <c r="F44" s="1568"/>
      <c r="G44" s="1568"/>
      <c r="H44" s="1568"/>
      <c r="J44" s="1568" t="s">
        <v>1944</v>
      </c>
      <c r="K44" s="1568"/>
      <c r="L44" s="1568"/>
      <c r="M44" s="1566">
        <v>4334.2299999999996</v>
      </c>
      <c r="N44" s="1566"/>
      <c r="O44" s="1566"/>
      <c r="P44" s="1566">
        <v>0</v>
      </c>
      <c r="Q44" s="1566"/>
      <c r="R44" s="1566"/>
      <c r="S44" s="1566">
        <v>4136.04</v>
      </c>
      <c r="T44" s="1566"/>
      <c r="U44" s="1566"/>
      <c r="V44" s="1566"/>
      <c r="W44" s="1566">
        <v>8470.27</v>
      </c>
      <c r="X44" s="1566"/>
      <c r="Y44" s="1566"/>
      <c r="Z44" s="1566"/>
      <c r="AA44" s="1566">
        <v>0</v>
      </c>
      <c r="AB44" s="1566"/>
      <c r="AC44" s="1566"/>
      <c r="AD44" s="1566"/>
      <c r="AE44" s="1566"/>
      <c r="AF44" s="1566"/>
      <c r="AG44" s="1566">
        <v>0</v>
      </c>
      <c r="AH44" s="1566"/>
      <c r="AI44" s="1566"/>
      <c r="AJ44" s="1566"/>
      <c r="AK44" s="1566"/>
    </row>
    <row r="45" spans="2:37" ht="9.4" customHeight="1">
      <c r="B45" s="1568" t="s">
        <v>1326</v>
      </c>
      <c r="C45" s="1568"/>
      <c r="D45" s="1568"/>
      <c r="E45" s="1568" t="s">
        <v>1345</v>
      </c>
      <c r="F45" s="1568"/>
      <c r="G45" s="1568"/>
      <c r="H45" s="1568"/>
      <c r="J45" s="1568" t="s">
        <v>1945</v>
      </c>
      <c r="K45" s="1568"/>
      <c r="L45" s="1568"/>
      <c r="M45" s="1566">
        <v>27424.81</v>
      </c>
      <c r="N45" s="1566"/>
      <c r="O45" s="1566"/>
      <c r="P45" s="1566">
        <v>0</v>
      </c>
      <c r="Q45" s="1566"/>
      <c r="R45" s="1566"/>
      <c r="S45" s="1566">
        <v>12602.92</v>
      </c>
      <c r="T45" s="1566"/>
      <c r="U45" s="1566"/>
      <c r="V45" s="1566"/>
      <c r="W45" s="1566">
        <v>17423.990000000002</v>
      </c>
      <c r="X45" s="1566"/>
      <c r="Y45" s="1566"/>
      <c r="Z45" s="1566"/>
      <c r="AA45" s="1566">
        <v>22603.74</v>
      </c>
      <c r="AB45" s="1566"/>
      <c r="AC45" s="1566"/>
      <c r="AD45" s="1566"/>
      <c r="AE45" s="1566"/>
      <c r="AF45" s="1566"/>
      <c r="AG45" s="1566">
        <v>0</v>
      </c>
      <c r="AH45" s="1566"/>
      <c r="AI45" s="1566"/>
      <c r="AJ45" s="1566"/>
      <c r="AK45" s="1566"/>
    </row>
    <row r="46" spans="2:37" ht="9.4" customHeight="1">
      <c r="B46" s="1568" t="s">
        <v>1326</v>
      </c>
      <c r="C46" s="1568"/>
      <c r="D46" s="1568"/>
      <c r="E46" s="1568" t="s">
        <v>1346</v>
      </c>
      <c r="F46" s="1568"/>
      <c r="G46" s="1568"/>
      <c r="H46" s="1568"/>
      <c r="J46" s="1568" t="s">
        <v>1946</v>
      </c>
      <c r="K46" s="1568"/>
      <c r="L46" s="1568"/>
      <c r="M46" s="1566">
        <v>7969.35</v>
      </c>
      <c r="N46" s="1566"/>
      <c r="O46" s="1566"/>
      <c r="P46" s="1566">
        <v>0</v>
      </c>
      <c r="Q46" s="1566"/>
      <c r="R46" s="1566"/>
      <c r="S46" s="1566">
        <v>7092.98</v>
      </c>
      <c r="T46" s="1566"/>
      <c r="U46" s="1566"/>
      <c r="V46" s="1566"/>
      <c r="W46" s="1566">
        <v>7969.35</v>
      </c>
      <c r="X46" s="1566"/>
      <c r="Y46" s="1566"/>
      <c r="Z46" s="1566"/>
      <c r="AA46" s="1566">
        <v>7092.98</v>
      </c>
      <c r="AB46" s="1566"/>
      <c r="AC46" s="1566"/>
      <c r="AD46" s="1566"/>
      <c r="AE46" s="1566"/>
      <c r="AF46" s="1566"/>
      <c r="AG46" s="1566">
        <v>0</v>
      </c>
      <c r="AH46" s="1566"/>
      <c r="AI46" s="1566"/>
      <c r="AJ46" s="1566"/>
      <c r="AK46" s="1566"/>
    </row>
    <row r="47" spans="2:37" ht="9.4" customHeight="1">
      <c r="B47" s="1568" t="s">
        <v>1326</v>
      </c>
      <c r="C47" s="1568"/>
      <c r="D47" s="1568"/>
      <c r="E47" s="1568" t="s">
        <v>1347</v>
      </c>
      <c r="F47" s="1568"/>
      <c r="G47" s="1568"/>
      <c r="H47" s="1568"/>
      <c r="J47" s="1568" t="s">
        <v>1947</v>
      </c>
      <c r="K47" s="1568"/>
      <c r="L47" s="1568"/>
      <c r="M47" s="1566">
        <v>26035.49</v>
      </c>
      <c r="N47" s="1566"/>
      <c r="O47" s="1566"/>
      <c r="P47" s="1566">
        <v>0</v>
      </c>
      <c r="Q47" s="1566"/>
      <c r="R47" s="1566"/>
      <c r="S47" s="1566">
        <v>22774.76</v>
      </c>
      <c r="T47" s="1566"/>
      <c r="U47" s="1566"/>
      <c r="V47" s="1566"/>
      <c r="W47" s="1566">
        <v>44551.07</v>
      </c>
      <c r="X47" s="1566"/>
      <c r="Y47" s="1566"/>
      <c r="Z47" s="1566"/>
      <c r="AA47" s="1566">
        <v>4259.18</v>
      </c>
      <c r="AB47" s="1566"/>
      <c r="AC47" s="1566"/>
      <c r="AD47" s="1566"/>
      <c r="AE47" s="1566"/>
      <c r="AF47" s="1566"/>
      <c r="AG47" s="1566">
        <v>0</v>
      </c>
      <c r="AH47" s="1566"/>
      <c r="AI47" s="1566"/>
      <c r="AJ47" s="1566"/>
      <c r="AK47" s="1566"/>
    </row>
    <row r="48" spans="2:37" ht="9.4" customHeight="1">
      <c r="B48" s="1568" t="s">
        <v>1326</v>
      </c>
      <c r="C48" s="1568"/>
      <c r="D48" s="1568"/>
      <c r="E48" s="1568" t="s">
        <v>1348</v>
      </c>
      <c r="F48" s="1568"/>
      <c r="G48" s="1568"/>
      <c r="H48" s="1568"/>
      <c r="J48" s="1568" t="s">
        <v>1948</v>
      </c>
      <c r="K48" s="1568"/>
      <c r="L48" s="1568"/>
      <c r="M48" s="1566">
        <v>1313.15</v>
      </c>
      <c r="N48" s="1566"/>
      <c r="O48" s="1566"/>
      <c r="P48" s="1566">
        <v>0</v>
      </c>
      <c r="Q48" s="1566"/>
      <c r="R48" s="1566"/>
      <c r="S48" s="1566">
        <v>1759.19</v>
      </c>
      <c r="T48" s="1566"/>
      <c r="U48" s="1566"/>
      <c r="V48" s="1566"/>
      <c r="W48" s="1566">
        <v>0</v>
      </c>
      <c r="X48" s="1566"/>
      <c r="Y48" s="1566"/>
      <c r="Z48" s="1566"/>
      <c r="AA48" s="1566">
        <v>3072.34</v>
      </c>
      <c r="AB48" s="1566"/>
      <c r="AC48" s="1566"/>
      <c r="AD48" s="1566"/>
      <c r="AE48" s="1566"/>
      <c r="AF48" s="1566"/>
      <c r="AG48" s="1566">
        <v>0</v>
      </c>
      <c r="AH48" s="1566"/>
      <c r="AI48" s="1566"/>
      <c r="AJ48" s="1566"/>
      <c r="AK48" s="1566"/>
    </row>
    <row r="49" spans="1:38" ht="9.4" customHeight="1">
      <c r="B49" s="1568" t="s">
        <v>1326</v>
      </c>
      <c r="C49" s="1568"/>
      <c r="D49" s="1568"/>
      <c r="E49" s="1568" t="s">
        <v>1349</v>
      </c>
      <c r="F49" s="1568"/>
      <c r="G49" s="1568"/>
      <c r="H49" s="1568"/>
      <c r="J49" s="1568" t="s">
        <v>1949</v>
      </c>
      <c r="K49" s="1568"/>
      <c r="L49" s="1568"/>
      <c r="M49" s="1566">
        <v>6896.38</v>
      </c>
      <c r="N49" s="1566"/>
      <c r="O49" s="1566"/>
      <c r="P49" s="1566">
        <v>0</v>
      </c>
      <c r="Q49" s="1566"/>
      <c r="R49" s="1566"/>
      <c r="S49" s="1566">
        <v>6062.41</v>
      </c>
      <c r="T49" s="1566"/>
      <c r="U49" s="1566"/>
      <c r="V49" s="1566"/>
      <c r="W49" s="1566">
        <v>0</v>
      </c>
      <c r="X49" s="1566"/>
      <c r="Y49" s="1566"/>
      <c r="Z49" s="1566"/>
      <c r="AA49" s="1566">
        <v>12958.79</v>
      </c>
      <c r="AB49" s="1566"/>
      <c r="AC49" s="1566"/>
      <c r="AD49" s="1566"/>
      <c r="AE49" s="1566"/>
      <c r="AF49" s="1566"/>
      <c r="AG49" s="1566">
        <v>0</v>
      </c>
      <c r="AH49" s="1566"/>
      <c r="AI49" s="1566"/>
      <c r="AJ49" s="1566"/>
      <c r="AK49" s="1566"/>
    </row>
    <row r="50" spans="1:38" ht="9.4" customHeight="1">
      <c r="B50" s="1568" t="s">
        <v>1326</v>
      </c>
      <c r="C50" s="1568"/>
      <c r="D50" s="1568"/>
      <c r="E50" s="1568" t="s">
        <v>2842</v>
      </c>
      <c r="F50" s="1568"/>
      <c r="G50" s="1568"/>
      <c r="H50" s="1568"/>
      <c r="J50" s="1568" t="s">
        <v>2843</v>
      </c>
      <c r="K50" s="1568"/>
      <c r="L50" s="1568"/>
      <c r="M50" s="1566">
        <v>0</v>
      </c>
      <c r="N50" s="1566"/>
      <c r="O50" s="1566"/>
      <c r="P50" s="1566">
        <v>0</v>
      </c>
      <c r="Q50" s="1566"/>
      <c r="R50" s="1566"/>
      <c r="S50" s="1566">
        <v>1454.06</v>
      </c>
      <c r="T50" s="1566"/>
      <c r="U50" s="1566"/>
      <c r="V50" s="1566"/>
      <c r="W50" s="1566">
        <v>1454.06</v>
      </c>
      <c r="X50" s="1566"/>
      <c r="Y50" s="1566"/>
      <c r="Z50" s="1566"/>
      <c r="AA50" s="1566">
        <v>0</v>
      </c>
      <c r="AB50" s="1566"/>
      <c r="AC50" s="1566"/>
      <c r="AD50" s="1566"/>
      <c r="AE50" s="1566"/>
      <c r="AF50" s="1566"/>
      <c r="AG50" s="1566">
        <v>0</v>
      </c>
      <c r="AH50" s="1566"/>
      <c r="AI50" s="1566"/>
      <c r="AJ50" s="1566"/>
      <c r="AK50" s="1566"/>
    </row>
    <row r="51" spans="1:38" ht="9.4" customHeight="1">
      <c r="B51" s="1568" t="s">
        <v>1326</v>
      </c>
      <c r="C51" s="1568"/>
      <c r="D51" s="1568"/>
      <c r="E51" s="1568" t="s">
        <v>1350</v>
      </c>
      <c r="F51" s="1568"/>
      <c r="G51" s="1568"/>
      <c r="H51" s="1568"/>
      <c r="J51" s="1568" t="s">
        <v>1950</v>
      </c>
      <c r="K51" s="1568"/>
      <c r="L51" s="1568"/>
      <c r="M51" s="1566">
        <v>0</v>
      </c>
      <c r="N51" s="1566"/>
      <c r="O51" s="1566"/>
      <c r="P51" s="1566">
        <v>0</v>
      </c>
      <c r="Q51" s="1566"/>
      <c r="R51" s="1566"/>
      <c r="S51" s="1566">
        <v>603.09</v>
      </c>
      <c r="T51" s="1566"/>
      <c r="U51" s="1566"/>
      <c r="V51" s="1566"/>
      <c r="W51" s="1566">
        <v>603.09</v>
      </c>
      <c r="X51" s="1566"/>
      <c r="Y51" s="1566"/>
      <c r="Z51" s="1566"/>
      <c r="AA51" s="1566">
        <v>0</v>
      </c>
      <c r="AB51" s="1566"/>
      <c r="AC51" s="1566"/>
      <c r="AD51" s="1566"/>
      <c r="AE51" s="1566"/>
      <c r="AF51" s="1566"/>
      <c r="AG51" s="1566">
        <v>0</v>
      </c>
      <c r="AH51" s="1566"/>
      <c r="AI51" s="1566"/>
      <c r="AJ51" s="1566"/>
      <c r="AK51" s="1566"/>
    </row>
    <row r="52" spans="1:38" ht="9.4" customHeight="1">
      <c r="B52" s="1568" t="s">
        <v>1326</v>
      </c>
      <c r="C52" s="1568"/>
      <c r="D52" s="1568"/>
      <c r="E52" s="1568" t="s">
        <v>1351</v>
      </c>
      <c r="F52" s="1568"/>
      <c r="G52" s="1568"/>
      <c r="H52" s="1568"/>
      <c r="J52" s="1568" t="s">
        <v>1951</v>
      </c>
      <c r="K52" s="1568"/>
      <c r="L52" s="1568"/>
      <c r="M52" s="1566">
        <v>0</v>
      </c>
      <c r="N52" s="1566"/>
      <c r="O52" s="1566"/>
      <c r="P52" s="1566">
        <v>0</v>
      </c>
      <c r="Q52" s="1566"/>
      <c r="R52" s="1566"/>
      <c r="S52" s="1566">
        <v>208391.62</v>
      </c>
      <c r="T52" s="1566"/>
      <c r="U52" s="1566"/>
      <c r="V52" s="1566"/>
      <c r="W52" s="1566">
        <v>208391.62</v>
      </c>
      <c r="X52" s="1566"/>
      <c r="Y52" s="1566"/>
      <c r="Z52" s="1566"/>
      <c r="AA52" s="1566">
        <v>0</v>
      </c>
      <c r="AB52" s="1566"/>
      <c r="AC52" s="1566"/>
      <c r="AD52" s="1566"/>
      <c r="AE52" s="1566"/>
      <c r="AF52" s="1566"/>
      <c r="AG52" s="1566">
        <v>0</v>
      </c>
      <c r="AH52" s="1566"/>
      <c r="AI52" s="1566"/>
      <c r="AJ52" s="1566"/>
      <c r="AK52" s="1566"/>
    </row>
    <row r="53" spans="1:38" ht="9.4" customHeight="1">
      <c r="B53" s="1568" t="s">
        <v>1326</v>
      </c>
      <c r="C53" s="1568"/>
      <c r="D53" s="1568"/>
      <c r="E53" s="1568" t="s">
        <v>1352</v>
      </c>
      <c r="F53" s="1568"/>
      <c r="G53" s="1568"/>
      <c r="H53" s="1568"/>
      <c r="J53" s="1568" t="s">
        <v>1952</v>
      </c>
      <c r="K53" s="1568"/>
      <c r="L53" s="1568"/>
      <c r="M53" s="1566">
        <v>0</v>
      </c>
      <c r="N53" s="1566"/>
      <c r="O53" s="1566"/>
      <c r="P53" s="1566">
        <v>0</v>
      </c>
      <c r="Q53" s="1566"/>
      <c r="R53" s="1566"/>
      <c r="S53" s="1566">
        <v>17688.490000000002</v>
      </c>
      <c r="T53" s="1566"/>
      <c r="U53" s="1566"/>
      <c r="V53" s="1566"/>
      <c r="W53" s="1566">
        <v>17688.490000000002</v>
      </c>
      <c r="X53" s="1566"/>
      <c r="Y53" s="1566"/>
      <c r="Z53" s="1566"/>
      <c r="AA53" s="1566">
        <v>0</v>
      </c>
      <c r="AB53" s="1566"/>
      <c r="AC53" s="1566"/>
      <c r="AD53" s="1566"/>
      <c r="AE53" s="1566"/>
      <c r="AF53" s="1566"/>
      <c r="AG53" s="1566">
        <v>0</v>
      </c>
      <c r="AH53" s="1566"/>
      <c r="AI53" s="1566"/>
      <c r="AJ53" s="1566"/>
      <c r="AK53" s="1566"/>
    </row>
    <row r="54" spans="1:38" ht="9.4" customHeight="1">
      <c r="B54" s="1568" t="s">
        <v>1326</v>
      </c>
      <c r="C54" s="1568"/>
      <c r="D54" s="1568"/>
      <c r="E54" s="1568" t="s">
        <v>2844</v>
      </c>
      <c r="F54" s="1568"/>
      <c r="G54" s="1568"/>
      <c r="H54" s="1568"/>
      <c r="J54" s="1568" t="s">
        <v>2845</v>
      </c>
      <c r="K54" s="1568"/>
      <c r="L54" s="1568"/>
      <c r="M54" s="1566">
        <v>2746.23</v>
      </c>
      <c r="N54" s="1566"/>
      <c r="O54" s="1566"/>
      <c r="P54" s="1566">
        <v>0</v>
      </c>
      <c r="Q54" s="1566"/>
      <c r="R54" s="1566"/>
      <c r="S54" s="1566">
        <v>1264.42</v>
      </c>
      <c r="T54" s="1566"/>
      <c r="U54" s="1566"/>
      <c r="V54" s="1566"/>
      <c r="W54" s="1566">
        <v>1264.42</v>
      </c>
      <c r="X54" s="1566"/>
      <c r="Y54" s="1566"/>
      <c r="Z54" s="1566"/>
      <c r="AA54" s="1566">
        <v>2746.23</v>
      </c>
      <c r="AB54" s="1566"/>
      <c r="AC54" s="1566"/>
      <c r="AD54" s="1566"/>
      <c r="AE54" s="1566"/>
      <c r="AF54" s="1566"/>
      <c r="AG54" s="1566">
        <v>0</v>
      </c>
      <c r="AH54" s="1566"/>
      <c r="AI54" s="1566"/>
      <c r="AJ54" s="1566"/>
      <c r="AK54" s="1566"/>
    </row>
    <row r="55" spans="1:38" ht="9.4" customHeight="1">
      <c r="B55" s="1568" t="s">
        <v>1326</v>
      </c>
      <c r="C55" s="1568"/>
      <c r="D55" s="1568"/>
      <c r="E55" s="1568" t="s">
        <v>1353</v>
      </c>
      <c r="F55" s="1568"/>
      <c r="G55" s="1568"/>
      <c r="H55" s="1568"/>
      <c r="J55" s="1568" t="s">
        <v>1953</v>
      </c>
      <c r="K55" s="1568"/>
      <c r="L55" s="1568"/>
      <c r="M55" s="1566">
        <v>13819.19</v>
      </c>
      <c r="N55" s="1566"/>
      <c r="O55" s="1566"/>
      <c r="P55" s="1566">
        <v>0</v>
      </c>
      <c r="Q55" s="1566"/>
      <c r="R55" s="1566"/>
      <c r="S55" s="1566">
        <v>14814.88</v>
      </c>
      <c r="T55" s="1566"/>
      <c r="U55" s="1566"/>
      <c r="V55" s="1566"/>
      <c r="W55" s="1566">
        <v>0</v>
      </c>
      <c r="X55" s="1566"/>
      <c r="Y55" s="1566"/>
      <c r="Z55" s="1566"/>
      <c r="AA55" s="1566">
        <v>28634.07</v>
      </c>
      <c r="AB55" s="1566"/>
      <c r="AC55" s="1566"/>
      <c r="AD55" s="1566"/>
      <c r="AE55" s="1566"/>
      <c r="AF55" s="1566"/>
      <c r="AG55" s="1566">
        <v>0</v>
      </c>
      <c r="AH55" s="1566"/>
      <c r="AI55" s="1566"/>
      <c r="AJ55" s="1566"/>
      <c r="AK55" s="1566"/>
    </row>
    <row r="56" spans="1:38" ht="9.4" customHeight="1">
      <c r="B56" s="1568" t="s">
        <v>1326</v>
      </c>
      <c r="C56" s="1568"/>
      <c r="D56" s="1568"/>
      <c r="E56" s="1568" t="s">
        <v>1354</v>
      </c>
      <c r="F56" s="1568"/>
      <c r="G56" s="1568"/>
      <c r="H56" s="1568"/>
      <c r="J56" s="1568" t="s">
        <v>1954</v>
      </c>
      <c r="K56" s="1568"/>
      <c r="L56" s="1568"/>
      <c r="M56" s="1566">
        <v>360211.51</v>
      </c>
      <c r="N56" s="1566"/>
      <c r="O56" s="1566"/>
      <c r="P56" s="1566">
        <v>0</v>
      </c>
      <c r="Q56" s="1566"/>
      <c r="R56" s="1566"/>
      <c r="S56" s="1566">
        <v>0</v>
      </c>
      <c r="T56" s="1566"/>
      <c r="U56" s="1566"/>
      <c r="V56" s="1566"/>
      <c r="W56" s="1566">
        <v>0</v>
      </c>
      <c r="X56" s="1566"/>
      <c r="Y56" s="1566"/>
      <c r="Z56" s="1566"/>
      <c r="AA56" s="1566">
        <v>360211.51</v>
      </c>
      <c r="AB56" s="1566"/>
      <c r="AC56" s="1566"/>
      <c r="AD56" s="1566"/>
      <c r="AE56" s="1566"/>
      <c r="AF56" s="1566"/>
      <c r="AG56" s="1566">
        <v>0</v>
      </c>
      <c r="AH56" s="1566"/>
      <c r="AI56" s="1566"/>
      <c r="AJ56" s="1566"/>
      <c r="AK56" s="1566"/>
    </row>
    <row r="57" spans="1:38" ht="9.4" customHeight="1">
      <c r="B57" s="1568" t="s">
        <v>1326</v>
      </c>
      <c r="C57" s="1568"/>
      <c r="D57" s="1568"/>
      <c r="E57" s="1568" t="s">
        <v>1355</v>
      </c>
      <c r="F57" s="1568"/>
      <c r="G57" s="1568"/>
      <c r="H57" s="1568"/>
      <c r="J57" s="1568" t="s">
        <v>1955</v>
      </c>
      <c r="K57" s="1568"/>
      <c r="L57" s="1568"/>
      <c r="M57" s="1566">
        <v>0</v>
      </c>
      <c r="N57" s="1566"/>
      <c r="O57" s="1566"/>
      <c r="P57" s="1566">
        <v>0</v>
      </c>
      <c r="Q57" s="1566"/>
      <c r="R57" s="1566"/>
      <c r="S57" s="1566">
        <v>79113.05</v>
      </c>
      <c r="T57" s="1566"/>
      <c r="U57" s="1566"/>
      <c r="V57" s="1566"/>
      <c r="W57" s="1566">
        <v>79113.05</v>
      </c>
      <c r="X57" s="1566"/>
      <c r="Y57" s="1566"/>
      <c r="Z57" s="1566"/>
      <c r="AA57" s="1566">
        <v>0</v>
      </c>
      <c r="AB57" s="1566"/>
      <c r="AC57" s="1566"/>
      <c r="AD57" s="1566"/>
      <c r="AE57" s="1566"/>
      <c r="AF57" s="1566"/>
      <c r="AG57" s="1566">
        <v>0</v>
      </c>
      <c r="AH57" s="1566"/>
      <c r="AI57" s="1566"/>
      <c r="AJ57" s="1566"/>
      <c r="AK57" s="1566"/>
    </row>
    <row r="58" spans="1:38" ht="7.35" customHeight="1"/>
    <row r="59" spans="1:38" ht="14.1" customHeight="1">
      <c r="AG59" s="1565" t="s">
        <v>1959</v>
      </c>
      <c r="AH59" s="1565"/>
      <c r="AI59" s="1565"/>
      <c r="AJ59" s="1565"/>
      <c r="AK59" s="1565"/>
      <c r="AL59" s="1565"/>
    </row>
    <row r="60" spans="1:38" ht="7.15" customHeight="1">
      <c r="D60" s="1578" t="s">
        <v>2992</v>
      </c>
      <c r="E60" s="1578"/>
      <c r="F60" s="1578"/>
      <c r="G60" s="1578"/>
      <c r="H60" s="1578"/>
      <c r="I60" s="1578"/>
      <c r="J60" s="1578"/>
      <c r="K60" s="1578"/>
      <c r="L60" s="1578"/>
      <c r="M60" s="1578"/>
      <c r="N60" s="1578"/>
      <c r="O60" s="1578"/>
      <c r="P60" s="1578"/>
      <c r="Q60" s="1578"/>
      <c r="R60" s="1578"/>
      <c r="S60" s="1578"/>
      <c r="T60" s="1578"/>
      <c r="U60" s="1578"/>
      <c r="V60" s="1578"/>
      <c r="W60" s="1578"/>
      <c r="X60" s="1578"/>
      <c r="Y60" s="1578"/>
      <c r="Z60" s="1578"/>
      <c r="AA60" s="1578"/>
      <c r="AB60" s="1578"/>
      <c r="AC60" s="1578"/>
      <c r="AD60" s="1578"/>
      <c r="AE60" s="1578"/>
      <c r="AF60" s="1578"/>
      <c r="AG60" s="1578"/>
      <c r="AH60" s="1578"/>
    </row>
    <row r="61" spans="1:38" ht="9.6" customHeight="1">
      <c r="A61" s="1579"/>
      <c r="B61" s="1579"/>
      <c r="C61" s="1579"/>
      <c r="D61" s="1579"/>
      <c r="E61" s="1579"/>
      <c r="F61" s="1579"/>
      <c r="G61" s="1579"/>
      <c r="H61" s="1579"/>
      <c r="I61" s="1579"/>
      <c r="J61" s="1578"/>
      <c r="K61" s="1578"/>
      <c r="L61" s="1578"/>
      <c r="M61" s="1578"/>
      <c r="N61" s="1578"/>
      <c r="O61" s="1578"/>
      <c r="P61" s="1578"/>
      <c r="Q61" s="1578"/>
      <c r="R61" s="1578"/>
      <c r="S61" s="1578"/>
      <c r="T61" s="1578"/>
      <c r="U61" s="1578"/>
      <c r="V61" s="1578"/>
      <c r="W61" s="1578"/>
      <c r="X61" s="1578"/>
      <c r="Y61" s="1578"/>
      <c r="Z61" s="1578"/>
      <c r="AA61" s="1578"/>
      <c r="AB61" s="1578"/>
      <c r="AC61" s="1578"/>
      <c r="AD61" s="1578"/>
      <c r="AE61" s="1578"/>
      <c r="AF61" s="1578"/>
      <c r="AG61" s="1578"/>
      <c r="AH61" s="1578"/>
    </row>
    <row r="62" spans="1:38" ht="13.35" customHeight="1">
      <c r="A62" s="1579"/>
      <c r="B62" s="1579"/>
      <c r="C62" s="1579"/>
      <c r="D62" s="1579"/>
      <c r="E62" s="1579"/>
      <c r="F62" s="1579"/>
      <c r="G62" s="1579"/>
      <c r="H62" s="1579"/>
      <c r="I62" s="1579"/>
      <c r="J62" s="1580" t="s">
        <v>79</v>
      </c>
      <c r="K62" s="1580"/>
      <c r="L62" s="1580"/>
      <c r="M62" s="1580"/>
      <c r="N62" s="1580"/>
      <c r="O62" s="1580"/>
      <c r="P62" s="1580"/>
      <c r="Q62" s="1580"/>
      <c r="R62" s="1580"/>
      <c r="S62" s="1580"/>
      <c r="T62" s="1580"/>
      <c r="U62" s="1580"/>
      <c r="V62" s="1580"/>
      <c r="W62" s="1580"/>
      <c r="X62" s="1580"/>
      <c r="Y62" s="1580"/>
      <c r="Z62" s="1580"/>
      <c r="AA62" s="1580"/>
      <c r="AB62" s="1580"/>
      <c r="AC62" s="1580"/>
      <c r="AD62" s="1580"/>
      <c r="AE62" s="1580"/>
      <c r="AF62" s="1580"/>
    </row>
    <row r="63" spans="1:38" ht="5.25" customHeight="1">
      <c r="A63" s="1579"/>
      <c r="B63" s="1579"/>
      <c r="C63" s="1579"/>
      <c r="D63" s="1579"/>
      <c r="E63" s="1579"/>
      <c r="F63" s="1579"/>
      <c r="G63" s="1579"/>
      <c r="H63" s="1579"/>
      <c r="I63" s="1579"/>
      <c r="J63" s="1573" t="s">
        <v>6760</v>
      </c>
      <c r="K63" s="1573"/>
      <c r="L63" s="1573"/>
      <c r="M63" s="1573"/>
      <c r="N63" s="1573"/>
      <c r="O63" s="1573"/>
      <c r="P63" s="1573"/>
      <c r="Q63" s="1573"/>
      <c r="R63" s="1573"/>
      <c r="S63" s="1573"/>
      <c r="T63" s="1573"/>
      <c r="U63" s="1573"/>
      <c r="V63" s="1573"/>
      <c r="W63" s="1573"/>
      <c r="X63" s="1573"/>
      <c r="Y63" s="1573"/>
      <c r="Z63" s="1573"/>
      <c r="AA63" s="1573"/>
      <c r="AB63" s="1573"/>
      <c r="AC63" s="1573"/>
      <c r="AD63" s="1573"/>
      <c r="AE63" s="1573"/>
    </row>
    <row r="64" spans="1:38" ht="8.1" customHeight="1">
      <c r="C64" s="1572" t="s">
        <v>1920</v>
      </c>
      <c r="D64" s="1572"/>
      <c r="E64" s="1572"/>
      <c r="F64" s="1572"/>
      <c r="G64" s="1572"/>
      <c r="H64" s="1572"/>
      <c r="I64" s="1572"/>
      <c r="J64" s="1572"/>
      <c r="K64" s="1573"/>
      <c r="L64" s="1573"/>
      <c r="M64" s="1573"/>
      <c r="N64" s="1573"/>
      <c r="O64" s="1573"/>
      <c r="P64" s="1573"/>
      <c r="Q64" s="1573"/>
      <c r="R64" s="1573"/>
      <c r="S64" s="1573"/>
      <c r="T64" s="1573"/>
      <c r="U64" s="1573"/>
      <c r="V64" s="1573"/>
      <c r="W64" s="1573"/>
      <c r="X64" s="1573"/>
      <c r="Y64" s="1574" t="s">
        <v>5920</v>
      </c>
      <c r="Z64" s="1574"/>
      <c r="AA64" s="1574"/>
      <c r="AB64" s="1574"/>
      <c r="AC64" s="1574"/>
      <c r="AD64" s="1574"/>
      <c r="AE64" s="1574"/>
      <c r="AF64" s="1574"/>
      <c r="AG64" s="1574"/>
      <c r="AH64" s="1575" t="s">
        <v>6761</v>
      </c>
      <c r="AI64" s="1575"/>
      <c r="AJ64" s="1575"/>
      <c r="AK64" s="1575"/>
      <c r="AL64" s="1575"/>
    </row>
    <row r="65" spans="2:38" ht="6" customHeight="1">
      <c r="C65" s="1572"/>
      <c r="D65" s="1572"/>
      <c r="E65" s="1572"/>
      <c r="F65" s="1572"/>
      <c r="G65" s="1572"/>
      <c r="H65" s="1572"/>
      <c r="I65" s="1572"/>
      <c r="J65" s="1572"/>
      <c r="K65" s="1576" t="s">
        <v>1999</v>
      </c>
      <c r="L65" s="1576"/>
      <c r="M65" s="1576"/>
      <c r="N65" s="1576"/>
      <c r="O65" s="1576"/>
      <c r="P65" s="1576"/>
      <c r="Q65" s="1576"/>
      <c r="R65" s="1576"/>
      <c r="S65" s="1576"/>
      <c r="T65" s="1576"/>
      <c r="U65" s="1576"/>
      <c r="V65" s="1576"/>
      <c r="W65" s="1576"/>
      <c r="X65" s="1576"/>
      <c r="Y65" s="1574"/>
      <c r="Z65" s="1574"/>
      <c r="AA65" s="1574"/>
      <c r="AB65" s="1574"/>
      <c r="AC65" s="1574"/>
      <c r="AD65" s="1574"/>
      <c r="AE65" s="1574"/>
      <c r="AF65" s="1574"/>
      <c r="AG65" s="1574"/>
      <c r="AH65" s="1575"/>
      <c r="AI65" s="1575"/>
      <c r="AJ65" s="1575"/>
      <c r="AK65" s="1575"/>
      <c r="AL65" s="1575"/>
    </row>
    <row r="66" spans="2:38" ht="7.35" customHeight="1">
      <c r="C66" s="1572" t="s">
        <v>1998</v>
      </c>
      <c r="D66" s="1572"/>
      <c r="E66" s="1572"/>
      <c r="F66" s="1572"/>
      <c r="G66" s="1577"/>
      <c r="H66" s="1577"/>
      <c r="I66" s="1577"/>
      <c r="J66" s="1577"/>
      <c r="K66" s="1577"/>
      <c r="L66" s="1577"/>
      <c r="M66" s="1577"/>
      <c r="N66" s="1577"/>
      <c r="O66" s="1577"/>
      <c r="P66" s="1577"/>
      <c r="Q66" s="1577"/>
      <c r="R66" s="1577"/>
      <c r="S66" s="1577"/>
      <c r="T66" s="1577"/>
      <c r="U66" s="1577"/>
      <c r="V66" s="1577"/>
      <c r="W66" s="1577"/>
      <c r="X66" s="1577"/>
      <c r="Y66" s="1577"/>
      <c r="Z66" s="1577"/>
      <c r="AA66" s="1577"/>
      <c r="AB66" s="1577"/>
      <c r="AC66" s="1577"/>
      <c r="AD66" s="1577"/>
      <c r="AE66" s="1577"/>
      <c r="AF66" s="1574"/>
      <c r="AG66" s="1574"/>
      <c r="AH66" s="1574" t="s">
        <v>6762</v>
      </c>
      <c r="AI66" s="1574"/>
    </row>
    <row r="67" spans="2:38" ht="6.75" customHeight="1">
      <c r="G67" s="1577"/>
      <c r="H67" s="1577"/>
      <c r="I67" s="1577"/>
      <c r="J67" s="1577"/>
      <c r="K67" s="1577"/>
      <c r="L67" s="1577"/>
      <c r="M67" s="1577"/>
      <c r="N67" s="1577"/>
      <c r="O67" s="1577"/>
      <c r="P67" s="1577"/>
      <c r="Q67" s="1577"/>
      <c r="R67" s="1577"/>
      <c r="S67" s="1577"/>
      <c r="T67" s="1577"/>
      <c r="U67" s="1577"/>
      <c r="V67" s="1577"/>
      <c r="W67" s="1577"/>
      <c r="X67" s="1577"/>
      <c r="Y67" s="1577"/>
      <c r="Z67" s="1577"/>
      <c r="AA67" s="1577"/>
      <c r="AB67" s="1577"/>
      <c r="AC67" s="1577"/>
      <c r="AD67" s="1577"/>
      <c r="AE67" s="1577"/>
      <c r="AF67" s="1574"/>
      <c r="AG67" s="1574"/>
      <c r="AH67" s="1574"/>
      <c r="AI67" s="1574"/>
    </row>
    <row r="68" spans="2:38" ht="11.25" customHeight="1">
      <c r="O68" s="1570" t="s">
        <v>1318</v>
      </c>
      <c r="P68" s="1570"/>
      <c r="Q68" s="1570"/>
      <c r="V68" s="1570" t="s">
        <v>1319</v>
      </c>
      <c r="W68" s="1570"/>
      <c r="X68" s="1570"/>
      <c r="Y68" s="1570"/>
      <c r="AD68" s="1570" t="s">
        <v>1320</v>
      </c>
      <c r="AE68" s="1570"/>
      <c r="AF68" s="1570"/>
      <c r="AG68" s="1570"/>
      <c r="AH68" s="1570"/>
      <c r="AI68" s="1570"/>
      <c r="AJ68" s="1570"/>
    </row>
    <row r="69" spans="2:38" ht="8.4499999999999993" customHeight="1">
      <c r="B69" s="1571" t="s">
        <v>1321</v>
      </c>
      <c r="C69" s="1571"/>
      <c r="D69" s="1571"/>
      <c r="E69" s="1571" t="s">
        <v>1322</v>
      </c>
      <c r="F69" s="1571"/>
      <c r="G69" s="1571"/>
      <c r="J69" s="1571" t="s">
        <v>1323</v>
      </c>
      <c r="K69" s="1571"/>
      <c r="L69" s="1571"/>
      <c r="M69" s="1571"/>
      <c r="N69" s="1571"/>
      <c r="O69" s="1402" t="s">
        <v>1324</v>
      </c>
      <c r="Q69" s="1569" t="s">
        <v>1325</v>
      </c>
      <c r="R69" s="1569"/>
      <c r="U69" s="1569" t="s">
        <v>1324</v>
      </c>
      <c r="V69" s="1569"/>
      <c r="X69" s="1569" t="s">
        <v>1325</v>
      </c>
      <c r="Y69" s="1569"/>
      <c r="Z69" s="1569"/>
      <c r="AC69" s="1569" t="s">
        <v>1324</v>
      </c>
      <c r="AD69" s="1569"/>
      <c r="AE69" s="1569"/>
      <c r="AF69" s="1569"/>
      <c r="AH69" s="1569" t="s">
        <v>1325</v>
      </c>
      <c r="AI69" s="1569"/>
      <c r="AJ69" s="1569"/>
      <c r="AK69" s="1569"/>
    </row>
    <row r="70" spans="2:38" ht="9.9499999999999993" customHeight="1">
      <c r="B70" s="1568" t="s">
        <v>1326</v>
      </c>
      <c r="C70" s="1568"/>
      <c r="D70" s="1568"/>
      <c r="E70" s="1568" t="s">
        <v>1356</v>
      </c>
      <c r="F70" s="1568"/>
      <c r="G70" s="1568"/>
      <c r="H70" s="1568"/>
      <c r="J70" s="1568" t="s">
        <v>1956</v>
      </c>
      <c r="K70" s="1568"/>
      <c r="L70" s="1568"/>
      <c r="M70" s="1566">
        <v>0</v>
      </c>
      <c r="N70" s="1566"/>
      <c r="O70" s="1566"/>
      <c r="P70" s="1566">
        <v>0</v>
      </c>
      <c r="Q70" s="1566"/>
      <c r="R70" s="1566"/>
      <c r="S70" s="1566">
        <v>11086.74</v>
      </c>
      <c r="T70" s="1566"/>
      <c r="U70" s="1566"/>
      <c r="V70" s="1566"/>
      <c r="W70" s="1566">
        <v>11086.74</v>
      </c>
      <c r="X70" s="1566"/>
      <c r="Y70" s="1566"/>
      <c r="Z70" s="1566"/>
      <c r="AA70" s="1566">
        <v>0</v>
      </c>
      <c r="AB70" s="1566"/>
      <c r="AC70" s="1566"/>
      <c r="AD70" s="1566"/>
      <c r="AE70" s="1566"/>
      <c r="AF70" s="1566"/>
      <c r="AG70" s="1566">
        <v>0</v>
      </c>
      <c r="AH70" s="1566"/>
      <c r="AI70" s="1566"/>
      <c r="AJ70" s="1566"/>
      <c r="AK70" s="1566"/>
    </row>
    <row r="71" spans="2:38" ht="9.4" customHeight="1">
      <c r="B71" s="1568" t="s">
        <v>1326</v>
      </c>
      <c r="C71" s="1568"/>
      <c r="D71" s="1568"/>
      <c r="E71" s="1568" t="s">
        <v>1357</v>
      </c>
      <c r="F71" s="1568"/>
      <c r="G71" s="1568"/>
      <c r="H71" s="1568"/>
      <c r="J71" s="1568" t="s">
        <v>1957</v>
      </c>
      <c r="K71" s="1568"/>
      <c r="L71" s="1568"/>
      <c r="M71" s="1566">
        <v>0</v>
      </c>
      <c r="N71" s="1566"/>
      <c r="O71" s="1566"/>
      <c r="P71" s="1566">
        <v>0</v>
      </c>
      <c r="Q71" s="1566"/>
      <c r="R71" s="1566"/>
      <c r="S71" s="1566">
        <v>3419.73</v>
      </c>
      <c r="T71" s="1566"/>
      <c r="U71" s="1566"/>
      <c r="V71" s="1566"/>
      <c r="W71" s="1566">
        <v>3419.73</v>
      </c>
      <c r="X71" s="1566"/>
      <c r="Y71" s="1566"/>
      <c r="Z71" s="1566"/>
      <c r="AA71" s="1566">
        <v>0</v>
      </c>
      <c r="AB71" s="1566"/>
      <c r="AC71" s="1566"/>
      <c r="AD71" s="1566"/>
      <c r="AE71" s="1566"/>
      <c r="AF71" s="1566"/>
      <c r="AG71" s="1566">
        <v>0</v>
      </c>
      <c r="AH71" s="1566"/>
      <c r="AI71" s="1566"/>
      <c r="AJ71" s="1566"/>
      <c r="AK71" s="1566"/>
    </row>
    <row r="72" spans="2:38" ht="9.4" customHeight="1">
      <c r="B72" s="1568" t="s">
        <v>1326</v>
      </c>
      <c r="C72" s="1568"/>
      <c r="D72" s="1568"/>
      <c r="E72" s="1568" t="s">
        <v>1358</v>
      </c>
      <c r="F72" s="1568"/>
      <c r="G72" s="1568"/>
      <c r="H72" s="1568"/>
      <c r="J72" s="1568" t="s">
        <v>1958</v>
      </c>
      <c r="K72" s="1568"/>
      <c r="L72" s="1568"/>
      <c r="M72" s="1566">
        <v>47794.080000000002</v>
      </c>
      <c r="N72" s="1566"/>
      <c r="O72" s="1566"/>
      <c r="P72" s="1566">
        <v>0</v>
      </c>
      <c r="Q72" s="1566"/>
      <c r="R72" s="1566"/>
      <c r="S72" s="1566">
        <v>9174.15</v>
      </c>
      <c r="T72" s="1566"/>
      <c r="U72" s="1566"/>
      <c r="V72" s="1566"/>
      <c r="W72" s="1566">
        <v>20294.64</v>
      </c>
      <c r="X72" s="1566"/>
      <c r="Y72" s="1566"/>
      <c r="Z72" s="1566"/>
      <c r="AA72" s="1566">
        <v>36673.589999999997</v>
      </c>
      <c r="AB72" s="1566"/>
      <c r="AC72" s="1566"/>
      <c r="AD72" s="1566"/>
      <c r="AE72" s="1566"/>
      <c r="AF72" s="1566"/>
      <c r="AG72" s="1566">
        <v>0</v>
      </c>
      <c r="AH72" s="1566"/>
      <c r="AI72" s="1566"/>
      <c r="AJ72" s="1566"/>
      <c r="AK72" s="1566"/>
    </row>
    <row r="73" spans="2:38" ht="9.4" customHeight="1">
      <c r="B73" s="1568" t="s">
        <v>1326</v>
      </c>
      <c r="C73" s="1568"/>
      <c r="D73" s="1568"/>
      <c r="E73" s="1568" t="s">
        <v>1359</v>
      </c>
      <c r="F73" s="1568"/>
      <c r="G73" s="1568"/>
      <c r="H73" s="1568"/>
      <c r="J73" s="1568" t="s">
        <v>1960</v>
      </c>
      <c r="K73" s="1568"/>
      <c r="L73" s="1568"/>
      <c r="M73" s="1566">
        <v>842.52</v>
      </c>
      <c r="N73" s="1566"/>
      <c r="O73" s="1566"/>
      <c r="P73" s="1566">
        <v>0</v>
      </c>
      <c r="Q73" s="1566"/>
      <c r="R73" s="1566"/>
      <c r="S73" s="1566">
        <v>810.9</v>
      </c>
      <c r="T73" s="1566"/>
      <c r="U73" s="1566"/>
      <c r="V73" s="1566"/>
      <c r="W73" s="1566">
        <v>810.9</v>
      </c>
      <c r="X73" s="1566"/>
      <c r="Y73" s="1566"/>
      <c r="Z73" s="1566"/>
      <c r="AA73" s="1566">
        <v>842.52</v>
      </c>
      <c r="AB73" s="1566"/>
      <c r="AC73" s="1566"/>
      <c r="AD73" s="1566"/>
      <c r="AE73" s="1566"/>
      <c r="AF73" s="1566"/>
      <c r="AG73" s="1566">
        <v>0</v>
      </c>
      <c r="AH73" s="1566"/>
      <c r="AI73" s="1566"/>
      <c r="AJ73" s="1566"/>
      <c r="AK73" s="1566"/>
    </row>
    <row r="74" spans="2:38" ht="9.4" customHeight="1">
      <c r="B74" s="1568" t="s">
        <v>1326</v>
      </c>
      <c r="C74" s="1568"/>
      <c r="D74" s="1568"/>
      <c r="E74" s="1568" t="s">
        <v>1360</v>
      </c>
      <c r="F74" s="1568"/>
      <c r="G74" s="1568"/>
      <c r="H74" s="1568"/>
      <c r="J74" s="1568" t="s">
        <v>1961</v>
      </c>
      <c r="K74" s="1568"/>
      <c r="L74" s="1568"/>
      <c r="M74" s="1566">
        <v>74711.91</v>
      </c>
      <c r="N74" s="1566"/>
      <c r="O74" s="1566"/>
      <c r="P74" s="1566">
        <v>0</v>
      </c>
      <c r="Q74" s="1566"/>
      <c r="R74" s="1566"/>
      <c r="S74" s="1566">
        <v>104937.27</v>
      </c>
      <c r="T74" s="1566"/>
      <c r="U74" s="1566"/>
      <c r="V74" s="1566"/>
      <c r="W74" s="1566">
        <v>179649.18</v>
      </c>
      <c r="X74" s="1566"/>
      <c r="Y74" s="1566"/>
      <c r="Z74" s="1566"/>
      <c r="AA74" s="1566">
        <v>0</v>
      </c>
      <c r="AB74" s="1566"/>
      <c r="AC74" s="1566"/>
      <c r="AD74" s="1566"/>
      <c r="AE74" s="1566"/>
      <c r="AF74" s="1566"/>
      <c r="AG74" s="1566">
        <v>0</v>
      </c>
      <c r="AH74" s="1566"/>
      <c r="AI74" s="1566"/>
      <c r="AJ74" s="1566"/>
      <c r="AK74" s="1566"/>
    </row>
    <row r="75" spans="2:38" ht="9.4" customHeight="1">
      <c r="B75" s="1568" t="s">
        <v>1326</v>
      </c>
      <c r="C75" s="1568"/>
      <c r="D75" s="1568"/>
      <c r="E75" s="1568" t="s">
        <v>1799</v>
      </c>
      <c r="F75" s="1568"/>
      <c r="G75" s="1568"/>
      <c r="H75" s="1568"/>
      <c r="J75" s="1568" t="s">
        <v>1962</v>
      </c>
      <c r="K75" s="1568"/>
      <c r="L75" s="1568"/>
      <c r="M75" s="1566">
        <v>47344.65</v>
      </c>
      <c r="N75" s="1566"/>
      <c r="O75" s="1566"/>
      <c r="P75" s="1566">
        <v>0</v>
      </c>
      <c r="Q75" s="1566"/>
      <c r="R75" s="1566"/>
      <c r="S75" s="1566">
        <v>11309.58</v>
      </c>
      <c r="T75" s="1566"/>
      <c r="U75" s="1566"/>
      <c r="V75" s="1566"/>
      <c r="W75" s="1566">
        <v>10396.200000000001</v>
      </c>
      <c r="X75" s="1566"/>
      <c r="Y75" s="1566"/>
      <c r="Z75" s="1566"/>
      <c r="AA75" s="1566">
        <v>48258.03</v>
      </c>
      <c r="AB75" s="1566"/>
      <c r="AC75" s="1566"/>
      <c r="AD75" s="1566"/>
      <c r="AE75" s="1566"/>
      <c r="AF75" s="1566"/>
      <c r="AG75" s="1566">
        <v>0</v>
      </c>
      <c r="AH75" s="1566"/>
      <c r="AI75" s="1566"/>
      <c r="AJ75" s="1566"/>
      <c r="AK75" s="1566"/>
    </row>
    <row r="76" spans="2:38" ht="9.4" customHeight="1">
      <c r="B76" s="1568" t="s">
        <v>1326</v>
      </c>
      <c r="C76" s="1568"/>
      <c r="D76" s="1568"/>
      <c r="E76" s="1568" t="s">
        <v>1361</v>
      </c>
      <c r="F76" s="1568"/>
      <c r="G76" s="1568"/>
      <c r="H76" s="1568"/>
      <c r="J76" s="1568" t="s">
        <v>1963</v>
      </c>
      <c r="K76" s="1568"/>
      <c r="L76" s="1568"/>
      <c r="M76" s="1566">
        <v>2549.61</v>
      </c>
      <c r="N76" s="1566"/>
      <c r="O76" s="1566"/>
      <c r="P76" s="1566">
        <v>0</v>
      </c>
      <c r="Q76" s="1566"/>
      <c r="R76" s="1566"/>
      <c r="S76" s="1566">
        <v>1973.29</v>
      </c>
      <c r="T76" s="1566"/>
      <c r="U76" s="1566"/>
      <c r="V76" s="1566"/>
      <c r="W76" s="1566">
        <v>1973.29</v>
      </c>
      <c r="X76" s="1566"/>
      <c r="Y76" s="1566"/>
      <c r="Z76" s="1566"/>
      <c r="AA76" s="1566">
        <v>2549.61</v>
      </c>
      <c r="AB76" s="1566"/>
      <c r="AC76" s="1566"/>
      <c r="AD76" s="1566"/>
      <c r="AE76" s="1566"/>
      <c r="AF76" s="1566"/>
      <c r="AG76" s="1566">
        <v>0</v>
      </c>
      <c r="AH76" s="1566"/>
      <c r="AI76" s="1566"/>
      <c r="AJ76" s="1566"/>
      <c r="AK76" s="1566"/>
    </row>
    <row r="77" spans="2:38" ht="9.4" customHeight="1">
      <c r="B77" s="1568" t="s">
        <v>1326</v>
      </c>
      <c r="C77" s="1568"/>
      <c r="D77" s="1568"/>
      <c r="E77" s="1568" t="s">
        <v>1362</v>
      </c>
      <c r="F77" s="1568"/>
      <c r="G77" s="1568"/>
      <c r="H77" s="1568"/>
      <c r="J77" s="1568" t="s">
        <v>1964</v>
      </c>
      <c r="K77" s="1568"/>
      <c r="L77" s="1568"/>
      <c r="M77" s="1566">
        <v>3369.48</v>
      </c>
      <c r="N77" s="1566"/>
      <c r="O77" s="1566"/>
      <c r="P77" s="1566">
        <v>0</v>
      </c>
      <c r="Q77" s="1566"/>
      <c r="R77" s="1566"/>
      <c r="S77" s="1566">
        <v>0</v>
      </c>
      <c r="T77" s="1566"/>
      <c r="U77" s="1566"/>
      <c r="V77" s="1566"/>
      <c r="W77" s="1566">
        <v>0</v>
      </c>
      <c r="X77" s="1566"/>
      <c r="Y77" s="1566"/>
      <c r="Z77" s="1566"/>
      <c r="AA77" s="1566">
        <v>3369.48</v>
      </c>
      <c r="AB77" s="1566"/>
      <c r="AC77" s="1566"/>
      <c r="AD77" s="1566"/>
      <c r="AE77" s="1566"/>
      <c r="AF77" s="1566"/>
      <c r="AG77" s="1566">
        <v>0</v>
      </c>
      <c r="AH77" s="1566"/>
      <c r="AI77" s="1566"/>
      <c r="AJ77" s="1566"/>
      <c r="AK77" s="1566"/>
    </row>
    <row r="78" spans="2:38" ht="9.4" customHeight="1">
      <c r="B78" s="1568" t="s">
        <v>1326</v>
      </c>
      <c r="C78" s="1568"/>
      <c r="D78" s="1568"/>
      <c r="E78" s="1568" t="s">
        <v>1363</v>
      </c>
      <c r="F78" s="1568"/>
      <c r="G78" s="1568"/>
      <c r="H78" s="1568"/>
      <c r="J78" s="1568" t="s">
        <v>1965</v>
      </c>
      <c r="K78" s="1568"/>
      <c r="L78" s="1568"/>
      <c r="M78" s="1566">
        <v>7648.93</v>
      </c>
      <c r="N78" s="1566"/>
      <c r="O78" s="1566"/>
      <c r="P78" s="1566">
        <v>0</v>
      </c>
      <c r="Q78" s="1566"/>
      <c r="R78" s="1566"/>
      <c r="S78" s="1566">
        <v>7524.47</v>
      </c>
      <c r="T78" s="1566"/>
      <c r="U78" s="1566"/>
      <c r="V78" s="1566"/>
      <c r="W78" s="1566">
        <v>15173.4</v>
      </c>
      <c r="X78" s="1566"/>
      <c r="Y78" s="1566"/>
      <c r="Z78" s="1566"/>
      <c r="AA78" s="1566">
        <v>0</v>
      </c>
      <c r="AB78" s="1566"/>
      <c r="AC78" s="1566"/>
      <c r="AD78" s="1566"/>
      <c r="AE78" s="1566"/>
      <c r="AF78" s="1566"/>
      <c r="AG78" s="1566">
        <v>0</v>
      </c>
      <c r="AH78" s="1566"/>
      <c r="AI78" s="1566"/>
      <c r="AJ78" s="1566"/>
      <c r="AK78" s="1566"/>
    </row>
    <row r="79" spans="2:38" ht="9.4" customHeight="1">
      <c r="B79" s="1568" t="s">
        <v>1326</v>
      </c>
      <c r="C79" s="1568"/>
      <c r="D79" s="1568"/>
      <c r="E79" s="1568" t="s">
        <v>1364</v>
      </c>
      <c r="F79" s="1568"/>
      <c r="G79" s="1568"/>
      <c r="H79" s="1568"/>
      <c r="J79" s="1568" t="s">
        <v>1966</v>
      </c>
      <c r="K79" s="1568"/>
      <c r="L79" s="1568"/>
      <c r="M79" s="1566">
        <v>3243.52</v>
      </c>
      <c r="N79" s="1566"/>
      <c r="O79" s="1566"/>
      <c r="P79" s="1566">
        <v>0</v>
      </c>
      <c r="Q79" s="1566"/>
      <c r="R79" s="1566"/>
      <c r="S79" s="1566">
        <v>1621.76</v>
      </c>
      <c r="T79" s="1566"/>
      <c r="U79" s="1566"/>
      <c r="V79" s="1566"/>
      <c r="W79" s="1566">
        <v>1621.76</v>
      </c>
      <c r="X79" s="1566"/>
      <c r="Y79" s="1566"/>
      <c r="Z79" s="1566"/>
      <c r="AA79" s="1566">
        <v>3243.52</v>
      </c>
      <c r="AB79" s="1566"/>
      <c r="AC79" s="1566"/>
      <c r="AD79" s="1566"/>
      <c r="AE79" s="1566"/>
      <c r="AF79" s="1566"/>
      <c r="AG79" s="1566">
        <v>0</v>
      </c>
      <c r="AH79" s="1566"/>
      <c r="AI79" s="1566"/>
      <c r="AJ79" s="1566"/>
      <c r="AK79" s="1566"/>
    </row>
    <row r="80" spans="2:38" ht="9.4" customHeight="1">
      <c r="B80" s="1568" t="s">
        <v>1326</v>
      </c>
      <c r="C80" s="1568"/>
      <c r="D80" s="1568"/>
      <c r="E80" s="1568" t="s">
        <v>1365</v>
      </c>
      <c r="F80" s="1568"/>
      <c r="G80" s="1568"/>
      <c r="H80" s="1568"/>
      <c r="J80" s="1568" t="s">
        <v>1967</v>
      </c>
      <c r="K80" s="1568"/>
      <c r="L80" s="1568"/>
      <c r="M80" s="1566">
        <v>24569.19</v>
      </c>
      <c r="N80" s="1566"/>
      <c r="O80" s="1566"/>
      <c r="P80" s="1566">
        <v>0</v>
      </c>
      <c r="Q80" s="1566"/>
      <c r="R80" s="1566"/>
      <c r="S80" s="1566">
        <v>30216.7</v>
      </c>
      <c r="T80" s="1566"/>
      <c r="U80" s="1566"/>
      <c r="V80" s="1566"/>
      <c r="W80" s="1566">
        <v>0</v>
      </c>
      <c r="X80" s="1566"/>
      <c r="Y80" s="1566"/>
      <c r="Z80" s="1566"/>
      <c r="AA80" s="1566">
        <v>54785.89</v>
      </c>
      <c r="AB80" s="1566"/>
      <c r="AC80" s="1566"/>
      <c r="AD80" s="1566"/>
      <c r="AE80" s="1566"/>
      <c r="AF80" s="1566"/>
      <c r="AG80" s="1566">
        <v>0</v>
      </c>
      <c r="AH80" s="1566"/>
      <c r="AI80" s="1566"/>
      <c r="AJ80" s="1566"/>
      <c r="AK80" s="1566"/>
    </row>
    <row r="81" spans="2:37" ht="9.4" customHeight="1">
      <c r="B81" s="1568" t="s">
        <v>1326</v>
      </c>
      <c r="C81" s="1568"/>
      <c r="D81" s="1568"/>
      <c r="E81" s="1568" t="s">
        <v>1366</v>
      </c>
      <c r="F81" s="1568"/>
      <c r="G81" s="1568"/>
      <c r="H81" s="1568"/>
      <c r="J81" s="1568" t="s">
        <v>1968</v>
      </c>
      <c r="K81" s="1568"/>
      <c r="L81" s="1568"/>
      <c r="M81" s="1566">
        <v>67.84</v>
      </c>
      <c r="N81" s="1566"/>
      <c r="O81" s="1566"/>
      <c r="P81" s="1566">
        <v>0</v>
      </c>
      <c r="Q81" s="1566"/>
      <c r="R81" s="1566"/>
      <c r="S81" s="1566">
        <v>24312.07</v>
      </c>
      <c r="T81" s="1566"/>
      <c r="U81" s="1566"/>
      <c r="V81" s="1566"/>
      <c r="W81" s="1566">
        <v>67.84</v>
      </c>
      <c r="X81" s="1566"/>
      <c r="Y81" s="1566"/>
      <c r="Z81" s="1566"/>
      <c r="AA81" s="1566">
        <v>24312.07</v>
      </c>
      <c r="AB81" s="1566"/>
      <c r="AC81" s="1566"/>
      <c r="AD81" s="1566"/>
      <c r="AE81" s="1566"/>
      <c r="AF81" s="1566"/>
      <c r="AG81" s="1566">
        <v>0</v>
      </c>
      <c r="AH81" s="1566"/>
      <c r="AI81" s="1566"/>
      <c r="AJ81" s="1566"/>
      <c r="AK81" s="1566"/>
    </row>
    <row r="82" spans="2:37" ht="9.4" customHeight="1">
      <c r="B82" s="1568" t="s">
        <v>1326</v>
      </c>
      <c r="C82" s="1568"/>
      <c r="D82" s="1568"/>
      <c r="E82" s="1568" t="s">
        <v>6198</v>
      </c>
      <c r="F82" s="1568"/>
      <c r="G82" s="1568"/>
      <c r="H82" s="1568"/>
      <c r="J82" s="1568" t="s">
        <v>6199</v>
      </c>
      <c r="K82" s="1568"/>
      <c r="L82" s="1568"/>
      <c r="M82" s="1566">
        <v>0</v>
      </c>
      <c r="N82" s="1566"/>
      <c r="O82" s="1566"/>
      <c r="P82" s="1566">
        <v>0</v>
      </c>
      <c r="Q82" s="1566"/>
      <c r="R82" s="1566"/>
      <c r="S82" s="1566">
        <v>19315.05</v>
      </c>
      <c r="T82" s="1566"/>
      <c r="U82" s="1566"/>
      <c r="V82" s="1566"/>
      <c r="W82" s="1566">
        <v>19315.05</v>
      </c>
      <c r="X82" s="1566"/>
      <c r="Y82" s="1566"/>
      <c r="Z82" s="1566"/>
      <c r="AA82" s="1566">
        <v>0</v>
      </c>
      <c r="AB82" s="1566"/>
      <c r="AC82" s="1566"/>
      <c r="AD82" s="1566"/>
      <c r="AE82" s="1566"/>
      <c r="AF82" s="1566"/>
      <c r="AG82" s="1566">
        <v>0</v>
      </c>
      <c r="AH82" s="1566"/>
      <c r="AI82" s="1566"/>
      <c r="AJ82" s="1566"/>
      <c r="AK82" s="1566"/>
    </row>
    <row r="83" spans="2:37" ht="9.4" customHeight="1">
      <c r="B83" s="1568" t="s">
        <v>1326</v>
      </c>
      <c r="C83" s="1568"/>
      <c r="D83" s="1568"/>
      <c r="E83" s="1568" t="s">
        <v>1367</v>
      </c>
      <c r="F83" s="1568"/>
      <c r="G83" s="1568"/>
      <c r="H83" s="1568"/>
      <c r="J83" s="1568" t="s">
        <v>1969</v>
      </c>
      <c r="K83" s="1568"/>
      <c r="L83" s="1568"/>
      <c r="M83" s="1566">
        <v>0</v>
      </c>
      <c r="N83" s="1566"/>
      <c r="O83" s="1566"/>
      <c r="P83" s="1566">
        <v>0</v>
      </c>
      <c r="Q83" s="1566"/>
      <c r="R83" s="1566"/>
      <c r="S83" s="1566">
        <v>2881.23</v>
      </c>
      <c r="T83" s="1566"/>
      <c r="U83" s="1566"/>
      <c r="V83" s="1566"/>
      <c r="W83" s="1566">
        <v>2881.23</v>
      </c>
      <c r="X83" s="1566"/>
      <c r="Y83" s="1566"/>
      <c r="Z83" s="1566"/>
      <c r="AA83" s="1566">
        <v>0</v>
      </c>
      <c r="AB83" s="1566"/>
      <c r="AC83" s="1566"/>
      <c r="AD83" s="1566"/>
      <c r="AE83" s="1566"/>
      <c r="AF83" s="1566"/>
      <c r="AG83" s="1566">
        <v>0</v>
      </c>
      <c r="AH83" s="1566"/>
      <c r="AI83" s="1566"/>
      <c r="AJ83" s="1566"/>
      <c r="AK83" s="1566"/>
    </row>
    <row r="84" spans="2:37" ht="9.4" customHeight="1">
      <c r="B84" s="1568" t="s">
        <v>1326</v>
      </c>
      <c r="C84" s="1568"/>
      <c r="D84" s="1568"/>
      <c r="E84" s="1568" t="s">
        <v>1368</v>
      </c>
      <c r="F84" s="1568"/>
      <c r="G84" s="1568"/>
      <c r="H84" s="1568"/>
      <c r="J84" s="1568" t="s">
        <v>1970</v>
      </c>
      <c r="K84" s="1568"/>
      <c r="L84" s="1568"/>
      <c r="M84" s="1566">
        <v>43357.52</v>
      </c>
      <c r="N84" s="1566"/>
      <c r="O84" s="1566"/>
      <c r="P84" s="1566">
        <v>0</v>
      </c>
      <c r="Q84" s="1566"/>
      <c r="R84" s="1566"/>
      <c r="S84" s="1566">
        <v>68599.69</v>
      </c>
      <c r="T84" s="1566"/>
      <c r="U84" s="1566"/>
      <c r="V84" s="1566"/>
      <c r="W84" s="1566">
        <v>0</v>
      </c>
      <c r="X84" s="1566"/>
      <c r="Y84" s="1566"/>
      <c r="Z84" s="1566"/>
      <c r="AA84" s="1566">
        <v>111957.21</v>
      </c>
      <c r="AB84" s="1566"/>
      <c r="AC84" s="1566"/>
      <c r="AD84" s="1566"/>
      <c r="AE84" s="1566"/>
      <c r="AF84" s="1566"/>
      <c r="AG84" s="1566">
        <v>0</v>
      </c>
      <c r="AH84" s="1566"/>
      <c r="AI84" s="1566"/>
      <c r="AJ84" s="1566"/>
      <c r="AK84" s="1566"/>
    </row>
    <row r="85" spans="2:37" ht="9.4" customHeight="1">
      <c r="B85" s="1568" t="s">
        <v>1326</v>
      </c>
      <c r="C85" s="1568"/>
      <c r="D85" s="1568"/>
      <c r="E85" s="1568" t="s">
        <v>1369</v>
      </c>
      <c r="F85" s="1568"/>
      <c r="G85" s="1568"/>
      <c r="H85" s="1568"/>
      <c r="J85" s="1568" t="s">
        <v>1971</v>
      </c>
      <c r="K85" s="1568"/>
      <c r="L85" s="1568"/>
      <c r="M85" s="1566">
        <v>43910.91</v>
      </c>
      <c r="N85" s="1566"/>
      <c r="O85" s="1566"/>
      <c r="P85" s="1566">
        <v>0</v>
      </c>
      <c r="Q85" s="1566"/>
      <c r="R85" s="1566"/>
      <c r="S85" s="1566">
        <v>30599.95</v>
      </c>
      <c r="T85" s="1566"/>
      <c r="U85" s="1566"/>
      <c r="V85" s="1566"/>
      <c r="W85" s="1566">
        <v>74510.86</v>
      </c>
      <c r="X85" s="1566"/>
      <c r="Y85" s="1566"/>
      <c r="Z85" s="1566"/>
      <c r="AA85" s="1566">
        <v>0</v>
      </c>
      <c r="AB85" s="1566"/>
      <c r="AC85" s="1566"/>
      <c r="AD85" s="1566"/>
      <c r="AE85" s="1566"/>
      <c r="AF85" s="1566"/>
      <c r="AG85" s="1566">
        <v>0</v>
      </c>
      <c r="AH85" s="1566"/>
      <c r="AI85" s="1566"/>
      <c r="AJ85" s="1566"/>
      <c r="AK85" s="1566"/>
    </row>
    <row r="86" spans="2:37" ht="9.4" customHeight="1">
      <c r="B86" s="1568" t="s">
        <v>1326</v>
      </c>
      <c r="C86" s="1568"/>
      <c r="D86" s="1568"/>
      <c r="E86" s="1568" t="s">
        <v>1770</v>
      </c>
      <c r="F86" s="1568"/>
      <c r="G86" s="1568"/>
      <c r="H86" s="1568"/>
      <c r="J86" s="1568" t="s">
        <v>1972</v>
      </c>
      <c r="K86" s="1568"/>
      <c r="L86" s="1568"/>
      <c r="M86" s="1566">
        <v>2005.1</v>
      </c>
      <c r="N86" s="1566"/>
      <c r="O86" s="1566"/>
      <c r="P86" s="1566">
        <v>0</v>
      </c>
      <c r="Q86" s="1566"/>
      <c r="R86" s="1566"/>
      <c r="S86" s="1566">
        <v>2054.6999999999998</v>
      </c>
      <c r="T86" s="1566"/>
      <c r="U86" s="1566"/>
      <c r="V86" s="1566"/>
      <c r="W86" s="1566">
        <v>4059.8</v>
      </c>
      <c r="X86" s="1566"/>
      <c r="Y86" s="1566"/>
      <c r="Z86" s="1566"/>
      <c r="AA86" s="1566">
        <v>0</v>
      </c>
      <c r="AB86" s="1566"/>
      <c r="AC86" s="1566"/>
      <c r="AD86" s="1566"/>
      <c r="AE86" s="1566"/>
      <c r="AF86" s="1566"/>
      <c r="AG86" s="1566">
        <v>0</v>
      </c>
      <c r="AH86" s="1566"/>
      <c r="AI86" s="1566"/>
      <c r="AJ86" s="1566"/>
      <c r="AK86" s="1566"/>
    </row>
    <row r="87" spans="2:37" ht="9.4" customHeight="1">
      <c r="B87" s="1568" t="s">
        <v>1326</v>
      </c>
      <c r="C87" s="1568"/>
      <c r="D87" s="1568"/>
      <c r="E87" s="1568" t="s">
        <v>1370</v>
      </c>
      <c r="F87" s="1568"/>
      <c r="G87" s="1568"/>
      <c r="H87" s="1568"/>
      <c r="J87" s="1568" t="s">
        <v>1973</v>
      </c>
      <c r="K87" s="1568"/>
      <c r="L87" s="1568"/>
      <c r="M87" s="1566">
        <v>40560.75</v>
      </c>
      <c r="N87" s="1566"/>
      <c r="O87" s="1566"/>
      <c r="P87" s="1566">
        <v>0</v>
      </c>
      <c r="Q87" s="1566"/>
      <c r="R87" s="1566"/>
      <c r="S87" s="1566">
        <v>49408.959999999999</v>
      </c>
      <c r="T87" s="1566"/>
      <c r="U87" s="1566"/>
      <c r="V87" s="1566"/>
      <c r="W87" s="1566">
        <v>40560.75</v>
      </c>
      <c r="X87" s="1566"/>
      <c r="Y87" s="1566"/>
      <c r="Z87" s="1566"/>
      <c r="AA87" s="1566">
        <v>49408.959999999999</v>
      </c>
      <c r="AB87" s="1566"/>
      <c r="AC87" s="1566"/>
      <c r="AD87" s="1566"/>
      <c r="AE87" s="1566"/>
      <c r="AF87" s="1566"/>
      <c r="AG87" s="1566">
        <v>0</v>
      </c>
      <c r="AH87" s="1566"/>
      <c r="AI87" s="1566"/>
      <c r="AJ87" s="1566"/>
      <c r="AK87" s="1566"/>
    </row>
    <row r="88" spans="2:37" ht="9.4" customHeight="1">
      <c r="B88" s="1568" t="s">
        <v>1326</v>
      </c>
      <c r="C88" s="1568"/>
      <c r="D88" s="1568"/>
      <c r="E88" s="1568" t="s">
        <v>1371</v>
      </c>
      <c r="F88" s="1568"/>
      <c r="G88" s="1568"/>
      <c r="H88" s="1568"/>
      <c r="J88" s="1568" t="s">
        <v>1974</v>
      </c>
      <c r="K88" s="1568"/>
      <c r="L88" s="1568"/>
      <c r="M88" s="1566">
        <v>63075.11</v>
      </c>
      <c r="N88" s="1566"/>
      <c r="O88" s="1566"/>
      <c r="P88" s="1566">
        <v>0</v>
      </c>
      <c r="Q88" s="1566"/>
      <c r="R88" s="1566"/>
      <c r="S88" s="1566">
        <v>11095.59</v>
      </c>
      <c r="T88" s="1566"/>
      <c r="U88" s="1566"/>
      <c r="V88" s="1566"/>
      <c r="W88" s="1566">
        <v>11095.59</v>
      </c>
      <c r="X88" s="1566"/>
      <c r="Y88" s="1566"/>
      <c r="Z88" s="1566"/>
      <c r="AA88" s="1566">
        <v>63075.11</v>
      </c>
      <c r="AB88" s="1566"/>
      <c r="AC88" s="1566"/>
      <c r="AD88" s="1566"/>
      <c r="AE88" s="1566"/>
      <c r="AF88" s="1566"/>
      <c r="AG88" s="1566">
        <v>0</v>
      </c>
      <c r="AH88" s="1566"/>
      <c r="AI88" s="1566"/>
      <c r="AJ88" s="1566"/>
      <c r="AK88" s="1566"/>
    </row>
    <row r="89" spans="2:37" ht="9.4" customHeight="1">
      <c r="B89" s="1568" t="s">
        <v>1326</v>
      </c>
      <c r="C89" s="1568"/>
      <c r="D89" s="1568"/>
      <c r="E89" s="1568" t="s">
        <v>1372</v>
      </c>
      <c r="F89" s="1568"/>
      <c r="G89" s="1568"/>
      <c r="H89" s="1568"/>
      <c r="J89" s="1568" t="s">
        <v>1975</v>
      </c>
      <c r="K89" s="1568"/>
      <c r="L89" s="1568"/>
      <c r="M89" s="1566">
        <v>0</v>
      </c>
      <c r="N89" s="1566"/>
      <c r="O89" s="1566"/>
      <c r="P89" s="1566">
        <v>0</v>
      </c>
      <c r="Q89" s="1566"/>
      <c r="R89" s="1566"/>
      <c r="S89" s="1566">
        <v>1187.31</v>
      </c>
      <c r="T89" s="1566"/>
      <c r="U89" s="1566"/>
      <c r="V89" s="1566"/>
      <c r="W89" s="1566">
        <v>1187.31</v>
      </c>
      <c r="X89" s="1566"/>
      <c r="Y89" s="1566"/>
      <c r="Z89" s="1566"/>
      <c r="AA89" s="1566">
        <v>0</v>
      </c>
      <c r="AB89" s="1566"/>
      <c r="AC89" s="1566"/>
      <c r="AD89" s="1566"/>
      <c r="AE89" s="1566"/>
      <c r="AF89" s="1566"/>
      <c r="AG89" s="1566">
        <v>0</v>
      </c>
      <c r="AH89" s="1566"/>
      <c r="AI89" s="1566"/>
      <c r="AJ89" s="1566"/>
      <c r="AK89" s="1566"/>
    </row>
    <row r="90" spans="2:37" ht="9.4" customHeight="1">
      <c r="B90" s="1568" t="s">
        <v>1326</v>
      </c>
      <c r="C90" s="1568"/>
      <c r="D90" s="1568"/>
      <c r="E90" s="1568" t="s">
        <v>1373</v>
      </c>
      <c r="F90" s="1568"/>
      <c r="G90" s="1568"/>
      <c r="H90" s="1568"/>
      <c r="J90" s="1568" t="s">
        <v>1976</v>
      </c>
      <c r="K90" s="1568"/>
      <c r="L90" s="1568"/>
      <c r="M90" s="1566">
        <v>67.849999999999994</v>
      </c>
      <c r="N90" s="1566"/>
      <c r="O90" s="1566"/>
      <c r="P90" s="1566">
        <v>0</v>
      </c>
      <c r="Q90" s="1566"/>
      <c r="R90" s="1566"/>
      <c r="S90" s="1566">
        <v>1769.24</v>
      </c>
      <c r="T90" s="1566"/>
      <c r="U90" s="1566"/>
      <c r="V90" s="1566"/>
      <c r="W90" s="1566">
        <v>1837.09</v>
      </c>
      <c r="X90" s="1566"/>
      <c r="Y90" s="1566"/>
      <c r="Z90" s="1566"/>
      <c r="AA90" s="1566">
        <v>0</v>
      </c>
      <c r="AB90" s="1566"/>
      <c r="AC90" s="1566"/>
      <c r="AD90" s="1566"/>
      <c r="AE90" s="1566"/>
      <c r="AF90" s="1566"/>
      <c r="AG90" s="1566">
        <v>0</v>
      </c>
      <c r="AH90" s="1566"/>
      <c r="AI90" s="1566"/>
      <c r="AJ90" s="1566"/>
      <c r="AK90" s="1566"/>
    </row>
    <row r="91" spans="2:37" ht="9.4" customHeight="1">
      <c r="B91" s="1568" t="s">
        <v>1326</v>
      </c>
      <c r="C91" s="1568"/>
      <c r="D91" s="1568"/>
      <c r="E91" s="1568" t="s">
        <v>1374</v>
      </c>
      <c r="F91" s="1568"/>
      <c r="G91" s="1568"/>
      <c r="H91" s="1568"/>
      <c r="J91" s="1568" t="s">
        <v>1977</v>
      </c>
      <c r="K91" s="1568"/>
      <c r="L91" s="1568"/>
      <c r="M91" s="1566">
        <v>0</v>
      </c>
      <c r="N91" s="1566"/>
      <c r="O91" s="1566"/>
      <c r="P91" s="1566">
        <v>0</v>
      </c>
      <c r="Q91" s="1566"/>
      <c r="R91" s="1566"/>
      <c r="S91" s="1566">
        <v>549.74</v>
      </c>
      <c r="T91" s="1566"/>
      <c r="U91" s="1566"/>
      <c r="V91" s="1566"/>
      <c r="W91" s="1566">
        <v>549.74</v>
      </c>
      <c r="X91" s="1566"/>
      <c r="Y91" s="1566"/>
      <c r="Z91" s="1566"/>
      <c r="AA91" s="1566">
        <v>0</v>
      </c>
      <c r="AB91" s="1566"/>
      <c r="AC91" s="1566"/>
      <c r="AD91" s="1566"/>
      <c r="AE91" s="1566"/>
      <c r="AF91" s="1566"/>
      <c r="AG91" s="1566">
        <v>0</v>
      </c>
      <c r="AH91" s="1566"/>
      <c r="AI91" s="1566"/>
      <c r="AJ91" s="1566"/>
      <c r="AK91" s="1566"/>
    </row>
    <row r="92" spans="2:37" ht="9.4" customHeight="1">
      <c r="B92" s="1568" t="s">
        <v>1326</v>
      </c>
      <c r="C92" s="1568"/>
      <c r="D92" s="1568"/>
      <c r="E92" s="1568" t="s">
        <v>1375</v>
      </c>
      <c r="F92" s="1568"/>
      <c r="G92" s="1568"/>
      <c r="H92" s="1568"/>
      <c r="J92" s="1568" t="s">
        <v>1978</v>
      </c>
      <c r="K92" s="1568"/>
      <c r="L92" s="1568"/>
      <c r="M92" s="1566">
        <v>272184.69</v>
      </c>
      <c r="N92" s="1566"/>
      <c r="O92" s="1566"/>
      <c r="P92" s="1566">
        <v>0</v>
      </c>
      <c r="Q92" s="1566"/>
      <c r="R92" s="1566"/>
      <c r="S92" s="1566">
        <v>123186.64</v>
      </c>
      <c r="T92" s="1566"/>
      <c r="U92" s="1566"/>
      <c r="V92" s="1566"/>
      <c r="W92" s="1566">
        <v>111716.83</v>
      </c>
      <c r="X92" s="1566"/>
      <c r="Y92" s="1566"/>
      <c r="Z92" s="1566"/>
      <c r="AA92" s="1566">
        <v>283654.5</v>
      </c>
      <c r="AB92" s="1566"/>
      <c r="AC92" s="1566"/>
      <c r="AD92" s="1566"/>
      <c r="AE92" s="1566"/>
      <c r="AF92" s="1566"/>
      <c r="AG92" s="1566">
        <v>0</v>
      </c>
      <c r="AH92" s="1566"/>
      <c r="AI92" s="1566"/>
      <c r="AJ92" s="1566"/>
      <c r="AK92" s="1566"/>
    </row>
    <row r="93" spans="2:37" ht="9.4" customHeight="1">
      <c r="B93" s="1568" t="s">
        <v>1326</v>
      </c>
      <c r="C93" s="1568"/>
      <c r="D93" s="1568"/>
      <c r="E93" s="1568" t="s">
        <v>1376</v>
      </c>
      <c r="F93" s="1568"/>
      <c r="G93" s="1568"/>
      <c r="H93" s="1568"/>
      <c r="J93" s="1568" t="s">
        <v>1979</v>
      </c>
      <c r="K93" s="1568"/>
      <c r="L93" s="1568"/>
      <c r="M93" s="1566">
        <v>38144.879999999997</v>
      </c>
      <c r="N93" s="1566"/>
      <c r="O93" s="1566"/>
      <c r="P93" s="1566">
        <v>0</v>
      </c>
      <c r="Q93" s="1566"/>
      <c r="R93" s="1566"/>
      <c r="S93" s="1566">
        <v>11049.72</v>
      </c>
      <c r="T93" s="1566"/>
      <c r="U93" s="1566"/>
      <c r="V93" s="1566"/>
      <c r="W93" s="1566">
        <v>11335.09</v>
      </c>
      <c r="X93" s="1566"/>
      <c r="Y93" s="1566"/>
      <c r="Z93" s="1566"/>
      <c r="AA93" s="1566">
        <v>37859.51</v>
      </c>
      <c r="AB93" s="1566"/>
      <c r="AC93" s="1566"/>
      <c r="AD93" s="1566"/>
      <c r="AE93" s="1566"/>
      <c r="AF93" s="1566"/>
      <c r="AG93" s="1566">
        <v>0</v>
      </c>
      <c r="AH93" s="1566"/>
      <c r="AI93" s="1566"/>
      <c r="AJ93" s="1566"/>
      <c r="AK93" s="1566"/>
    </row>
    <row r="94" spans="2:37" ht="9.4" customHeight="1">
      <c r="B94" s="1568" t="s">
        <v>1326</v>
      </c>
      <c r="C94" s="1568"/>
      <c r="D94" s="1568"/>
      <c r="E94" s="1568" t="s">
        <v>1377</v>
      </c>
      <c r="F94" s="1568"/>
      <c r="G94" s="1568"/>
      <c r="H94" s="1568"/>
      <c r="J94" s="1568" t="s">
        <v>1980</v>
      </c>
      <c r="K94" s="1568"/>
      <c r="L94" s="1568"/>
      <c r="M94" s="1566">
        <v>15677.33</v>
      </c>
      <c r="N94" s="1566"/>
      <c r="O94" s="1566"/>
      <c r="P94" s="1566">
        <v>0</v>
      </c>
      <c r="Q94" s="1566"/>
      <c r="R94" s="1566"/>
      <c r="S94" s="1566">
        <v>14017.6</v>
      </c>
      <c r="T94" s="1566"/>
      <c r="U94" s="1566"/>
      <c r="V94" s="1566"/>
      <c r="W94" s="1566">
        <v>6060.68</v>
      </c>
      <c r="X94" s="1566"/>
      <c r="Y94" s="1566"/>
      <c r="Z94" s="1566"/>
      <c r="AA94" s="1566">
        <v>23634.25</v>
      </c>
      <c r="AB94" s="1566"/>
      <c r="AC94" s="1566"/>
      <c r="AD94" s="1566"/>
      <c r="AE94" s="1566"/>
      <c r="AF94" s="1566"/>
      <c r="AG94" s="1566">
        <v>0</v>
      </c>
      <c r="AH94" s="1566"/>
      <c r="AI94" s="1566"/>
      <c r="AJ94" s="1566"/>
      <c r="AK94" s="1566"/>
    </row>
    <row r="95" spans="2:37" ht="9.4" customHeight="1">
      <c r="B95" s="1568" t="s">
        <v>1326</v>
      </c>
      <c r="C95" s="1568"/>
      <c r="D95" s="1568"/>
      <c r="E95" s="1568" t="s">
        <v>1378</v>
      </c>
      <c r="F95" s="1568"/>
      <c r="G95" s="1568"/>
      <c r="H95" s="1568"/>
      <c r="J95" s="1568" t="s">
        <v>1981</v>
      </c>
      <c r="K95" s="1568"/>
      <c r="L95" s="1568"/>
      <c r="M95" s="1566">
        <v>4501.7700000000004</v>
      </c>
      <c r="N95" s="1566"/>
      <c r="O95" s="1566"/>
      <c r="P95" s="1566">
        <v>0</v>
      </c>
      <c r="Q95" s="1566"/>
      <c r="R95" s="1566"/>
      <c r="S95" s="1566">
        <v>6992.37</v>
      </c>
      <c r="T95" s="1566"/>
      <c r="U95" s="1566"/>
      <c r="V95" s="1566"/>
      <c r="W95" s="1566">
        <v>6992.37</v>
      </c>
      <c r="X95" s="1566"/>
      <c r="Y95" s="1566"/>
      <c r="Z95" s="1566"/>
      <c r="AA95" s="1566">
        <v>4501.7700000000004</v>
      </c>
      <c r="AB95" s="1566"/>
      <c r="AC95" s="1566"/>
      <c r="AD95" s="1566"/>
      <c r="AE95" s="1566"/>
      <c r="AF95" s="1566"/>
      <c r="AG95" s="1566">
        <v>0</v>
      </c>
      <c r="AH95" s="1566"/>
      <c r="AI95" s="1566"/>
      <c r="AJ95" s="1566"/>
      <c r="AK95" s="1566"/>
    </row>
    <row r="96" spans="2:37" ht="9.4" customHeight="1">
      <c r="B96" s="1568" t="s">
        <v>1326</v>
      </c>
      <c r="C96" s="1568"/>
      <c r="D96" s="1568"/>
      <c r="E96" s="1568" t="s">
        <v>1379</v>
      </c>
      <c r="F96" s="1568"/>
      <c r="G96" s="1568"/>
      <c r="H96" s="1568"/>
      <c r="J96" s="1568" t="s">
        <v>1982</v>
      </c>
      <c r="K96" s="1568"/>
      <c r="L96" s="1568"/>
      <c r="M96" s="1566">
        <v>0</v>
      </c>
      <c r="N96" s="1566"/>
      <c r="O96" s="1566"/>
      <c r="P96" s="1566">
        <v>0</v>
      </c>
      <c r="Q96" s="1566"/>
      <c r="R96" s="1566"/>
      <c r="S96" s="1566">
        <v>5132.08</v>
      </c>
      <c r="T96" s="1566"/>
      <c r="U96" s="1566"/>
      <c r="V96" s="1566"/>
      <c r="W96" s="1566">
        <v>5132.08</v>
      </c>
      <c r="X96" s="1566"/>
      <c r="Y96" s="1566"/>
      <c r="Z96" s="1566"/>
      <c r="AA96" s="1566">
        <v>0</v>
      </c>
      <c r="AB96" s="1566"/>
      <c r="AC96" s="1566"/>
      <c r="AD96" s="1566"/>
      <c r="AE96" s="1566"/>
      <c r="AF96" s="1566"/>
      <c r="AG96" s="1566">
        <v>0</v>
      </c>
      <c r="AH96" s="1566"/>
      <c r="AI96" s="1566"/>
      <c r="AJ96" s="1566"/>
      <c r="AK96" s="1566"/>
    </row>
    <row r="97" spans="2:37" ht="9.4" customHeight="1">
      <c r="B97" s="1568" t="s">
        <v>1326</v>
      </c>
      <c r="C97" s="1568"/>
      <c r="D97" s="1568"/>
      <c r="E97" s="1568" t="s">
        <v>1380</v>
      </c>
      <c r="F97" s="1568"/>
      <c r="G97" s="1568"/>
      <c r="H97" s="1568"/>
      <c r="J97" s="1568" t="s">
        <v>1983</v>
      </c>
      <c r="K97" s="1568"/>
      <c r="L97" s="1568"/>
      <c r="M97" s="1566">
        <v>0</v>
      </c>
      <c r="N97" s="1566"/>
      <c r="O97" s="1566"/>
      <c r="P97" s="1566">
        <v>0</v>
      </c>
      <c r="Q97" s="1566"/>
      <c r="R97" s="1566"/>
      <c r="S97" s="1566">
        <v>4799.97</v>
      </c>
      <c r="T97" s="1566"/>
      <c r="U97" s="1566"/>
      <c r="V97" s="1566"/>
      <c r="W97" s="1566">
        <v>0</v>
      </c>
      <c r="X97" s="1566"/>
      <c r="Y97" s="1566"/>
      <c r="Z97" s="1566"/>
      <c r="AA97" s="1566">
        <v>4799.97</v>
      </c>
      <c r="AB97" s="1566"/>
      <c r="AC97" s="1566"/>
      <c r="AD97" s="1566"/>
      <c r="AE97" s="1566"/>
      <c r="AF97" s="1566"/>
      <c r="AG97" s="1566">
        <v>0</v>
      </c>
      <c r="AH97" s="1566"/>
      <c r="AI97" s="1566"/>
      <c r="AJ97" s="1566"/>
      <c r="AK97" s="1566"/>
    </row>
    <row r="98" spans="2:37" ht="9.4" customHeight="1">
      <c r="B98" s="1568" t="s">
        <v>1326</v>
      </c>
      <c r="C98" s="1568"/>
      <c r="D98" s="1568"/>
      <c r="E98" s="1568" t="s">
        <v>1381</v>
      </c>
      <c r="F98" s="1568"/>
      <c r="G98" s="1568"/>
      <c r="H98" s="1568"/>
      <c r="J98" s="1568" t="s">
        <v>1984</v>
      </c>
      <c r="K98" s="1568"/>
      <c r="L98" s="1568"/>
      <c r="M98" s="1566">
        <v>44641.86</v>
      </c>
      <c r="N98" s="1566"/>
      <c r="O98" s="1566"/>
      <c r="P98" s="1566">
        <v>0</v>
      </c>
      <c r="Q98" s="1566"/>
      <c r="R98" s="1566"/>
      <c r="S98" s="1566">
        <v>3893.01</v>
      </c>
      <c r="T98" s="1566"/>
      <c r="U98" s="1566"/>
      <c r="V98" s="1566"/>
      <c r="W98" s="1566">
        <v>0</v>
      </c>
      <c r="X98" s="1566"/>
      <c r="Y98" s="1566"/>
      <c r="Z98" s="1566"/>
      <c r="AA98" s="1566">
        <v>48534.87</v>
      </c>
      <c r="AB98" s="1566"/>
      <c r="AC98" s="1566"/>
      <c r="AD98" s="1566"/>
      <c r="AE98" s="1566"/>
      <c r="AF98" s="1566"/>
      <c r="AG98" s="1566">
        <v>0</v>
      </c>
      <c r="AH98" s="1566"/>
      <c r="AI98" s="1566"/>
      <c r="AJ98" s="1566"/>
      <c r="AK98" s="1566"/>
    </row>
    <row r="99" spans="2:37" ht="9.4" customHeight="1">
      <c r="B99" s="1568" t="s">
        <v>1326</v>
      </c>
      <c r="C99" s="1568"/>
      <c r="D99" s="1568"/>
      <c r="E99" s="1568" t="s">
        <v>1382</v>
      </c>
      <c r="F99" s="1568"/>
      <c r="G99" s="1568"/>
      <c r="H99" s="1568"/>
      <c r="J99" s="1568" t="s">
        <v>1985</v>
      </c>
      <c r="K99" s="1568"/>
      <c r="L99" s="1568"/>
      <c r="M99" s="1566">
        <v>3040.08</v>
      </c>
      <c r="N99" s="1566"/>
      <c r="O99" s="1566"/>
      <c r="P99" s="1566">
        <v>0</v>
      </c>
      <c r="Q99" s="1566"/>
      <c r="R99" s="1566"/>
      <c r="S99" s="1566">
        <v>410.7</v>
      </c>
      <c r="T99" s="1566"/>
      <c r="U99" s="1566"/>
      <c r="V99" s="1566"/>
      <c r="W99" s="1566">
        <v>0</v>
      </c>
      <c r="X99" s="1566"/>
      <c r="Y99" s="1566"/>
      <c r="Z99" s="1566"/>
      <c r="AA99" s="1566">
        <v>3450.78</v>
      </c>
      <c r="AB99" s="1566"/>
      <c r="AC99" s="1566"/>
      <c r="AD99" s="1566"/>
      <c r="AE99" s="1566"/>
      <c r="AF99" s="1566"/>
      <c r="AG99" s="1566">
        <v>0</v>
      </c>
      <c r="AH99" s="1566"/>
      <c r="AI99" s="1566"/>
      <c r="AJ99" s="1566"/>
      <c r="AK99" s="1566"/>
    </row>
    <row r="100" spans="2:37" ht="9.4" customHeight="1">
      <c r="B100" s="1568" t="s">
        <v>1326</v>
      </c>
      <c r="C100" s="1568"/>
      <c r="D100" s="1568"/>
      <c r="E100" s="1568" t="s">
        <v>1383</v>
      </c>
      <c r="F100" s="1568"/>
      <c r="G100" s="1568"/>
      <c r="H100" s="1568"/>
      <c r="J100" s="1568" t="s">
        <v>1986</v>
      </c>
      <c r="K100" s="1568"/>
      <c r="L100" s="1568"/>
      <c r="M100" s="1566">
        <v>70322.13</v>
      </c>
      <c r="N100" s="1566"/>
      <c r="O100" s="1566"/>
      <c r="P100" s="1566">
        <v>0</v>
      </c>
      <c r="Q100" s="1566"/>
      <c r="R100" s="1566"/>
      <c r="S100" s="1566">
        <v>24114.81</v>
      </c>
      <c r="T100" s="1566"/>
      <c r="U100" s="1566"/>
      <c r="V100" s="1566"/>
      <c r="W100" s="1566">
        <v>0</v>
      </c>
      <c r="X100" s="1566"/>
      <c r="Y100" s="1566"/>
      <c r="Z100" s="1566"/>
      <c r="AA100" s="1566">
        <v>94436.94</v>
      </c>
      <c r="AB100" s="1566"/>
      <c r="AC100" s="1566"/>
      <c r="AD100" s="1566"/>
      <c r="AE100" s="1566"/>
      <c r="AF100" s="1566"/>
      <c r="AG100" s="1566">
        <v>0</v>
      </c>
      <c r="AH100" s="1566"/>
      <c r="AI100" s="1566"/>
      <c r="AJ100" s="1566"/>
      <c r="AK100" s="1566"/>
    </row>
    <row r="101" spans="2:37" ht="9.4" customHeight="1">
      <c r="B101" s="1568" t="s">
        <v>1326</v>
      </c>
      <c r="C101" s="1568"/>
      <c r="D101" s="1568"/>
      <c r="E101" s="1568" t="s">
        <v>1384</v>
      </c>
      <c r="F101" s="1568"/>
      <c r="G101" s="1568"/>
      <c r="H101" s="1568"/>
      <c r="J101" s="1568" t="s">
        <v>1987</v>
      </c>
      <c r="K101" s="1568"/>
      <c r="L101" s="1568"/>
      <c r="M101" s="1566">
        <v>4936.76</v>
      </c>
      <c r="N101" s="1566"/>
      <c r="O101" s="1566"/>
      <c r="P101" s="1566">
        <v>0</v>
      </c>
      <c r="Q101" s="1566"/>
      <c r="R101" s="1566"/>
      <c r="S101" s="1566">
        <v>1072.74</v>
      </c>
      <c r="T101" s="1566"/>
      <c r="U101" s="1566"/>
      <c r="V101" s="1566"/>
      <c r="W101" s="1566">
        <v>1072.74</v>
      </c>
      <c r="X101" s="1566"/>
      <c r="Y101" s="1566"/>
      <c r="Z101" s="1566"/>
      <c r="AA101" s="1566">
        <v>4936.76</v>
      </c>
      <c r="AB101" s="1566"/>
      <c r="AC101" s="1566"/>
      <c r="AD101" s="1566"/>
      <c r="AE101" s="1566"/>
      <c r="AF101" s="1566"/>
      <c r="AG101" s="1566">
        <v>0</v>
      </c>
      <c r="AH101" s="1566"/>
      <c r="AI101" s="1566"/>
      <c r="AJ101" s="1566"/>
      <c r="AK101" s="1566"/>
    </row>
    <row r="102" spans="2:37" ht="9.4" customHeight="1">
      <c r="B102" s="1568" t="s">
        <v>1326</v>
      </c>
      <c r="C102" s="1568"/>
      <c r="D102" s="1568"/>
      <c r="E102" s="1568" t="s">
        <v>1385</v>
      </c>
      <c r="F102" s="1568"/>
      <c r="G102" s="1568"/>
      <c r="H102" s="1568"/>
      <c r="J102" s="1568" t="s">
        <v>1988</v>
      </c>
      <c r="K102" s="1568"/>
      <c r="L102" s="1568"/>
      <c r="M102" s="1566">
        <v>1594.26</v>
      </c>
      <c r="N102" s="1566"/>
      <c r="O102" s="1566"/>
      <c r="P102" s="1566">
        <v>0</v>
      </c>
      <c r="Q102" s="1566"/>
      <c r="R102" s="1566"/>
      <c r="S102" s="1566">
        <v>797.13</v>
      </c>
      <c r="T102" s="1566"/>
      <c r="U102" s="1566"/>
      <c r="V102" s="1566"/>
      <c r="W102" s="1566">
        <v>797.13</v>
      </c>
      <c r="X102" s="1566"/>
      <c r="Y102" s="1566"/>
      <c r="Z102" s="1566"/>
      <c r="AA102" s="1566">
        <v>1594.26</v>
      </c>
      <c r="AB102" s="1566"/>
      <c r="AC102" s="1566"/>
      <c r="AD102" s="1566"/>
      <c r="AE102" s="1566"/>
      <c r="AF102" s="1566"/>
      <c r="AG102" s="1566">
        <v>0</v>
      </c>
      <c r="AH102" s="1566"/>
      <c r="AI102" s="1566"/>
      <c r="AJ102" s="1566"/>
      <c r="AK102" s="1566"/>
    </row>
    <row r="103" spans="2:37" ht="9.4" customHeight="1">
      <c r="B103" s="1568" t="s">
        <v>1326</v>
      </c>
      <c r="C103" s="1568"/>
      <c r="D103" s="1568"/>
      <c r="E103" s="1568" t="s">
        <v>1386</v>
      </c>
      <c r="F103" s="1568"/>
      <c r="G103" s="1568"/>
      <c r="H103" s="1568"/>
      <c r="J103" s="1568" t="s">
        <v>1989</v>
      </c>
      <c r="K103" s="1568"/>
      <c r="L103" s="1568"/>
      <c r="M103" s="1566">
        <v>48515.519999999997</v>
      </c>
      <c r="N103" s="1566"/>
      <c r="O103" s="1566"/>
      <c r="P103" s="1566">
        <v>0</v>
      </c>
      <c r="Q103" s="1566"/>
      <c r="R103" s="1566"/>
      <c r="S103" s="1566">
        <v>17860.21</v>
      </c>
      <c r="T103" s="1566"/>
      <c r="U103" s="1566"/>
      <c r="V103" s="1566"/>
      <c r="W103" s="1566">
        <v>0</v>
      </c>
      <c r="X103" s="1566"/>
      <c r="Y103" s="1566"/>
      <c r="Z103" s="1566"/>
      <c r="AA103" s="1566">
        <v>66375.73</v>
      </c>
      <c r="AB103" s="1566"/>
      <c r="AC103" s="1566"/>
      <c r="AD103" s="1566"/>
      <c r="AE103" s="1566"/>
      <c r="AF103" s="1566"/>
      <c r="AG103" s="1566">
        <v>0</v>
      </c>
      <c r="AH103" s="1566"/>
      <c r="AI103" s="1566"/>
      <c r="AJ103" s="1566"/>
      <c r="AK103" s="1566"/>
    </row>
    <row r="104" spans="2:37" ht="9.4" customHeight="1">
      <c r="B104" s="1568" t="s">
        <v>1326</v>
      </c>
      <c r="C104" s="1568"/>
      <c r="D104" s="1568"/>
      <c r="E104" s="1568" t="s">
        <v>1387</v>
      </c>
      <c r="F104" s="1568"/>
      <c r="G104" s="1568"/>
      <c r="H104" s="1568"/>
      <c r="J104" s="1568" t="s">
        <v>1990</v>
      </c>
      <c r="K104" s="1568"/>
      <c r="L104" s="1568"/>
      <c r="M104" s="1566">
        <v>17691.900000000001</v>
      </c>
      <c r="N104" s="1566"/>
      <c r="O104" s="1566"/>
      <c r="P104" s="1566">
        <v>0</v>
      </c>
      <c r="Q104" s="1566"/>
      <c r="R104" s="1566"/>
      <c r="S104" s="1566">
        <v>12742.81</v>
      </c>
      <c r="T104" s="1566"/>
      <c r="U104" s="1566"/>
      <c r="V104" s="1566"/>
      <c r="W104" s="1566">
        <v>1391.12</v>
      </c>
      <c r="X104" s="1566"/>
      <c r="Y104" s="1566"/>
      <c r="Z104" s="1566"/>
      <c r="AA104" s="1566">
        <v>29043.59</v>
      </c>
      <c r="AB104" s="1566"/>
      <c r="AC104" s="1566"/>
      <c r="AD104" s="1566"/>
      <c r="AE104" s="1566"/>
      <c r="AF104" s="1566"/>
      <c r="AG104" s="1566">
        <v>0</v>
      </c>
      <c r="AH104" s="1566"/>
      <c r="AI104" s="1566"/>
      <c r="AJ104" s="1566"/>
      <c r="AK104" s="1566"/>
    </row>
    <row r="105" spans="2:37" ht="9.4" customHeight="1">
      <c r="B105" s="1568" t="s">
        <v>1326</v>
      </c>
      <c r="C105" s="1568"/>
      <c r="D105" s="1568"/>
      <c r="E105" s="1568" t="s">
        <v>1388</v>
      </c>
      <c r="F105" s="1568"/>
      <c r="G105" s="1568"/>
      <c r="H105" s="1568"/>
      <c r="J105" s="1568" t="s">
        <v>1991</v>
      </c>
      <c r="K105" s="1568"/>
      <c r="L105" s="1568"/>
      <c r="M105" s="1566">
        <v>0</v>
      </c>
      <c r="N105" s="1566"/>
      <c r="O105" s="1566"/>
      <c r="P105" s="1566">
        <v>0</v>
      </c>
      <c r="Q105" s="1566"/>
      <c r="R105" s="1566"/>
      <c r="S105" s="1566">
        <v>0</v>
      </c>
      <c r="T105" s="1566"/>
      <c r="U105" s="1566"/>
      <c r="V105" s="1566"/>
      <c r="W105" s="1566">
        <v>0</v>
      </c>
      <c r="X105" s="1566"/>
      <c r="Y105" s="1566"/>
      <c r="Z105" s="1566"/>
      <c r="AA105" s="1566">
        <v>0</v>
      </c>
      <c r="AB105" s="1566"/>
      <c r="AC105" s="1566"/>
      <c r="AD105" s="1566"/>
      <c r="AE105" s="1566"/>
      <c r="AF105" s="1566"/>
      <c r="AG105" s="1566">
        <v>0</v>
      </c>
      <c r="AH105" s="1566"/>
      <c r="AI105" s="1566"/>
      <c r="AJ105" s="1566"/>
      <c r="AK105" s="1566"/>
    </row>
    <row r="106" spans="2:37" ht="9.4" customHeight="1">
      <c r="B106" s="1568" t="s">
        <v>1326</v>
      </c>
      <c r="C106" s="1568"/>
      <c r="D106" s="1568"/>
      <c r="E106" s="1568" t="s">
        <v>1389</v>
      </c>
      <c r="F106" s="1568"/>
      <c r="G106" s="1568"/>
      <c r="H106" s="1568"/>
      <c r="J106" s="1568" t="s">
        <v>1992</v>
      </c>
      <c r="K106" s="1568"/>
      <c r="L106" s="1568"/>
      <c r="M106" s="1566">
        <v>48042.25</v>
      </c>
      <c r="N106" s="1566"/>
      <c r="O106" s="1566"/>
      <c r="P106" s="1566">
        <v>0</v>
      </c>
      <c r="Q106" s="1566"/>
      <c r="R106" s="1566"/>
      <c r="S106" s="1566">
        <v>33583.56</v>
      </c>
      <c r="T106" s="1566"/>
      <c r="U106" s="1566"/>
      <c r="V106" s="1566"/>
      <c r="W106" s="1566">
        <v>27878.18</v>
      </c>
      <c r="X106" s="1566"/>
      <c r="Y106" s="1566"/>
      <c r="Z106" s="1566"/>
      <c r="AA106" s="1566">
        <v>53747.63</v>
      </c>
      <c r="AB106" s="1566"/>
      <c r="AC106" s="1566"/>
      <c r="AD106" s="1566"/>
      <c r="AE106" s="1566"/>
      <c r="AF106" s="1566"/>
      <c r="AG106" s="1566">
        <v>0</v>
      </c>
      <c r="AH106" s="1566"/>
      <c r="AI106" s="1566"/>
      <c r="AJ106" s="1566"/>
      <c r="AK106" s="1566"/>
    </row>
    <row r="107" spans="2:37" ht="9.4" customHeight="1">
      <c r="B107" s="1568" t="s">
        <v>1326</v>
      </c>
      <c r="C107" s="1568"/>
      <c r="D107" s="1568"/>
      <c r="E107" s="1568" t="s">
        <v>1390</v>
      </c>
      <c r="F107" s="1568"/>
      <c r="G107" s="1568"/>
      <c r="H107" s="1568"/>
      <c r="J107" s="1568" t="s">
        <v>1993</v>
      </c>
      <c r="K107" s="1568"/>
      <c r="L107" s="1568"/>
      <c r="M107" s="1566">
        <v>4460.75</v>
      </c>
      <c r="N107" s="1566"/>
      <c r="O107" s="1566"/>
      <c r="P107" s="1566">
        <v>0</v>
      </c>
      <c r="Q107" s="1566"/>
      <c r="R107" s="1566"/>
      <c r="S107" s="1566">
        <v>316219.14</v>
      </c>
      <c r="T107" s="1566"/>
      <c r="U107" s="1566"/>
      <c r="V107" s="1566"/>
      <c r="W107" s="1566">
        <v>0</v>
      </c>
      <c r="X107" s="1566"/>
      <c r="Y107" s="1566"/>
      <c r="Z107" s="1566"/>
      <c r="AA107" s="1566">
        <v>320679.89</v>
      </c>
      <c r="AB107" s="1566"/>
      <c r="AC107" s="1566"/>
      <c r="AD107" s="1566"/>
      <c r="AE107" s="1566"/>
      <c r="AF107" s="1566"/>
      <c r="AG107" s="1566">
        <v>0</v>
      </c>
      <c r="AH107" s="1566"/>
      <c r="AI107" s="1566"/>
      <c r="AJ107" s="1566"/>
      <c r="AK107" s="1566"/>
    </row>
    <row r="108" spans="2:37" ht="9.4" customHeight="1">
      <c r="B108" s="1568" t="s">
        <v>1326</v>
      </c>
      <c r="C108" s="1568"/>
      <c r="D108" s="1568"/>
      <c r="E108" s="1568" t="s">
        <v>1391</v>
      </c>
      <c r="F108" s="1568"/>
      <c r="G108" s="1568"/>
      <c r="H108" s="1568"/>
      <c r="J108" s="1568" t="s">
        <v>1994</v>
      </c>
      <c r="K108" s="1568"/>
      <c r="L108" s="1568"/>
      <c r="M108" s="1566">
        <v>0</v>
      </c>
      <c r="N108" s="1566"/>
      <c r="O108" s="1566"/>
      <c r="P108" s="1566">
        <v>0</v>
      </c>
      <c r="Q108" s="1566"/>
      <c r="R108" s="1566"/>
      <c r="S108" s="1566">
        <v>909.07</v>
      </c>
      <c r="T108" s="1566"/>
      <c r="U108" s="1566"/>
      <c r="V108" s="1566"/>
      <c r="W108" s="1566">
        <v>909.07</v>
      </c>
      <c r="X108" s="1566"/>
      <c r="Y108" s="1566"/>
      <c r="Z108" s="1566"/>
      <c r="AA108" s="1566">
        <v>0</v>
      </c>
      <c r="AB108" s="1566"/>
      <c r="AC108" s="1566"/>
      <c r="AD108" s="1566"/>
      <c r="AE108" s="1566"/>
      <c r="AF108" s="1566"/>
      <c r="AG108" s="1566">
        <v>0</v>
      </c>
      <c r="AH108" s="1566"/>
      <c r="AI108" s="1566"/>
      <c r="AJ108" s="1566"/>
      <c r="AK108" s="1566"/>
    </row>
    <row r="109" spans="2:37" ht="9.4" customHeight="1">
      <c r="B109" s="1568" t="s">
        <v>1326</v>
      </c>
      <c r="C109" s="1568"/>
      <c r="D109" s="1568"/>
      <c r="E109" s="1568" t="s">
        <v>1781</v>
      </c>
      <c r="F109" s="1568"/>
      <c r="G109" s="1568"/>
      <c r="H109" s="1568"/>
      <c r="J109" s="1568" t="s">
        <v>1995</v>
      </c>
      <c r="K109" s="1568"/>
      <c r="L109" s="1568"/>
      <c r="M109" s="1566">
        <v>89.98</v>
      </c>
      <c r="N109" s="1566"/>
      <c r="O109" s="1566"/>
      <c r="P109" s="1566">
        <v>0</v>
      </c>
      <c r="Q109" s="1566"/>
      <c r="R109" s="1566"/>
      <c r="S109" s="1566">
        <v>2211.9899999999998</v>
      </c>
      <c r="T109" s="1566"/>
      <c r="U109" s="1566"/>
      <c r="V109" s="1566"/>
      <c r="W109" s="1566">
        <v>0</v>
      </c>
      <c r="X109" s="1566"/>
      <c r="Y109" s="1566"/>
      <c r="Z109" s="1566"/>
      <c r="AA109" s="1566">
        <v>2301.9699999999998</v>
      </c>
      <c r="AB109" s="1566"/>
      <c r="AC109" s="1566"/>
      <c r="AD109" s="1566"/>
      <c r="AE109" s="1566"/>
      <c r="AF109" s="1566"/>
      <c r="AG109" s="1566">
        <v>0</v>
      </c>
      <c r="AH109" s="1566"/>
      <c r="AI109" s="1566"/>
      <c r="AJ109" s="1566"/>
      <c r="AK109" s="1566"/>
    </row>
    <row r="110" spans="2:37" ht="9.4" customHeight="1">
      <c r="B110" s="1568" t="s">
        <v>1326</v>
      </c>
      <c r="C110" s="1568"/>
      <c r="D110" s="1568"/>
      <c r="E110" s="1568" t="s">
        <v>1392</v>
      </c>
      <c r="F110" s="1568"/>
      <c r="G110" s="1568"/>
      <c r="H110" s="1568"/>
      <c r="J110" s="1568" t="s">
        <v>1025</v>
      </c>
      <c r="K110" s="1568"/>
      <c r="L110" s="1568"/>
      <c r="M110" s="1566">
        <v>3255.55</v>
      </c>
      <c r="N110" s="1566"/>
      <c r="O110" s="1566"/>
      <c r="P110" s="1566">
        <v>0</v>
      </c>
      <c r="Q110" s="1566"/>
      <c r="R110" s="1566"/>
      <c r="S110" s="1566">
        <v>2936.87</v>
      </c>
      <c r="T110" s="1566"/>
      <c r="U110" s="1566"/>
      <c r="V110" s="1566"/>
      <c r="W110" s="1566">
        <v>3255.55</v>
      </c>
      <c r="X110" s="1566"/>
      <c r="Y110" s="1566"/>
      <c r="Z110" s="1566"/>
      <c r="AA110" s="1566">
        <v>2936.87</v>
      </c>
      <c r="AB110" s="1566"/>
      <c r="AC110" s="1566"/>
      <c r="AD110" s="1566"/>
      <c r="AE110" s="1566"/>
      <c r="AF110" s="1566"/>
      <c r="AG110" s="1566">
        <v>0</v>
      </c>
      <c r="AH110" s="1566"/>
      <c r="AI110" s="1566"/>
      <c r="AJ110" s="1566"/>
      <c r="AK110" s="1566"/>
    </row>
    <row r="111" spans="2:37" ht="9.4" customHeight="1">
      <c r="B111" s="1568" t="s">
        <v>1326</v>
      </c>
      <c r="C111" s="1568"/>
      <c r="D111" s="1568"/>
      <c r="E111" s="1568" t="s">
        <v>1393</v>
      </c>
      <c r="F111" s="1568"/>
      <c r="G111" s="1568"/>
      <c r="H111" s="1568"/>
      <c r="J111" s="1568" t="s">
        <v>1996</v>
      </c>
      <c r="K111" s="1568"/>
      <c r="L111" s="1568"/>
      <c r="M111" s="1566">
        <v>10155.67</v>
      </c>
      <c r="N111" s="1566"/>
      <c r="O111" s="1566"/>
      <c r="P111" s="1566">
        <v>0</v>
      </c>
      <c r="Q111" s="1566"/>
      <c r="R111" s="1566"/>
      <c r="S111" s="1566">
        <v>4591.97</v>
      </c>
      <c r="T111" s="1566"/>
      <c r="U111" s="1566"/>
      <c r="V111" s="1566"/>
      <c r="W111" s="1566">
        <v>0</v>
      </c>
      <c r="X111" s="1566"/>
      <c r="Y111" s="1566"/>
      <c r="Z111" s="1566"/>
      <c r="AA111" s="1566">
        <v>14747.64</v>
      </c>
      <c r="AB111" s="1566"/>
      <c r="AC111" s="1566"/>
      <c r="AD111" s="1566"/>
      <c r="AE111" s="1566"/>
      <c r="AF111" s="1566"/>
      <c r="AG111" s="1566">
        <v>0</v>
      </c>
      <c r="AH111" s="1566"/>
      <c r="AI111" s="1566"/>
      <c r="AJ111" s="1566"/>
      <c r="AK111" s="1566"/>
    </row>
    <row r="112" spans="2:37" ht="9.4" customHeight="1">
      <c r="B112" s="1568" t="s">
        <v>1326</v>
      </c>
      <c r="C112" s="1568"/>
      <c r="D112" s="1568"/>
      <c r="E112" s="1568" t="s">
        <v>1394</v>
      </c>
      <c r="F112" s="1568"/>
      <c r="G112" s="1568"/>
      <c r="H112" s="1568"/>
      <c r="J112" s="1568" t="s">
        <v>2000</v>
      </c>
      <c r="K112" s="1568"/>
      <c r="L112" s="1568"/>
      <c r="M112" s="1566">
        <v>35670.230000000003</v>
      </c>
      <c r="N112" s="1566"/>
      <c r="O112" s="1566"/>
      <c r="P112" s="1566">
        <v>0</v>
      </c>
      <c r="Q112" s="1566"/>
      <c r="R112" s="1566"/>
      <c r="S112" s="1566">
        <v>1594.26</v>
      </c>
      <c r="T112" s="1566"/>
      <c r="U112" s="1566"/>
      <c r="V112" s="1566"/>
      <c r="W112" s="1566">
        <v>0</v>
      </c>
      <c r="X112" s="1566"/>
      <c r="Y112" s="1566"/>
      <c r="Z112" s="1566"/>
      <c r="AA112" s="1566">
        <v>37264.49</v>
      </c>
      <c r="AB112" s="1566"/>
      <c r="AC112" s="1566"/>
      <c r="AD112" s="1566"/>
      <c r="AE112" s="1566"/>
      <c r="AF112" s="1566"/>
      <c r="AG112" s="1566">
        <v>0</v>
      </c>
      <c r="AH112" s="1566"/>
      <c r="AI112" s="1566"/>
      <c r="AJ112" s="1566"/>
      <c r="AK112" s="1566"/>
    </row>
    <row r="113" spans="1:38" ht="9.4" customHeight="1">
      <c r="B113" s="1568" t="s">
        <v>1326</v>
      </c>
      <c r="C113" s="1568"/>
      <c r="D113" s="1568"/>
      <c r="E113" s="1568" t="s">
        <v>1395</v>
      </c>
      <c r="F113" s="1568"/>
      <c r="G113" s="1568"/>
      <c r="H113" s="1568"/>
      <c r="J113" s="1568" t="s">
        <v>2001</v>
      </c>
      <c r="K113" s="1568"/>
      <c r="L113" s="1568"/>
      <c r="M113" s="1566">
        <v>109521.54</v>
      </c>
      <c r="N113" s="1566"/>
      <c r="O113" s="1566"/>
      <c r="P113" s="1566">
        <v>0</v>
      </c>
      <c r="Q113" s="1566"/>
      <c r="R113" s="1566"/>
      <c r="S113" s="1566">
        <v>130984.89</v>
      </c>
      <c r="T113" s="1566"/>
      <c r="U113" s="1566"/>
      <c r="V113" s="1566"/>
      <c r="W113" s="1566">
        <v>122880.86</v>
      </c>
      <c r="X113" s="1566"/>
      <c r="Y113" s="1566"/>
      <c r="Z113" s="1566"/>
      <c r="AA113" s="1566">
        <v>117625.57</v>
      </c>
      <c r="AB113" s="1566"/>
      <c r="AC113" s="1566"/>
      <c r="AD113" s="1566"/>
      <c r="AE113" s="1566"/>
      <c r="AF113" s="1566"/>
      <c r="AG113" s="1566">
        <v>0</v>
      </c>
      <c r="AH113" s="1566"/>
      <c r="AI113" s="1566"/>
      <c r="AJ113" s="1566"/>
      <c r="AK113" s="1566"/>
    </row>
    <row r="114" spans="1:38" ht="9.4" customHeight="1">
      <c r="B114" s="1568" t="s">
        <v>1326</v>
      </c>
      <c r="C114" s="1568"/>
      <c r="D114" s="1568"/>
      <c r="E114" s="1568" t="s">
        <v>1396</v>
      </c>
      <c r="F114" s="1568"/>
      <c r="G114" s="1568"/>
      <c r="H114" s="1568"/>
      <c r="J114" s="1568" t="s">
        <v>2002</v>
      </c>
      <c r="K114" s="1568"/>
      <c r="L114" s="1568"/>
      <c r="M114" s="1566">
        <v>30195.4</v>
      </c>
      <c r="N114" s="1566"/>
      <c r="O114" s="1566"/>
      <c r="P114" s="1566">
        <v>0</v>
      </c>
      <c r="Q114" s="1566"/>
      <c r="R114" s="1566"/>
      <c r="S114" s="1566">
        <v>30089.01</v>
      </c>
      <c r="T114" s="1566"/>
      <c r="U114" s="1566"/>
      <c r="V114" s="1566"/>
      <c r="W114" s="1566">
        <v>29840.49</v>
      </c>
      <c r="X114" s="1566"/>
      <c r="Y114" s="1566"/>
      <c r="Z114" s="1566"/>
      <c r="AA114" s="1566">
        <v>30443.919999999998</v>
      </c>
      <c r="AB114" s="1566"/>
      <c r="AC114" s="1566"/>
      <c r="AD114" s="1566"/>
      <c r="AE114" s="1566"/>
      <c r="AF114" s="1566"/>
      <c r="AG114" s="1566">
        <v>0</v>
      </c>
      <c r="AH114" s="1566"/>
      <c r="AI114" s="1566"/>
      <c r="AJ114" s="1566"/>
      <c r="AK114" s="1566"/>
    </row>
    <row r="115" spans="1:38" ht="9.4" customHeight="1">
      <c r="B115" s="1568" t="s">
        <v>1326</v>
      </c>
      <c r="C115" s="1568"/>
      <c r="D115" s="1568"/>
      <c r="E115" s="1568" t="s">
        <v>1397</v>
      </c>
      <c r="F115" s="1568"/>
      <c r="G115" s="1568"/>
      <c r="H115" s="1568"/>
      <c r="J115" s="1568" t="s">
        <v>2003</v>
      </c>
      <c r="K115" s="1568"/>
      <c r="L115" s="1568"/>
      <c r="M115" s="1566">
        <v>1556660.96</v>
      </c>
      <c r="N115" s="1566"/>
      <c r="O115" s="1566"/>
      <c r="P115" s="1566">
        <v>0</v>
      </c>
      <c r="Q115" s="1566"/>
      <c r="R115" s="1566"/>
      <c r="S115" s="1566">
        <v>262471.64</v>
      </c>
      <c r="T115" s="1566"/>
      <c r="U115" s="1566"/>
      <c r="V115" s="1566"/>
      <c r="W115" s="1566">
        <v>301058.03999999998</v>
      </c>
      <c r="X115" s="1566"/>
      <c r="Y115" s="1566"/>
      <c r="Z115" s="1566"/>
      <c r="AA115" s="1566">
        <v>1518074.56</v>
      </c>
      <c r="AB115" s="1566"/>
      <c r="AC115" s="1566"/>
      <c r="AD115" s="1566"/>
      <c r="AE115" s="1566"/>
      <c r="AF115" s="1566"/>
      <c r="AG115" s="1566">
        <v>0</v>
      </c>
      <c r="AH115" s="1566"/>
      <c r="AI115" s="1566"/>
      <c r="AJ115" s="1566"/>
      <c r="AK115" s="1566"/>
    </row>
    <row r="116" spans="1:38" ht="9.4" customHeight="1">
      <c r="B116" s="1568" t="s">
        <v>1326</v>
      </c>
      <c r="C116" s="1568"/>
      <c r="D116" s="1568"/>
      <c r="E116" s="1568" t="s">
        <v>1398</v>
      </c>
      <c r="F116" s="1568"/>
      <c r="G116" s="1568"/>
      <c r="H116" s="1568"/>
      <c r="J116" s="1568" t="s">
        <v>2004</v>
      </c>
      <c r="K116" s="1568"/>
      <c r="L116" s="1568"/>
      <c r="M116" s="1566">
        <v>3836.74</v>
      </c>
      <c r="N116" s="1566"/>
      <c r="O116" s="1566"/>
      <c r="P116" s="1566">
        <v>0</v>
      </c>
      <c r="Q116" s="1566"/>
      <c r="R116" s="1566"/>
      <c r="S116" s="1566">
        <v>114039.27</v>
      </c>
      <c r="T116" s="1566"/>
      <c r="U116" s="1566"/>
      <c r="V116" s="1566"/>
      <c r="W116" s="1566">
        <v>114039.27</v>
      </c>
      <c r="X116" s="1566"/>
      <c r="Y116" s="1566"/>
      <c r="Z116" s="1566"/>
      <c r="AA116" s="1566">
        <v>3836.74</v>
      </c>
      <c r="AB116" s="1566"/>
      <c r="AC116" s="1566"/>
      <c r="AD116" s="1566"/>
      <c r="AE116" s="1566"/>
      <c r="AF116" s="1566"/>
      <c r="AG116" s="1566">
        <v>0</v>
      </c>
      <c r="AH116" s="1566"/>
      <c r="AI116" s="1566"/>
      <c r="AJ116" s="1566"/>
      <c r="AK116" s="1566"/>
    </row>
    <row r="117" spans="1:38" ht="9.4" customHeight="1">
      <c r="B117" s="1568" t="s">
        <v>1326</v>
      </c>
      <c r="C117" s="1568"/>
      <c r="D117" s="1568"/>
      <c r="E117" s="1568" t="s">
        <v>1399</v>
      </c>
      <c r="F117" s="1568"/>
      <c r="G117" s="1568"/>
      <c r="H117" s="1568"/>
      <c r="J117" s="1568" t="s">
        <v>2005</v>
      </c>
      <c r="K117" s="1568"/>
      <c r="L117" s="1568"/>
      <c r="M117" s="1566">
        <v>165134.35</v>
      </c>
      <c r="N117" s="1566"/>
      <c r="O117" s="1566"/>
      <c r="P117" s="1566">
        <v>0</v>
      </c>
      <c r="Q117" s="1566"/>
      <c r="R117" s="1566"/>
      <c r="S117" s="1566">
        <v>133306.47</v>
      </c>
      <c r="T117" s="1566"/>
      <c r="U117" s="1566"/>
      <c r="V117" s="1566"/>
      <c r="W117" s="1566">
        <v>165134.35</v>
      </c>
      <c r="X117" s="1566"/>
      <c r="Y117" s="1566"/>
      <c r="Z117" s="1566"/>
      <c r="AA117" s="1566">
        <v>133306.47</v>
      </c>
      <c r="AB117" s="1566"/>
      <c r="AC117" s="1566"/>
      <c r="AD117" s="1566"/>
      <c r="AE117" s="1566"/>
      <c r="AF117" s="1566"/>
      <c r="AG117" s="1566">
        <v>0</v>
      </c>
      <c r="AH117" s="1566"/>
      <c r="AI117" s="1566"/>
      <c r="AJ117" s="1566"/>
      <c r="AK117" s="1566"/>
    </row>
    <row r="118" spans="1:38" ht="3.95" customHeight="1"/>
    <row r="119" spans="1:38" ht="14.1" customHeight="1">
      <c r="AG119" s="1565" t="s">
        <v>1997</v>
      </c>
      <c r="AH119" s="1565"/>
      <c r="AI119" s="1565"/>
      <c r="AJ119" s="1565"/>
      <c r="AK119" s="1565"/>
      <c r="AL119" s="1565"/>
    </row>
    <row r="120" spans="1:38" ht="7.15" customHeight="1">
      <c r="D120" s="1578" t="s">
        <v>2992</v>
      </c>
      <c r="E120" s="1578"/>
      <c r="F120" s="1578"/>
      <c r="G120" s="1578"/>
      <c r="H120" s="1578"/>
      <c r="I120" s="1578"/>
      <c r="J120" s="1578"/>
      <c r="K120" s="1578"/>
      <c r="L120" s="1578"/>
      <c r="M120" s="1578"/>
      <c r="N120" s="1578"/>
      <c r="O120" s="1578"/>
      <c r="P120" s="1578"/>
      <c r="Q120" s="1578"/>
      <c r="R120" s="1578"/>
      <c r="S120" s="1578"/>
      <c r="T120" s="1578"/>
      <c r="U120" s="1578"/>
      <c r="V120" s="1578"/>
      <c r="W120" s="1578"/>
      <c r="X120" s="1578"/>
      <c r="Y120" s="1578"/>
      <c r="Z120" s="1578"/>
      <c r="AA120" s="1578"/>
      <c r="AB120" s="1578"/>
      <c r="AC120" s="1578"/>
      <c r="AD120" s="1578"/>
      <c r="AE120" s="1578"/>
      <c r="AF120" s="1578"/>
      <c r="AG120" s="1578"/>
      <c r="AH120" s="1578"/>
    </row>
    <row r="121" spans="1:38" ht="9.6" customHeight="1">
      <c r="A121" s="1579"/>
      <c r="B121" s="1579"/>
      <c r="C121" s="1579"/>
      <c r="D121" s="1579"/>
      <c r="E121" s="1579"/>
      <c r="F121" s="1579"/>
      <c r="G121" s="1579"/>
      <c r="H121" s="1579"/>
      <c r="I121" s="1579"/>
      <c r="J121" s="1578"/>
      <c r="K121" s="1578"/>
      <c r="L121" s="1578"/>
      <c r="M121" s="1578"/>
      <c r="N121" s="1578"/>
      <c r="O121" s="1578"/>
      <c r="P121" s="1578"/>
      <c r="Q121" s="1578"/>
      <c r="R121" s="1578"/>
      <c r="S121" s="1578"/>
      <c r="T121" s="1578"/>
      <c r="U121" s="1578"/>
      <c r="V121" s="1578"/>
      <c r="W121" s="1578"/>
      <c r="X121" s="1578"/>
      <c r="Y121" s="1578"/>
      <c r="Z121" s="1578"/>
      <c r="AA121" s="1578"/>
      <c r="AB121" s="1578"/>
      <c r="AC121" s="1578"/>
      <c r="AD121" s="1578"/>
      <c r="AE121" s="1578"/>
      <c r="AF121" s="1578"/>
      <c r="AG121" s="1578"/>
      <c r="AH121" s="1578"/>
    </row>
    <row r="122" spans="1:38" ht="13.35" customHeight="1">
      <c r="A122" s="1579"/>
      <c r="B122" s="1579"/>
      <c r="C122" s="1579"/>
      <c r="D122" s="1579"/>
      <c r="E122" s="1579"/>
      <c r="F122" s="1579"/>
      <c r="G122" s="1579"/>
      <c r="H122" s="1579"/>
      <c r="I122" s="1579"/>
      <c r="J122" s="1580" t="s">
        <v>79</v>
      </c>
      <c r="K122" s="1580"/>
      <c r="L122" s="1580"/>
      <c r="M122" s="1580"/>
      <c r="N122" s="1580"/>
      <c r="O122" s="1580"/>
      <c r="P122" s="1580"/>
      <c r="Q122" s="1580"/>
      <c r="R122" s="1580"/>
      <c r="S122" s="1580"/>
      <c r="T122" s="1580"/>
      <c r="U122" s="1580"/>
      <c r="V122" s="1580"/>
      <c r="W122" s="1580"/>
      <c r="X122" s="1580"/>
      <c r="Y122" s="1580"/>
      <c r="Z122" s="1580"/>
      <c r="AA122" s="1580"/>
      <c r="AB122" s="1580"/>
      <c r="AC122" s="1580"/>
      <c r="AD122" s="1580"/>
      <c r="AE122" s="1580"/>
      <c r="AF122" s="1580"/>
    </row>
    <row r="123" spans="1:38" ht="5.25" customHeight="1">
      <c r="A123" s="1579"/>
      <c r="B123" s="1579"/>
      <c r="C123" s="1579"/>
      <c r="D123" s="1579"/>
      <c r="E123" s="1579"/>
      <c r="F123" s="1579"/>
      <c r="G123" s="1579"/>
      <c r="H123" s="1579"/>
      <c r="I123" s="1579"/>
      <c r="J123" s="1573" t="s">
        <v>6760</v>
      </c>
      <c r="K123" s="1573"/>
      <c r="L123" s="1573"/>
      <c r="M123" s="1573"/>
      <c r="N123" s="1573"/>
      <c r="O123" s="1573"/>
      <c r="P123" s="1573"/>
      <c r="Q123" s="1573"/>
      <c r="R123" s="1573"/>
      <c r="S123" s="1573"/>
      <c r="T123" s="1573"/>
      <c r="U123" s="1573"/>
      <c r="V123" s="1573"/>
      <c r="W123" s="1573"/>
      <c r="X123" s="1573"/>
      <c r="Y123" s="1573"/>
      <c r="Z123" s="1573"/>
      <c r="AA123" s="1573"/>
      <c r="AB123" s="1573"/>
      <c r="AC123" s="1573"/>
      <c r="AD123" s="1573"/>
      <c r="AE123" s="1573"/>
    </row>
    <row r="124" spans="1:38" ht="8.1" customHeight="1">
      <c r="C124" s="1572" t="s">
        <v>1920</v>
      </c>
      <c r="D124" s="1572"/>
      <c r="E124" s="1572"/>
      <c r="F124" s="1572"/>
      <c r="G124" s="1572"/>
      <c r="H124" s="1572"/>
      <c r="I124" s="1572"/>
      <c r="J124" s="1572"/>
      <c r="K124" s="1573"/>
      <c r="L124" s="1573"/>
      <c r="M124" s="1573"/>
      <c r="N124" s="1573"/>
      <c r="O124" s="1573"/>
      <c r="P124" s="1573"/>
      <c r="Q124" s="1573"/>
      <c r="R124" s="1573"/>
      <c r="S124" s="1573"/>
      <c r="T124" s="1573"/>
      <c r="U124" s="1573"/>
      <c r="V124" s="1573"/>
      <c r="W124" s="1573"/>
      <c r="X124" s="1573"/>
      <c r="Y124" s="1574" t="s">
        <v>5920</v>
      </c>
      <c r="Z124" s="1574"/>
      <c r="AA124" s="1574"/>
      <c r="AB124" s="1574"/>
      <c r="AC124" s="1574"/>
      <c r="AD124" s="1574"/>
      <c r="AE124" s="1574"/>
      <c r="AF124" s="1574"/>
      <c r="AG124" s="1574"/>
      <c r="AH124" s="1575" t="s">
        <v>6761</v>
      </c>
      <c r="AI124" s="1575"/>
      <c r="AJ124" s="1575"/>
      <c r="AK124" s="1575"/>
      <c r="AL124" s="1575"/>
    </row>
    <row r="125" spans="1:38" ht="6" customHeight="1">
      <c r="C125" s="1572"/>
      <c r="D125" s="1572"/>
      <c r="E125" s="1572"/>
      <c r="F125" s="1572"/>
      <c r="G125" s="1572"/>
      <c r="H125" s="1572"/>
      <c r="I125" s="1572"/>
      <c r="J125" s="1572"/>
      <c r="K125" s="1576" t="s">
        <v>1999</v>
      </c>
      <c r="L125" s="1576"/>
      <c r="M125" s="1576"/>
      <c r="N125" s="1576"/>
      <c r="O125" s="1576"/>
      <c r="P125" s="1576"/>
      <c r="Q125" s="1576"/>
      <c r="R125" s="1576"/>
      <c r="S125" s="1576"/>
      <c r="T125" s="1576"/>
      <c r="U125" s="1576"/>
      <c r="V125" s="1576"/>
      <c r="W125" s="1576"/>
      <c r="X125" s="1576"/>
      <c r="Y125" s="1574"/>
      <c r="Z125" s="1574"/>
      <c r="AA125" s="1574"/>
      <c r="AB125" s="1574"/>
      <c r="AC125" s="1574"/>
      <c r="AD125" s="1574"/>
      <c r="AE125" s="1574"/>
      <c r="AF125" s="1574"/>
      <c r="AG125" s="1574"/>
      <c r="AH125" s="1575"/>
      <c r="AI125" s="1575"/>
      <c r="AJ125" s="1575"/>
      <c r="AK125" s="1575"/>
      <c r="AL125" s="1575"/>
    </row>
    <row r="126" spans="1:38" ht="7.35" customHeight="1">
      <c r="C126" s="1572" t="s">
        <v>1998</v>
      </c>
      <c r="D126" s="1572"/>
      <c r="E126" s="1572"/>
      <c r="F126" s="1572"/>
      <c r="G126" s="1577"/>
      <c r="H126" s="1577"/>
      <c r="I126" s="1577"/>
      <c r="J126" s="1577"/>
      <c r="K126" s="1577"/>
      <c r="L126" s="1577"/>
      <c r="M126" s="1577"/>
      <c r="N126" s="1577"/>
      <c r="O126" s="1577"/>
      <c r="P126" s="1577"/>
      <c r="Q126" s="1577"/>
      <c r="R126" s="1577"/>
      <c r="S126" s="1577"/>
      <c r="T126" s="1577"/>
      <c r="U126" s="1577"/>
      <c r="V126" s="1577"/>
      <c r="W126" s="1577"/>
      <c r="X126" s="1577"/>
      <c r="Y126" s="1577"/>
      <c r="Z126" s="1577"/>
      <c r="AA126" s="1577"/>
      <c r="AB126" s="1577"/>
      <c r="AC126" s="1577"/>
      <c r="AD126" s="1577"/>
      <c r="AE126" s="1577"/>
      <c r="AF126" s="1574"/>
      <c r="AG126" s="1574"/>
      <c r="AH126" s="1574" t="s">
        <v>6762</v>
      </c>
      <c r="AI126" s="1574"/>
    </row>
    <row r="127" spans="1:38" ht="6.75" customHeight="1">
      <c r="G127" s="1577"/>
      <c r="H127" s="1577"/>
      <c r="I127" s="1577"/>
      <c r="J127" s="1577"/>
      <c r="K127" s="1577"/>
      <c r="L127" s="1577"/>
      <c r="M127" s="1577"/>
      <c r="N127" s="1577"/>
      <c r="O127" s="1577"/>
      <c r="P127" s="1577"/>
      <c r="Q127" s="1577"/>
      <c r="R127" s="1577"/>
      <c r="S127" s="1577"/>
      <c r="T127" s="1577"/>
      <c r="U127" s="1577"/>
      <c r="V127" s="1577"/>
      <c r="W127" s="1577"/>
      <c r="X127" s="1577"/>
      <c r="Y127" s="1577"/>
      <c r="Z127" s="1577"/>
      <c r="AA127" s="1577"/>
      <c r="AB127" s="1577"/>
      <c r="AC127" s="1577"/>
      <c r="AD127" s="1577"/>
      <c r="AE127" s="1577"/>
      <c r="AF127" s="1574"/>
      <c r="AG127" s="1574"/>
      <c r="AH127" s="1574"/>
      <c r="AI127" s="1574"/>
    </row>
    <row r="128" spans="1:38" ht="11.25" customHeight="1">
      <c r="O128" s="1570" t="s">
        <v>1318</v>
      </c>
      <c r="P128" s="1570"/>
      <c r="Q128" s="1570"/>
      <c r="V128" s="1570" t="s">
        <v>1319</v>
      </c>
      <c r="W128" s="1570"/>
      <c r="X128" s="1570"/>
      <c r="Y128" s="1570"/>
      <c r="AD128" s="1570" t="s">
        <v>1320</v>
      </c>
      <c r="AE128" s="1570"/>
      <c r="AF128" s="1570"/>
      <c r="AG128" s="1570"/>
      <c r="AH128" s="1570"/>
      <c r="AI128" s="1570"/>
      <c r="AJ128" s="1570"/>
    </row>
    <row r="129" spans="2:37" ht="8.4499999999999993" customHeight="1">
      <c r="B129" s="1571" t="s">
        <v>1321</v>
      </c>
      <c r="C129" s="1571"/>
      <c r="D129" s="1571"/>
      <c r="E129" s="1571" t="s">
        <v>1322</v>
      </c>
      <c r="F129" s="1571"/>
      <c r="G129" s="1571"/>
      <c r="J129" s="1571" t="s">
        <v>1323</v>
      </c>
      <c r="K129" s="1571"/>
      <c r="L129" s="1571"/>
      <c r="M129" s="1571"/>
      <c r="N129" s="1571"/>
      <c r="O129" s="1402" t="s">
        <v>1324</v>
      </c>
      <c r="Q129" s="1569" t="s">
        <v>1325</v>
      </c>
      <c r="R129" s="1569"/>
      <c r="U129" s="1569" t="s">
        <v>1324</v>
      </c>
      <c r="V129" s="1569"/>
      <c r="X129" s="1569" t="s">
        <v>1325</v>
      </c>
      <c r="Y129" s="1569"/>
      <c r="Z129" s="1569"/>
      <c r="AC129" s="1569" t="s">
        <v>1324</v>
      </c>
      <c r="AD129" s="1569"/>
      <c r="AE129" s="1569"/>
      <c r="AF129" s="1569"/>
      <c r="AH129" s="1569" t="s">
        <v>1325</v>
      </c>
      <c r="AI129" s="1569"/>
      <c r="AJ129" s="1569"/>
      <c r="AK129" s="1569"/>
    </row>
    <row r="130" spans="2:37" ht="9.9499999999999993" customHeight="1">
      <c r="B130" s="1568" t="s">
        <v>1326</v>
      </c>
      <c r="C130" s="1568"/>
      <c r="D130" s="1568"/>
      <c r="E130" s="1568" t="s">
        <v>1400</v>
      </c>
      <c r="F130" s="1568"/>
      <c r="G130" s="1568"/>
      <c r="H130" s="1568"/>
      <c r="J130" s="1568" t="s">
        <v>2006</v>
      </c>
      <c r="K130" s="1568"/>
      <c r="L130" s="1568"/>
      <c r="M130" s="1566">
        <v>0</v>
      </c>
      <c r="N130" s="1566"/>
      <c r="O130" s="1566"/>
      <c r="P130" s="1566">
        <v>0</v>
      </c>
      <c r="Q130" s="1566"/>
      <c r="R130" s="1566"/>
      <c r="S130" s="1566">
        <v>0</v>
      </c>
      <c r="T130" s="1566"/>
      <c r="U130" s="1566"/>
      <c r="V130" s="1566"/>
      <c r="W130" s="1566">
        <v>0</v>
      </c>
      <c r="X130" s="1566"/>
      <c r="Y130" s="1566"/>
      <c r="Z130" s="1566"/>
      <c r="AA130" s="1566">
        <v>0</v>
      </c>
      <c r="AB130" s="1566"/>
      <c r="AC130" s="1566"/>
      <c r="AD130" s="1566"/>
      <c r="AE130" s="1566"/>
      <c r="AF130" s="1566"/>
      <c r="AG130" s="1566">
        <v>0</v>
      </c>
      <c r="AH130" s="1566"/>
      <c r="AI130" s="1566"/>
      <c r="AJ130" s="1566"/>
      <c r="AK130" s="1566"/>
    </row>
    <row r="131" spans="2:37" ht="9.4" customHeight="1">
      <c r="B131" s="1568" t="s">
        <v>1326</v>
      </c>
      <c r="C131" s="1568"/>
      <c r="D131" s="1568"/>
      <c r="E131" s="1568" t="s">
        <v>1401</v>
      </c>
      <c r="F131" s="1568"/>
      <c r="G131" s="1568"/>
      <c r="H131" s="1568"/>
      <c r="J131" s="1568" t="s">
        <v>2007</v>
      </c>
      <c r="K131" s="1568"/>
      <c r="L131" s="1568"/>
      <c r="M131" s="1566">
        <v>0</v>
      </c>
      <c r="N131" s="1566"/>
      <c r="O131" s="1566"/>
      <c r="P131" s="1566">
        <v>0</v>
      </c>
      <c r="Q131" s="1566"/>
      <c r="R131" s="1566"/>
      <c r="S131" s="1566">
        <v>1017.03</v>
      </c>
      <c r="T131" s="1566"/>
      <c r="U131" s="1566"/>
      <c r="V131" s="1566"/>
      <c r="W131" s="1566">
        <v>1017.03</v>
      </c>
      <c r="X131" s="1566"/>
      <c r="Y131" s="1566"/>
      <c r="Z131" s="1566"/>
      <c r="AA131" s="1566">
        <v>0</v>
      </c>
      <c r="AB131" s="1566"/>
      <c r="AC131" s="1566"/>
      <c r="AD131" s="1566"/>
      <c r="AE131" s="1566"/>
      <c r="AF131" s="1566"/>
      <c r="AG131" s="1566">
        <v>0</v>
      </c>
      <c r="AH131" s="1566"/>
      <c r="AI131" s="1566"/>
      <c r="AJ131" s="1566"/>
      <c r="AK131" s="1566"/>
    </row>
    <row r="132" spans="2:37" ht="9.4" customHeight="1">
      <c r="B132" s="1568" t="s">
        <v>1326</v>
      </c>
      <c r="C132" s="1568"/>
      <c r="D132" s="1568"/>
      <c r="E132" s="1568" t="s">
        <v>1402</v>
      </c>
      <c r="F132" s="1568"/>
      <c r="G132" s="1568"/>
      <c r="H132" s="1568"/>
      <c r="J132" s="1568" t="s">
        <v>2008</v>
      </c>
      <c r="K132" s="1568"/>
      <c r="L132" s="1568"/>
      <c r="M132" s="1566">
        <v>0</v>
      </c>
      <c r="N132" s="1566"/>
      <c r="O132" s="1566"/>
      <c r="P132" s="1566">
        <v>0</v>
      </c>
      <c r="Q132" s="1566"/>
      <c r="R132" s="1566"/>
      <c r="S132" s="1566">
        <v>1017.03</v>
      </c>
      <c r="T132" s="1566"/>
      <c r="U132" s="1566"/>
      <c r="V132" s="1566"/>
      <c r="W132" s="1566">
        <v>1017.03</v>
      </c>
      <c r="X132" s="1566"/>
      <c r="Y132" s="1566"/>
      <c r="Z132" s="1566"/>
      <c r="AA132" s="1566">
        <v>0</v>
      </c>
      <c r="AB132" s="1566"/>
      <c r="AC132" s="1566"/>
      <c r="AD132" s="1566"/>
      <c r="AE132" s="1566"/>
      <c r="AF132" s="1566"/>
      <c r="AG132" s="1566">
        <v>0</v>
      </c>
      <c r="AH132" s="1566"/>
      <c r="AI132" s="1566"/>
      <c r="AJ132" s="1566"/>
      <c r="AK132" s="1566"/>
    </row>
    <row r="133" spans="2:37" ht="9.4" customHeight="1">
      <c r="B133" s="1568" t="s">
        <v>1326</v>
      </c>
      <c r="C133" s="1568"/>
      <c r="D133" s="1568"/>
      <c r="E133" s="1568" t="s">
        <v>1403</v>
      </c>
      <c r="F133" s="1568"/>
      <c r="G133" s="1568"/>
      <c r="H133" s="1568"/>
      <c r="J133" s="1568" t="s">
        <v>2009</v>
      </c>
      <c r="K133" s="1568"/>
      <c r="L133" s="1568"/>
      <c r="M133" s="1566">
        <v>76945.34</v>
      </c>
      <c r="N133" s="1566"/>
      <c r="O133" s="1566"/>
      <c r="P133" s="1566">
        <v>0</v>
      </c>
      <c r="Q133" s="1566"/>
      <c r="R133" s="1566"/>
      <c r="S133" s="1566">
        <v>88538.82</v>
      </c>
      <c r="T133" s="1566"/>
      <c r="U133" s="1566"/>
      <c r="V133" s="1566"/>
      <c r="W133" s="1566">
        <v>76945.34</v>
      </c>
      <c r="X133" s="1566"/>
      <c r="Y133" s="1566"/>
      <c r="Z133" s="1566"/>
      <c r="AA133" s="1566">
        <v>88538.82</v>
      </c>
      <c r="AB133" s="1566"/>
      <c r="AC133" s="1566"/>
      <c r="AD133" s="1566"/>
      <c r="AE133" s="1566"/>
      <c r="AF133" s="1566"/>
      <c r="AG133" s="1566">
        <v>0</v>
      </c>
      <c r="AH133" s="1566"/>
      <c r="AI133" s="1566"/>
      <c r="AJ133" s="1566"/>
      <c r="AK133" s="1566"/>
    </row>
    <row r="134" spans="2:37" ht="9.4" customHeight="1">
      <c r="B134" s="1568" t="s">
        <v>1326</v>
      </c>
      <c r="C134" s="1568"/>
      <c r="D134" s="1568"/>
      <c r="E134" s="1568" t="s">
        <v>1778</v>
      </c>
      <c r="F134" s="1568"/>
      <c r="G134" s="1568"/>
      <c r="H134" s="1568"/>
      <c r="J134" s="1568" t="s">
        <v>2010</v>
      </c>
      <c r="K134" s="1568"/>
      <c r="L134" s="1568"/>
      <c r="M134" s="1566">
        <v>224745.39</v>
      </c>
      <c r="N134" s="1566"/>
      <c r="O134" s="1566"/>
      <c r="P134" s="1566">
        <v>0</v>
      </c>
      <c r="Q134" s="1566"/>
      <c r="R134" s="1566"/>
      <c r="S134" s="1566">
        <v>0</v>
      </c>
      <c r="T134" s="1566"/>
      <c r="U134" s="1566"/>
      <c r="V134" s="1566"/>
      <c r="W134" s="1566">
        <v>0</v>
      </c>
      <c r="X134" s="1566"/>
      <c r="Y134" s="1566"/>
      <c r="Z134" s="1566"/>
      <c r="AA134" s="1566">
        <v>224745.39</v>
      </c>
      <c r="AB134" s="1566"/>
      <c r="AC134" s="1566"/>
      <c r="AD134" s="1566"/>
      <c r="AE134" s="1566"/>
      <c r="AF134" s="1566"/>
      <c r="AG134" s="1566">
        <v>0</v>
      </c>
      <c r="AH134" s="1566"/>
      <c r="AI134" s="1566"/>
      <c r="AJ134" s="1566"/>
      <c r="AK134" s="1566"/>
    </row>
    <row r="135" spans="2:37" ht="9.4" customHeight="1">
      <c r="B135" s="1568" t="s">
        <v>1326</v>
      </c>
      <c r="C135" s="1568"/>
      <c r="D135" s="1568"/>
      <c r="E135" s="1568" t="s">
        <v>1404</v>
      </c>
      <c r="F135" s="1568"/>
      <c r="G135" s="1568"/>
      <c r="H135" s="1568"/>
      <c r="J135" s="1568" t="s">
        <v>2011</v>
      </c>
      <c r="K135" s="1568"/>
      <c r="L135" s="1568"/>
      <c r="M135" s="1566">
        <v>228359.67</v>
      </c>
      <c r="N135" s="1566"/>
      <c r="O135" s="1566"/>
      <c r="P135" s="1566">
        <v>0</v>
      </c>
      <c r="Q135" s="1566"/>
      <c r="R135" s="1566"/>
      <c r="S135" s="1566">
        <v>369657.96</v>
      </c>
      <c r="T135" s="1566"/>
      <c r="U135" s="1566"/>
      <c r="V135" s="1566"/>
      <c r="W135" s="1566">
        <v>228359.66</v>
      </c>
      <c r="X135" s="1566"/>
      <c r="Y135" s="1566"/>
      <c r="Z135" s="1566"/>
      <c r="AA135" s="1566">
        <v>369657.97</v>
      </c>
      <c r="AB135" s="1566"/>
      <c r="AC135" s="1566"/>
      <c r="AD135" s="1566"/>
      <c r="AE135" s="1566"/>
      <c r="AF135" s="1566"/>
      <c r="AG135" s="1566">
        <v>0</v>
      </c>
      <c r="AH135" s="1566"/>
      <c r="AI135" s="1566"/>
      <c r="AJ135" s="1566"/>
      <c r="AK135" s="1566"/>
    </row>
    <row r="136" spans="2:37" ht="9.4" customHeight="1">
      <c r="B136" s="1568" t="s">
        <v>1326</v>
      </c>
      <c r="C136" s="1568"/>
      <c r="D136" s="1568"/>
      <c r="E136" s="1568" t="s">
        <v>1405</v>
      </c>
      <c r="F136" s="1568"/>
      <c r="G136" s="1568"/>
      <c r="H136" s="1568"/>
      <c r="J136" s="1568" t="s">
        <v>2012</v>
      </c>
      <c r="K136" s="1568"/>
      <c r="L136" s="1568"/>
      <c r="M136" s="1566">
        <v>3718.69</v>
      </c>
      <c r="N136" s="1566"/>
      <c r="O136" s="1566"/>
      <c r="P136" s="1566">
        <v>0</v>
      </c>
      <c r="Q136" s="1566"/>
      <c r="R136" s="1566"/>
      <c r="S136" s="1566">
        <v>4535.41</v>
      </c>
      <c r="T136" s="1566"/>
      <c r="U136" s="1566"/>
      <c r="V136" s="1566"/>
      <c r="W136" s="1566">
        <v>4535.41</v>
      </c>
      <c r="X136" s="1566"/>
      <c r="Y136" s="1566"/>
      <c r="Z136" s="1566"/>
      <c r="AA136" s="1566">
        <v>3718.69</v>
      </c>
      <c r="AB136" s="1566"/>
      <c r="AC136" s="1566"/>
      <c r="AD136" s="1566"/>
      <c r="AE136" s="1566"/>
      <c r="AF136" s="1566"/>
      <c r="AG136" s="1566">
        <v>0</v>
      </c>
      <c r="AH136" s="1566"/>
      <c r="AI136" s="1566"/>
      <c r="AJ136" s="1566"/>
      <c r="AK136" s="1566"/>
    </row>
    <row r="137" spans="2:37" ht="9.4" customHeight="1">
      <c r="B137" s="1568" t="s">
        <v>1326</v>
      </c>
      <c r="C137" s="1568"/>
      <c r="D137" s="1568"/>
      <c r="E137" s="1568" t="s">
        <v>1406</v>
      </c>
      <c r="F137" s="1568"/>
      <c r="G137" s="1568"/>
      <c r="H137" s="1568"/>
      <c r="J137" s="1568" t="s">
        <v>2013</v>
      </c>
      <c r="K137" s="1568"/>
      <c r="L137" s="1568"/>
      <c r="M137" s="1566">
        <v>0</v>
      </c>
      <c r="N137" s="1566"/>
      <c r="O137" s="1566"/>
      <c r="P137" s="1566">
        <v>0</v>
      </c>
      <c r="Q137" s="1566"/>
      <c r="R137" s="1566"/>
      <c r="S137" s="1566">
        <v>1099.5</v>
      </c>
      <c r="T137" s="1566"/>
      <c r="U137" s="1566"/>
      <c r="V137" s="1566"/>
      <c r="W137" s="1566">
        <v>1099.5</v>
      </c>
      <c r="X137" s="1566"/>
      <c r="Y137" s="1566"/>
      <c r="Z137" s="1566"/>
      <c r="AA137" s="1566">
        <v>0</v>
      </c>
      <c r="AB137" s="1566"/>
      <c r="AC137" s="1566"/>
      <c r="AD137" s="1566"/>
      <c r="AE137" s="1566"/>
      <c r="AF137" s="1566"/>
      <c r="AG137" s="1566">
        <v>0</v>
      </c>
      <c r="AH137" s="1566"/>
      <c r="AI137" s="1566"/>
      <c r="AJ137" s="1566"/>
      <c r="AK137" s="1566"/>
    </row>
    <row r="138" spans="2:37" ht="9.4" customHeight="1">
      <c r="B138" s="1568" t="s">
        <v>1326</v>
      </c>
      <c r="C138" s="1568"/>
      <c r="D138" s="1568"/>
      <c r="E138" s="1568" t="s">
        <v>1766</v>
      </c>
      <c r="F138" s="1568"/>
      <c r="G138" s="1568"/>
      <c r="H138" s="1568"/>
      <c r="J138" s="1568" t="s">
        <v>2014</v>
      </c>
      <c r="K138" s="1568"/>
      <c r="L138" s="1568"/>
      <c r="M138" s="1566">
        <v>0</v>
      </c>
      <c r="N138" s="1566"/>
      <c r="O138" s="1566"/>
      <c r="P138" s="1566">
        <v>0</v>
      </c>
      <c r="Q138" s="1566"/>
      <c r="R138" s="1566"/>
      <c r="S138" s="1566">
        <v>2789.65</v>
      </c>
      <c r="T138" s="1566"/>
      <c r="U138" s="1566"/>
      <c r="V138" s="1566"/>
      <c r="W138" s="1566">
        <v>2789.65</v>
      </c>
      <c r="X138" s="1566"/>
      <c r="Y138" s="1566"/>
      <c r="Z138" s="1566"/>
      <c r="AA138" s="1566">
        <v>0</v>
      </c>
      <c r="AB138" s="1566"/>
      <c r="AC138" s="1566"/>
      <c r="AD138" s="1566"/>
      <c r="AE138" s="1566"/>
      <c r="AF138" s="1566"/>
      <c r="AG138" s="1566">
        <v>0</v>
      </c>
      <c r="AH138" s="1566"/>
      <c r="AI138" s="1566"/>
      <c r="AJ138" s="1566"/>
      <c r="AK138" s="1566"/>
    </row>
    <row r="139" spans="2:37" ht="9.4" customHeight="1">
      <c r="B139" s="1568" t="s">
        <v>1326</v>
      </c>
      <c r="C139" s="1568"/>
      <c r="D139" s="1568"/>
      <c r="E139" s="1568" t="s">
        <v>1407</v>
      </c>
      <c r="F139" s="1568"/>
      <c r="G139" s="1568"/>
      <c r="H139" s="1568"/>
      <c r="J139" s="1568" t="s">
        <v>2015</v>
      </c>
      <c r="K139" s="1568"/>
      <c r="L139" s="1568"/>
      <c r="M139" s="1566">
        <v>1952.91</v>
      </c>
      <c r="N139" s="1566"/>
      <c r="O139" s="1566"/>
      <c r="P139" s="1566">
        <v>0</v>
      </c>
      <c r="Q139" s="1566"/>
      <c r="R139" s="1566"/>
      <c r="S139" s="1566">
        <v>867.26</v>
      </c>
      <c r="T139" s="1566"/>
      <c r="U139" s="1566"/>
      <c r="V139" s="1566"/>
      <c r="W139" s="1566">
        <v>0</v>
      </c>
      <c r="X139" s="1566"/>
      <c r="Y139" s="1566"/>
      <c r="Z139" s="1566"/>
      <c r="AA139" s="1566">
        <v>2820.17</v>
      </c>
      <c r="AB139" s="1566"/>
      <c r="AC139" s="1566"/>
      <c r="AD139" s="1566"/>
      <c r="AE139" s="1566"/>
      <c r="AF139" s="1566"/>
      <c r="AG139" s="1566">
        <v>0</v>
      </c>
      <c r="AH139" s="1566"/>
      <c r="AI139" s="1566"/>
      <c r="AJ139" s="1566"/>
      <c r="AK139" s="1566"/>
    </row>
    <row r="140" spans="2:37" ht="9.4" customHeight="1">
      <c r="B140" s="1568" t="s">
        <v>1326</v>
      </c>
      <c r="C140" s="1568"/>
      <c r="D140" s="1568"/>
      <c r="E140" s="1568" t="s">
        <v>1408</v>
      </c>
      <c r="F140" s="1568"/>
      <c r="G140" s="1568"/>
      <c r="H140" s="1568"/>
      <c r="J140" s="1568" t="s">
        <v>2016</v>
      </c>
      <c r="K140" s="1568"/>
      <c r="L140" s="1568"/>
      <c r="M140" s="1566">
        <v>11028.98</v>
      </c>
      <c r="N140" s="1566"/>
      <c r="O140" s="1566"/>
      <c r="P140" s="1566">
        <v>0</v>
      </c>
      <c r="Q140" s="1566"/>
      <c r="R140" s="1566"/>
      <c r="S140" s="1566">
        <v>8189.13</v>
      </c>
      <c r="T140" s="1566"/>
      <c r="U140" s="1566"/>
      <c r="V140" s="1566"/>
      <c r="W140" s="1566">
        <v>8189.13</v>
      </c>
      <c r="X140" s="1566"/>
      <c r="Y140" s="1566"/>
      <c r="Z140" s="1566"/>
      <c r="AA140" s="1566">
        <v>11028.98</v>
      </c>
      <c r="AB140" s="1566"/>
      <c r="AC140" s="1566"/>
      <c r="AD140" s="1566"/>
      <c r="AE140" s="1566"/>
      <c r="AF140" s="1566"/>
      <c r="AG140" s="1566">
        <v>0</v>
      </c>
      <c r="AH140" s="1566"/>
      <c r="AI140" s="1566"/>
      <c r="AJ140" s="1566"/>
      <c r="AK140" s="1566"/>
    </row>
    <row r="141" spans="2:37" ht="9.4" customHeight="1">
      <c r="B141" s="1568" t="s">
        <v>1326</v>
      </c>
      <c r="C141" s="1568"/>
      <c r="D141" s="1568"/>
      <c r="E141" s="1568" t="s">
        <v>6200</v>
      </c>
      <c r="F141" s="1568"/>
      <c r="G141" s="1568"/>
      <c r="H141" s="1568"/>
      <c r="J141" s="1568" t="s">
        <v>6201</v>
      </c>
      <c r="K141" s="1568"/>
      <c r="L141" s="1568"/>
      <c r="M141" s="1566">
        <v>0</v>
      </c>
      <c r="N141" s="1566"/>
      <c r="O141" s="1566"/>
      <c r="P141" s="1566">
        <v>0</v>
      </c>
      <c r="Q141" s="1566"/>
      <c r="R141" s="1566"/>
      <c r="S141" s="1566">
        <v>0</v>
      </c>
      <c r="T141" s="1566"/>
      <c r="U141" s="1566"/>
      <c r="V141" s="1566"/>
      <c r="W141" s="1566">
        <v>0</v>
      </c>
      <c r="X141" s="1566"/>
      <c r="Y141" s="1566"/>
      <c r="Z141" s="1566"/>
      <c r="AA141" s="1566">
        <v>0</v>
      </c>
      <c r="AB141" s="1566"/>
      <c r="AC141" s="1566"/>
      <c r="AD141" s="1566"/>
      <c r="AE141" s="1566"/>
      <c r="AF141" s="1566"/>
      <c r="AG141" s="1566">
        <v>0</v>
      </c>
      <c r="AH141" s="1566"/>
      <c r="AI141" s="1566"/>
      <c r="AJ141" s="1566"/>
      <c r="AK141" s="1566"/>
    </row>
    <row r="142" spans="2:37" ht="9.4" customHeight="1">
      <c r="B142" s="1568" t="s">
        <v>1326</v>
      </c>
      <c r="C142" s="1568"/>
      <c r="D142" s="1568"/>
      <c r="E142" s="1568" t="s">
        <v>1409</v>
      </c>
      <c r="F142" s="1568"/>
      <c r="G142" s="1568"/>
      <c r="H142" s="1568"/>
      <c r="J142" s="1568" t="s">
        <v>3157</v>
      </c>
      <c r="K142" s="1568"/>
      <c r="L142" s="1568"/>
      <c r="M142" s="1566">
        <v>3058.85</v>
      </c>
      <c r="N142" s="1566"/>
      <c r="O142" s="1566"/>
      <c r="P142" s="1566">
        <v>0</v>
      </c>
      <c r="Q142" s="1566"/>
      <c r="R142" s="1566"/>
      <c r="S142" s="1566">
        <v>62953.95</v>
      </c>
      <c r="T142" s="1566"/>
      <c r="U142" s="1566"/>
      <c r="V142" s="1566"/>
      <c r="W142" s="1566">
        <v>62953.95</v>
      </c>
      <c r="X142" s="1566"/>
      <c r="Y142" s="1566"/>
      <c r="Z142" s="1566"/>
      <c r="AA142" s="1566">
        <v>3058.85</v>
      </c>
      <c r="AB142" s="1566"/>
      <c r="AC142" s="1566"/>
      <c r="AD142" s="1566"/>
      <c r="AE142" s="1566"/>
      <c r="AF142" s="1566"/>
      <c r="AG142" s="1566">
        <v>0</v>
      </c>
      <c r="AH142" s="1566"/>
      <c r="AI142" s="1566"/>
      <c r="AJ142" s="1566"/>
      <c r="AK142" s="1566"/>
    </row>
    <row r="143" spans="2:37" ht="9.6" customHeight="1">
      <c r="B143" s="1568" t="s">
        <v>1326</v>
      </c>
      <c r="C143" s="1568"/>
      <c r="D143" s="1568"/>
      <c r="E143" s="1568" t="s">
        <v>3235</v>
      </c>
      <c r="F143" s="1568"/>
      <c r="G143" s="1568"/>
      <c r="H143" s="1568"/>
      <c r="J143" s="1568" t="s">
        <v>3236</v>
      </c>
      <c r="K143" s="1568"/>
      <c r="L143" s="1568"/>
      <c r="M143" s="1566">
        <v>0</v>
      </c>
      <c r="N143" s="1566"/>
      <c r="O143" s="1566"/>
      <c r="P143" s="1566">
        <v>0</v>
      </c>
      <c r="Q143" s="1566"/>
      <c r="R143" s="1566"/>
      <c r="S143" s="1566">
        <v>4696.53</v>
      </c>
      <c r="T143" s="1566"/>
      <c r="U143" s="1566"/>
      <c r="V143" s="1566"/>
      <c r="W143" s="1566">
        <v>4696.53</v>
      </c>
      <c r="X143" s="1566"/>
      <c r="Y143" s="1566"/>
      <c r="Z143" s="1566"/>
      <c r="AA143" s="1566">
        <v>0</v>
      </c>
      <c r="AB143" s="1566"/>
      <c r="AC143" s="1566"/>
      <c r="AD143" s="1566"/>
      <c r="AE143" s="1566"/>
      <c r="AF143" s="1566"/>
      <c r="AG143" s="1566">
        <v>0</v>
      </c>
      <c r="AH143" s="1566"/>
      <c r="AI143" s="1566"/>
      <c r="AJ143" s="1566"/>
      <c r="AK143" s="1566"/>
    </row>
    <row r="144" spans="2:37" ht="9.4" customHeight="1">
      <c r="B144" s="1568" t="s">
        <v>1326</v>
      </c>
      <c r="C144" s="1568"/>
      <c r="D144" s="1568"/>
      <c r="E144" s="1568" t="s">
        <v>1410</v>
      </c>
      <c r="F144" s="1568"/>
      <c r="G144" s="1568"/>
      <c r="H144" s="1568"/>
      <c r="J144" s="1568" t="s">
        <v>2017</v>
      </c>
      <c r="K144" s="1568"/>
      <c r="L144" s="1568"/>
      <c r="M144" s="1566">
        <v>20528.919999999998</v>
      </c>
      <c r="N144" s="1566"/>
      <c r="O144" s="1566"/>
      <c r="P144" s="1566">
        <v>0</v>
      </c>
      <c r="Q144" s="1566"/>
      <c r="R144" s="1566"/>
      <c r="S144" s="1566">
        <v>13452.08</v>
      </c>
      <c r="T144" s="1566"/>
      <c r="U144" s="1566"/>
      <c r="V144" s="1566"/>
      <c r="W144" s="1566">
        <v>20528.900000000001</v>
      </c>
      <c r="X144" s="1566"/>
      <c r="Y144" s="1566"/>
      <c r="Z144" s="1566"/>
      <c r="AA144" s="1566">
        <v>13452.1</v>
      </c>
      <c r="AB144" s="1566"/>
      <c r="AC144" s="1566"/>
      <c r="AD144" s="1566"/>
      <c r="AE144" s="1566"/>
      <c r="AF144" s="1566"/>
      <c r="AG144" s="1566">
        <v>0</v>
      </c>
      <c r="AH144" s="1566"/>
      <c r="AI144" s="1566"/>
      <c r="AJ144" s="1566"/>
      <c r="AK144" s="1566"/>
    </row>
    <row r="145" spans="2:37" ht="9.4" customHeight="1">
      <c r="B145" s="1568" t="s">
        <v>1326</v>
      </c>
      <c r="C145" s="1568"/>
      <c r="D145" s="1568"/>
      <c r="E145" s="1568" t="s">
        <v>1411</v>
      </c>
      <c r="F145" s="1568"/>
      <c r="G145" s="1568"/>
      <c r="H145" s="1568"/>
      <c r="J145" s="1568" t="s">
        <v>2018</v>
      </c>
      <c r="K145" s="1568"/>
      <c r="L145" s="1568"/>
      <c r="M145" s="1566">
        <v>4148.24</v>
      </c>
      <c r="N145" s="1566"/>
      <c r="O145" s="1566"/>
      <c r="P145" s="1566">
        <v>0</v>
      </c>
      <c r="Q145" s="1566"/>
      <c r="R145" s="1566"/>
      <c r="S145" s="1566">
        <v>3810.93</v>
      </c>
      <c r="T145" s="1566"/>
      <c r="U145" s="1566"/>
      <c r="V145" s="1566"/>
      <c r="W145" s="1566">
        <v>7959.17</v>
      </c>
      <c r="X145" s="1566"/>
      <c r="Y145" s="1566"/>
      <c r="Z145" s="1566"/>
      <c r="AA145" s="1566">
        <v>0</v>
      </c>
      <c r="AB145" s="1566"/>
      <c r="AC145" s="1566"/>
      <c r="AD145" s="1566"/>
      <c r="AE145" s="1566"/>
      <c r="AF145" s="1566"/>
      <c r="AG145" s="1566">
        <v>0</v>
      </c>
      <c r="AH145" s="1566"/>
      <c r="AI145" s="1566"/>
      <c r="AJ145" s="1566"/>
      <c r="AK145" s="1566"/>
    </row>
    <row r="146" spans="2:37" ht="9.4" customHeight="1">
      <c r="B146" s="1568" t="s">
        <v>1326</v>
      </c>
      <c r="C146" s="1568"/>
      <c r="D146" s="1568"/>
      <c r="E146" s="1568" t="s">
        <v>2019</v>
      </c>
      <c r="F146" s="1568"/>
      <c r="G146" s="1568"/>
      <c r="H146" s="1568"/>
      <c r="J146" s="1568" t="s">
        <v>2020</v>
      </c>
      <c r="K146" s="1568"/>
      <c r="L146" s="1568"/>
      <c r="M146" s="1566">
        <v>10068.01</v>
      </c>
      <c r="N146" s="1566"/>
      <c r="O146" s="1566"/>
      <c r="P146" s="1566">
        <v>0</v>
      </c>
      <c r="Q146" s="1566"/>
      <c r="R146" s="1566"/>
      <c r="S146" s="1566">
        <v>0</v>
      </c>
      <c r="T146" s="1566"/>
      <c r="U146" s="1566"/>
      <c r="V146" s="1566"/>
      <c r="W146" s="1566">
        <v>0</v>
      </c>
      <c r="X146" s="1566"/>
      <c r="Y146" s="1566"/>
      <c r="Z146" s="1566"/>
      <c r="AA146" s="1566">
        <v>10068.01</v>
      </c>
      <c r="AB146" s="1566"/>
      <c r="AC146" s="1566"/>
      <c r="AD146" s="1566"/>
      <c r="AE146" s="1566"/>
      <c r="AF146" s="1566"/>
      <c r="AG146" s="1566">
        <v>0</v>
      </c>
      <c r="AH146" s="1566"/>
      <c r="AI146" s="1566"/>
      <c r="AJ146" s="1566"/>
      <c r="AK146" s="1566"/>
    </row>
    <row r="147" spans="2:37" ht="9.4" customHeight="1">
      <c r="B147" s="1568" t="s">
        <v>1326</v>
      </c>
      <c r="C147" s="1568"/>
      <c r="D147" s="1568"/>
      <c r="E147" s="1568" t="s">
        <v>1412</v>
      </c>
      <c r="F147" s="1568"/>
      <c r="G147" s="1568"/>
      <c r="H147" s="1568"/>
      <c r="J147" s="1568" t="s">
        <v>2021</v>
      </c>
      <c r="K147" s="1568"/>
      <c r="L147" s="1568"/>
      <c r="M147" s="1566">
        <v>646.39</v>
      </c>
      <c r="N147" s="1566"/>
      <c r="O147" s="1566"/>
      <c r="P147" s="1566">
        <v>0</v>
      </c>
      <c r="Q147" s="1566"/>
      <c r="R147" s="1566"/>
      <c r="S147" s="1566">
        <v>0</v>
      </c>
      <c r="T147" s="1566"/>
      <c r="U147" s="1566"/>
      <c r="V147" s="1566"/>
      <c r="W147" s="1566">
        <v>0</v>
      </c>
      <c r="X147" s="1566"/>
      <c r="Y147" s="1566"/>
      <c r="Z147" s="1566"/>
      <c r="AA147" s="1566">
        <v>646.39</v>
      </c>
      <c r="AB147" s="1566"/>
      <c r="AC147" s="1566"/>
      <c r="AD147" s="1566"/>
      <c r="AE147" s="1566"/>
      <c r="AF147" s="1566"/>
      <c r="AG147" s="1566">
        <v>0</v>
      </c>
      <c r="AH147" s="1566"/>
      <c r="AI147" s="1566"/>
      <c r="AJ147" s="1566"/>
      <c r="AK147" s="1566"/>
    </row>
    <row r="148" spans="2:37" ht="9.4" customHeight="1">
      <c r="B148" s="1568" t="s">
        <v>1326</v>
      </c>
      <c r="C148" s="1568"/>
      <c r="D148" s="1568"/>
      <c r="E148" s="1568" t="s">
        <v>1413</v>
      </c>
      <c r="F148" s="1568"/>
      <c r="G148" s="1568"/>
      <c r="H148" s="1568"/>
      <c r="J148" s="1568" t="s">
        <v>2022</v>
      </c>
      <c r="K148" s="1568"/>
      <c r="L148" s="1568"/>
      <c r="M148" s="1566">
        <v>75597.100000000006</v>
      </c>
      <c r="N148" s="1566"/>
      <c r="O148" s="1566"/>
      <c r="P148" s="1566">
        <v>0</v>
      </c>
      <c r="Q148" s="1566"/>
      <c r="R148" s="1566"/>
      <c r="S148" s="1566">
        <v>54471.23</v>
      </c>
      <c r="T148" s="1566"/>
      <c r="U148" s="1566"/>
      <c r="V148" s="1566"/>
      <c r="W148" s="1566">
        <v>55455.59</v>
      </c>
      <c r="X148" s="1566"/>
      <c r="Y148" s="1566"/>
      <c r="Z148" s="1566"/>
      <c r="AA148" s="1566">
        <v>74612.740000000005</v>
      </c>
      <c r="AB148" s="1566"/>
      <c r="AC148" s="1566"/>
      <c r="AD148" s="1566"/>
      <c r="AE148" s="1566"/>
      <c r="AF148" s="1566"/>
      <c r="AG148" s="1566">
        <v>0</v>
      </c>
      <c r="AH148" s="1566"/>
      <c r="AI148" s="1566"/>
      <c r="AJ148" s="1566"/>
      <c r="AK148" s="1566"/>
    </row>
    <row r="149" spans="2:37" ht="9.4" customHeight="1">
      <c r="B149" s="1568" t="s">
        <v>1326</v>
      </c>
      <c r="C149" s="1568"/>
      <c r="D149" s="1568"/>
      <c r="E149" s="1568" t="s">
        <v>1414</v>
      </c>
      <c r="F149" s="1568"/>
      <c r="G149" s="1568"/>
      <c r="H149" s="1568"/>
      <c r="J149" s="1568" t="s">
        <v>2023</v>
      </c>
      <c r="K149" s="1568"/>
      <c r="L149" s="1568"/>
      <c r="M149" s="1566">
        <v>3979.58</v>
      </c>
      <c r="N149" s="1566"/>
      <c r="O149" s="1566"/>
      <c r="P149" s="1566">
        <v>0</v>
      </c>
      <c r="Q149" s="1566"/>
      <c r="R149" s="1566"/>
      <c r="S149" s="1566">
        <v>1574.39</v>
      </c>
      <c r="T149" s="1566"/>
      <c r="U149" s="1566"/>
      <c r="V149" s="1566"/>
      <c r="W149" s="1566">
        <v>1574.39</v>
      </c>
      <c r="X149" s="1566"/>
      <c r="Y149" s="1566"/>
      <c r="Z149" s="1566"/>
      <c r="AA149" s="1566">
        <v>3979.58</v>
      </c>
      <c r="AB149" s="1566"/>
      <c r="AC149" s="1566"/>
      <c r="AD149" s="1566"/>
      <c r="AE149" s="1566"/>
      <c r="AF149" s="1566"/>
      <c r="AG149" s="1566">
        <v>0</v>
      </c>
      <c r="AH149" s="1566"/>
      <c r="AI149" s="1566"/>
      <c r="AJ149" s="1566"/>
      <c r="AK149" s="1566"/>
    </row>
    <row r="150" spans="2:37" ht="9.4" customHeight="1">
      <c r="B150" s="1568" t="s">
        <v>1326</v>
      </c>
      <c r="C150" s="1568"/>
      <c r="D150" s="1568"/>
      <c r="E150" s="1568" t="s">
        <v>1415</v>
      </c>
      <c r="F150" s="1568"/>
      <c r="G150" s="1568"/>
      <c r="H150" s="1568"/>
      <c r="J150" s="1568" t="s">
        <v>2024</v>
      </c>
      <c r="K150" s="1568"/>
      <c r="L150" s="1568"/>
      <c r="M150" s="1566">
        <v>23810.45</v>
      </c>
      <c r="N150" s="1566"/>
      <c r="O150" s="1566"/>
      <c r="P150" s="1566">
        <v>0</v>
      </c>
      <c r="Q150" s="1566"/>
      <c r="R150" s="1566"/>
      <c r="S150" s="1566">
        <v>7461.74</v>
      </c>
      <c r="T150" s="1566"/>
      <c r="U150" s="1566"/>
      <c r="V150" s="1566"/>
      <c r="W150" s="1566">
        <v>31272.19</v>
      </c>
      <c r="X150" s="1566"/>
      <c r="Y150" s="1566"/>
      <c r="Z150" s="1566"/>
      <c r="AA150" s="1566">
        <v>0</v>
      </c>
      <c r="AB150" s="1566"/>
      <c r="AC150" s="1566"/>
      <c r="AD150" s="1566"/>
      <c r="AE150" s="1566"/>
      <c r="AF150" s="1566"/>
      <c r="AG150" s="1566">
        <v>0</v>
      </c>
      <c r="AH150" s="1566"/>
      <c r="AI150" s="1566"/>
      <c r="AJ150" s="1566"/>
      <c r="AK150" s="1566"/>
    </row>
    <row r="151" spans="2:37" ht="9.4" customHeight="1">
      <c r="B151" s="1568" t="s">
        <v>1326</v>
      </c>
      <c r="C151" s="1568"/>
      <c r="D151" s="1568"/>
      <c r="E151" s="1568" t="s">
        <v>1416</v>
      </c>
      <c r="F151" s="1568"/>
      <c r="G151" s="1568"/>
      <c r="H151" s="1568"/>
      <c r="J151" s="1568" t="s">
        <v>2025</v>
      </c>
      <c r="K151" s="1568"/>
      <c r="L151" s="1568"/>
      <c r="M151" s="1566">
        <v>25487.7</v>
      </c>
      <c r="N151" s="1566"/>
      <c r="O151" s="1566"/>
      <c r="P151" s="1566">
        <v>0</v>
      </c>
      <c r="Q151" s="1566"/>
      <c r="R151" s="1566"/>
      <c r="S151" s="1566">
        <v>23926.35</v>
      </c>
      <c r="T151" s="1566"/>
      <c r="U151" s="1566"/>
      <c r="V151" s="1566"/>
      <c r="W151" s="1566">
        <v>25487.67</v>
      </c>
      <c r="X151" s="1566"/>
      <c r="Y151" s="1566"/>
      <c r="Z151" s="1566"/>
      <c r="AA151" s="1566">
        <v>23926.38</v>
      </c>
      <c r="AB151" s="1566"/>
      <c r="AC151" s="1566"/>
      <c r="AD151" s="1566"/>
      <c r="AE151" s="1566"/>
      <c r="AF151" s="1566"/>
      <c r="AG151" s="1566">
        <v>0</v>
      </c>
      <c r="AH151" s="1566"/>
      <c r="AI151" s="1566"/>
      <c r="AJ151" s="1566"/>
      <c r="AK151" s="1566"/>
    </row>
    <row r="152" spans="2:37" ht="9.4" customHeight="1">
      <c r="B152" s="1568" t="s">
        <v>1326</v>
      </c>
      <c r="C152" s="1568"/>
      <c r="D152" s="1568"/>
      <c r="E152" s="1568" t="s">
        <v>1707</v>
      </c>
      <c r="F152" s="1568"/>
      <c r="G152" s="1568"/>
      <c r="H152" s="1568"/>
      <c r="J152" s="1568" t="s">
        <v>2026</v>
      </c>
      <c r="K152" s="1568"/>
      <c r="L152" s="1568"/>
      <c r="M152" s="1566">
        <v>0</v>
      </c>
      <c r="N152" s="1566"/>
      <c r="O152" s="1566"/>
      <c r="P152" s="1566">
        <v>0</v>
      </c>
      <c r="Q152" s="1566"/>
      <c r="R152" s="1566"/>
      <c r="S152" s="1566">
        <v>14910.16</v>
      </c>
      <c r="T152" s="1566"/>
      <c r="U152" s="1566"/>
      <c r="V152" s="1566"/>
      <c r="W152" s="1566">
        <v>14910.16</v>
      </c>
      <c r="X152" s="1566"/>
      <c r="Y152" s="1566"/>
      <c r="Z152" s="1566"/>
      <c r="AA152" s="1566">
        <v>0</v>
      </c>
      <c r="AB152" s="1566"/>
      <c r="AC152" s="1566"/>
      <c r="AD152" s="1566"/>
      <c r="AE152" s="1566"/>
      <c r="AF152" s="1566"/>
      <c r="AG152" s="1566">
        <v>0</v>
      </c>
      <c r="AH152" s="1566"/>
      <c r="AI152" s="1566"/>
      <c r="AJ152" s="1566"/>
      <c r="AK152" s="1566"/>
    </row>
    <row r="153" spans="2:37" ht="9.4" customHeight="1">
      <c r="B153" s="1568" t="s">
        <v>1326</v>
      </c>
      <c r="C153" s="1568"/>
      <c r="D153" s="1568"/>
      <c r="E153" s="1568" t="s">
        <v>1417</v>
      </c>
      <c r="F153" s="1568"/>
      <c r="G153" s="1568"/>
      <c r="H153" s="1568"/>
      <c r="J153" s="1568" t="s">
        <v>2027</v>
      </c>
      <c r="K153" s="1568"/>
      <c r="L153" s="1568"/>
      <c r="M153" s="1566">
        <v>21352.95</v>
      </c>
      <c r="N153" s="1566"/>
      <c r="O153" s="1566"/>
      <c r="P153" s="1566">
        <v>0</v>
      </c>
      <c r="Q153" s="1566"/>
      <c r="R153" s="1566"/>
      <c r="S153" s="1566">
        <v>11153.52</v>
      </c>
      <c r="T153" s="1566"/>
      <c r="U153" s="1566"/>
      <c r="V153" s="1566"/>
      <c r="W153" s="1566">
        <v>9795.93</v>
      </c>
      <c r="X153" s="1566"/>
      <c r="Y153" s="1566"/>
      <c r="Z153" s="1566"/>
      <c r="AA153" s="1566">
        <v>22710.54</v>
      </c>
      <c r="AB153" s="1566"/>
      <c r="AC153" s="1566"/>
      <c r="AD153" s="1566"/>
      <c r="AE153" s="1566"/>
      <c r="AF153" s="1566"/>
      <c r="AG153" s="1566">
        <v>0</v>
      </c>
      <c r="AH153" s="1566"/>
      <c r="AI153" s="1566"/>
      <c r="AJ153" s="1566"/>
      <c r="AK153" s="1566"/>
    </row>
    <row r="154" spans="2:37" ht="9.4" customHeight="1">
      <c r="B154" s="1568" t="s">
        <v>1326</v>
      </c>
      <c r="C154" s="1568"/>
      <c r="D154" s="1568"/>
      <c r="E154" s="1568" t="s">
        <v>1834</v>
      </c>
      <c r="F154" s="1568"/>
      <c r="G154" s="1568"/>
      <c r="H154" s="1568"/>
      <c r="J154" s="1568" t="s">
        <v>2028</v>
      </c>
      <c r="K154" s="1568"/>
      <c r="L154" s="1568"/>
      <c r="M154" s="1566">
        <v>0</v>
      </c>
      <c r="N154" s="1566"/>
      <c r="O154" s="1566"/>
      <c r="P154" s="1566">
        <v>0</v>
      </c>
      <c r="Q154" s="1566"/>
      <c r="R154" s="1566"/>
      <c r="S154" s="1566">
        <v>44545.760000000002</v>
      </c>
      <c r="T154" s="1566"/>
      <c r="U154" s="1566"/>
      <c r="V154" s="1566"/>
      <c r="W154" s="1566">
        <v>44545.760000000002</v>
      </c>
      <c r="X154" s="1566"/>
      <c r="Y154" s="1566"/>
      <c r="Z154" s="1566"/>
      <c r="AA154" s="1566">
        <v>0</v>
      </c>
      <c r="AB154" s="1566"/>
      <c r="AC154" s="1566"/>
      <c r="AD154" s="1566"/>
      <c r="AE154" s="1566"/>
      <c r="AF154" s="1566"/>
      <c r="AG154" s="1566">
        <v>0</v>
      </c>
      <c r="AH154" s="1566"/>
      <c r="AI154" s="1566"/>
      <c r="AJ154" s="1566"/>
      <c r="AK154" s="1566"/>
    </row>
    <row r="155" spans="2:37" ht="9.4" customHeight="1">
      <c r="B155" s="1568" t="s">
        <v>1326</v>
      </c>
      <c r="C155" s="1568"/>
      <c r="D155" s="1568"/>
      <c r="E155" s="1568" t="s">
        <v>1418</v>
      </c>
      <c r="F155" s="1568"/>
      <c r="G155" s="1568"/>
      <c r="H155" s="1568"/>
      <c r="J155" s="1568" t="s">
        <v>2029</v>
      </c>
      <c r="K155" s="1568"/>
      <c r="L155" s="1568"/>
      <c r="M155" s="1566">
        <v>33746.269999999997</v>
      </c>
      <c r="N155" s="1566"/>
      <c r="O155" s="1566"/>
      <c r="P155" s="1566">
        <v>0</v>
      </c>
      <c r="Q155" s="1566"/>
      <c r="R155" s="1566"/>
      <c r="S155" s="1566">
        <v>38263.33</v>
      </c>
      <c r="T155" s="1566"/>
      <c r="U155" s="1566"/>
      <c r="V155" s="1566"/>
      <c r="W155" s="1566">
        <v>33746.269999999997</v>
      </c>
      <c r="X155" s="1566"/>
      <c r="Y155" s="1566"/>
      <c r="Z155" s="1566"/>
      <c r="AA155" s="1566">
        <v>38263.33</v>
      </c>
      <c r="AB155" s="1566"/>
      <c r="AC155" s="1566"/>
      <c r="AD155" s="1566"/>
      <c r="AE155" s="1566"/>
      <c r="AF155" s="1566"/>
      <c r="AG155" s="1566">
        <v>0</v>
      </c>
      <c r="AH155" s="1566"/>
      <c r="AI155" s="1566"/>
      <c r="AJ155" s="1566"/>
      <c r="AK155" s="1566"/>
    </row>
    <row r="156" spans="2:37" ht="9.4" customHeight="1">
      <c r="B156" s="1568" t="s">
        <v>1326</v>
      </c>
      <c r="C156" s="1568"/>
      <c r="D156" s="1568"/>
      <c r="E156" s="1568" t="s">
        <v>1419</v>
      </c>
      <c r="F156" s="1568"/>
      <c r="G156" s="1568"/>
      <c r="H156" s="1568"/>
      <c r="J156" s="1568" t="s">
        <v>2030</v>
      </c>
      <c r="K156" s="1568"/>
      <c r="L156" s="1568"/>
      <c r="M156" s="1566">
        <v>0</v>
      </c>
      <c r="N156" s="1566"/>
      <c r="O156" s="1566"/>
      <c r="P156" s="1566">
        <v>0</v>
      </c>
      <c r="Q156" s="1566"/>
      <c r="R156" s="1566"/>
      <c r="S156" s="1566">
        <v>0</v>
      </c>
      <c r="T156" s="1566"/>
      <c r="U156" s="1566"/>
      <c r="V156" s="1566"/>
      <c r="W156" s="1566">
        <v>0</v>
      </c>
      <c r="X156" s="1566"/>
      <c r="Y156" s="1566"/>
      <c r="Z156" s="1566"/>
      <c r="AA156" s="1566">
        <v>0</v>
      </c>
      <c r="AB156" s="1566"/>
      <c r="AC156" s="1566"/>
      <c r="AD156" s="1566"/>
      <c r="AE156" s="1566"/>
      <c r="AF156" s="1566"/>
      <c r="AG156" s="1566">
        <v>0</v>
      </c>
      <c r="AH156" s="1566"/>
      <c r="AI156" s="1566"/>
      <c r="AJ156" s="1566"/>
      <c r="AK156" s="1566"/>
    </row>
    <row r="157" spans="2:37" ht="9.4" customHeight="1">
      <c r="B157" s="1568" t="s">
        <v>1326</v>
      </c>
      <c r="C157" s="1568"/>
      <c r="D157" s="1568"/>
      <c r="E157" s="1568" t="s">
        <v>1420</v>
      </c>
      <c r="F157" s="1568"/>
      <c r="G157" s="1568"/>
      <c r="H157" s="1568"/>
      <c r="J157" s="1568" t="s">
        <v>2031</v>
      </c>
      <c r="K157" s="1568"/>
      <c r="L157" s="1568"/>
      <c r="M157" s="1566">
        <v>98444.79</v>
      </c>
      <c r="N157" s="1566"/>
      <c r="O157" s="1566"/>
      <c r="P157" s="1566">
        <v>0</v>
      </c>
      <c r="Q157" s="1566"/>
      <c r="R157" s="1566"/>
      <c r="S157" s="1566">
        <v>50532.41</v>
      </c>
      <c r="T157" s="1566"/>
      <c r="U157" s="1566"/>
      <c r="V157" s="1566"/>
      <c r="W157" s="1566">
        <v>0</v>
      </c>
      <c r="X157" s="1566"/>
      <c r="Y157" s="1566"/>
      <c r="Z157" s="1566"/>
      <c r="AA157" s="1566">
        <v>148977.20000000001</v>
      </c>
      <c r="AB157" s="1566"/>
      <c r="AC157" s="1566"/>
      <c r="AD157" s="1566"/>
      <c r="AE157" s="1566"/>
      <c r="AF157" s="1566"/>
      <c r="AG157" s="1566">
        <v>0</v>
      </c>
      <c r="AH157" s="1566"/>
      <c r="AI157" s="1566"/>
      <c r="AJ157" s="1566"/>
      <c r="AK157" s="1566"/>
    </row>
    <row r="158" spans="2:37" ht="9.4" customHeight="1">
      <c r="B158" s="1568" t="s">
        <v>1326</v>
      </c>
      <c r="C158" s="1568"/>
      <c r="D158" s="1568"/>
      <c r="E158" s="1568" t="s">
        <v>1421</v>
      </c>
      <c r="F158" s="1568"/>
      <c r="G158" s="1568"/>
      <c r="H158" s="1568"/>
      <c r="J158" s="1568" t="s">
        <v>2032</v>
      </c>
      <c r="K158" s="1568"/>
      <c r="L158" s="1568"/>
      <c r="M158" s="1566">
        <v>146028.14000000001</v>
      </c>
      <c r="N158" s="1566"/>
      <c r="O158" s="1566"/>
      <c r="P158" s="1566">
        <v>0</v>
      </c>
      <c r="Q158" s="1566"/>
      <c r="R158" s="1566"/>
      <c r="S158" s="1566">
        <v>46006.29</v>
      </c>
      <c r="T158" s="1566"/>
      <c r="U158" s="1566"/>
      <c r="V158" s="1566"/>
      <c r="W158" s="1566">
        <v>89019.78</v>
      </c>
      <c r="X158" s="1566"/>
      <c r="Y158" s="1566"/>
      <c r="Z158" s="1566"/>
      <c r="AA158" s="1566">
        <v>103014.65</v>
      </c>
      <c r="AB158" s="1566"/>
      <c r="AC158" s="1566"/>
      <c r="AD158" s="1566"/>
      <c r="AE158" s="1566"/>
      <c r="AF158" s="1566"/>
      <c r="AG158" s="1566">
        <v>0</v>
      </c>
      <c r="AH158" s="1566"/>
      <c r="AI158" s="1566"/>
      <c r="AJ158" s="1566"/>
      <c r="AK158" s="1566"/>
    </row>
    <row r="159" spans="2:37" ht="9.4" customHeight="1">
      <c r="B159" s="1568" t="s">
        <v>1326</v>
      </c>
      <c r="C159" s="1568"/>
      <c r="D159" s="1568"/>
      <c r="E159" s="1568" t="s">
        <v>1422</v>
      </c>
      <c r="F159" s="1568"/>
      <c r="G159" s="1568"/>
      <c r="H159" s="1568"/>
      <c r="J159" s="1568" t="s">
        <v>2033</v>
      </c>
      <c r="K159" s="1568"/>
      <c r="L159" s="1568"/>
      <c r="M159" s="1566">
        <v>206418.48</v>
      </c>
      <c r="N159" s="1566"/>
      <c r="O159" s="1566"/>
      <c r="P159" s="1566">
        <v>0</v>
      </c>
      <c r="Q159" s="1566"/>
      <c r="R159" s="1566"/>
      <c r="S159" s="1566">
        <v>4363.3100000000004</v>
      </c>
      <c r="T159" s="1566"/>
      <c r="U159" s="1566"/>
      <c r="V159" s="1566"/>
      <c r="W159" s="1566">
        <v>0</v>
      </c>
      <c r="X159" s="1566"/>
      <c r="Y159" s="1566"/>
      <c r="Z159" s="1566"/>
      <c r="AA159" s="1566">
        <v>210781.79</v>
      </c>
      <c r="AB159" s="1566"/>
      <c r="AC159" s="1566"/>
      <c r="AD159" s="1566"/>
      <c r="AE159" s="1566"/>
      <c r="AF159" s="1566"/>
      <c r="AG159" s="1566">
        <v>0</v>
      </c>
      <c r="AH159" s="1566"/>
      <c r="AI159" s="1566"/>
      <c r="AJ159" s="1566"/>
      <c r="AK159" s="1566"/>
    </row>
    <row r="160" spans="2:37" ht="9.4" customHeight="1">
      <c r="B160" s="1568" t="s">
        <v>1326</v>
      </c>
      <c r="C160" s="1568"/>
      <c r="D160" s="1568"/>
      <c r="E160" s="1568" t="s">
        <v>1423</v>
      </c>
      <c r="F160" s="1568"/>
      <c r="G160" s="1568"/>
      <c r="H160" s="1568"/>
      <c r="J160" s="1568" t="s">
        <v>2034</v>
      </c>
      <c r="K160" s="1568"/>
      <c r="L160" s="1568"/>
      <c r="M160" s="1566">
        <v>4019.14</v>
      </c>
      <c r="N160" s="1566"/>
      <c r="O160" s="1566"/>
      <c r="P160" s="1566">
        <v>0</v>
      </c>
      <c r="Q160" s="1566"/>
      <c r="R160" s="1566"/>
      <c r="S160" s="1566">
        <v>2827.54</v>
      </c>
      <c r="T160" s="1566"/>
      <c r="U160" s="1566"/>
      <c r="V160" s="1566"/>
      <c r="W160" s="1566">
        <v>2387.7399999999998</v>
      </c>
      <c r="X160" s="1566"/>
      <c r="Y160" s="1566"/>
      <c r="Z160" s="1566"/>
      <c r="AA160" s="1566">
        <v>4458.9399999999996</v>
      </c>
      <c r="AB160" s="1566"/>
      <c r="AC160" s="1566"/>
      <c r="AD160" s="1566"/>
      <c r="AE160" s="1566"/>
      <c r="AF160" s="1566"/>
      <c r="AG160" s="1566">
        <v>0</v>
      </c>
      <c r="AH160" s="1566"/>
      <c r="AI160" s="1566"/>
      <c r="AJ160" s="1566"/>
      <c r="AK160" s="1566"/>
    </row>
    <row r="161" spans="2:37" ht="9.4" customHeight="1">
      <c r="B161" s="1568" t="s">
        <v>1326</v>
      </c>
      <c r="C161" s="1568"/>
      <c r="D161" s="1568"/>
      <c r="E161" s="1568" t="s">
        <v>1424</v>
      </c>
      <c r="F161" s="1568"/>
      <c r="G161" s="1568"/>
      <c r="H161" s="1568"/>
      <c r="J161" s="1568" t="s">
        <v>2035</v>
      </c>
      <c r="K161" s="1568"/>
      <c r="L161" s="1568"/>
      <c r="M161" s="1566">
        <v>76773.98</v>
      </c>
      <c r="N161" s="1566"/>
      <c r="O161" s="1566"/>
      <c r="P161" s="1566">
        <v>0</v>
      </c>
      <c r="Q161" s="1566"/>
      <c r="R161" s="1566"/>
      <c r="S161" s="1566">
        <v>5805.66</v>
      </c>
      <c r="T161" s="1566"/>
      <c r="U161" s="1566"/>
      <c r="V161" s="1566"/>
      <c r="W161" s="1566">
        <v>0</v>
      </c>
      <c r="X161" s="1566"/>
      <c r="Y161" s="1566"/>
      <c r="Z161" s="1566"/>
      <c r="AA161" s="1566">
        <v>82579.64</v>
      </c>
      <c r="AB161" s="1566"/>
      <c r="AC161" s="1566"/>
      <c r="AD161" s="1566"/>
      <c r="AE161" s="1566"/>
      <c r="AF161" s="1566"/>
      <c r="AG161" s="1566">
        <v>0</v>
      </c>
      <c r="AH161" s="1566"/>
      <c r="AI161" s="1566"/>
      <c r="AJ161" s="1566"/>
      <c r="AK161" s="1566"/>
    </row>
    <row r="162" spans="2:37" ht="9.4" customHeight="1">
      <c r="B162" s="1568" t="s">
        <v>1326</v>
      </c>
      <c r="C162" s="1568"/>
      <c r="D162" s="1568"/>
      <c r="E162" s="1568" t="s">
        <v>1425</v>
      </c>
      <c r="F162" s="1568"/>
      <c r="G162" s="1568"/>
      <c r="H162" s="1568"/>
      <c r="J162" s="1568" t="s">
        <v>2036</v>
      </c>
      <c r="K162" s="1568"/>
      <c r="L162" s="1568"/>
      <c r="M162" s="1566">
        <v>0</v>
      </c>
      <c r="N162" s="1566"/>
      <c r="O162" s="1566"/>
      <c r="P162" s="1566">
        <v>0</v>
      </c>
      <c r="Q162" s="1566"/>
      <c r="R162" s="1566"/>
      <c r="S162" s="1566">
        <v>41856.21</v>
      </c>
      <c r="T162" s="1566"/>
      <c r="U162" s="1566"/>
      <c r="V162" s="1566"/>
      <c r="W162" s="1566">
        <v>41856.21</v>
      </c>
      <c r="X162" s="1566"/>
      <c r="Y162" s="1566"/>
      <c r="Z162" s="1566"/>
      <c r="AA162" s="1566">
        <v>0</v>
      </c>
      <c r="AB162" s="1566"/>
      <c r="AC162" s="1566"/>
      <c r="AD162" s="1566"/>
      <c r="AE162" s="1566"/>
      <c r="AF162" s="1566"/>
      <c r="AG162" s="1566">
        <v>0</v>
      </c>
      <c r="AH162" s="1566"/>
      <c r="AI162" s="1566"/>
      <c r="AJ162" s="1566"/>
      <c r="AK162" s="1566"/>
    </row>
    <row r="163" spans="2:37" ht="9.4" customHeight="1">
      <c r="B163" s="1568" t="s">
        <v>1326</v>
      </c>
      <c r="C163" s="1568"/>
      <c r="D163" s="1568"/>
      <c r="E163" s="1568" t="s">
        <v>1426</v>
      </c>
      <c r="F163" s="1568"/>
      <c r="G163" s="1568"/>
      <c r="H163" s="1568"/>
      <c r="J163" s="1568" t="s">
        <v>2037</v>
      </c>
      <c r="K163" s="1568"/>
      <c r="L163" s="1568"/>
      <c r="M163" s="1566">
        <v>0</v>
      </c>
      <c r="N163" s="1566"/>
      <c r="O163" s="1566"/>
      <c r="P163" s="1566">
        <v>0</v>
      </c>
      <c r="Q163" s="1566"/>
      <c r="R163" s="1566"/>
      <c r="S163" s="1566">
        <v>5863.66</v>
      </c>
      <c r="T163" s="1566"/>
      <c r="U163" s="1566"/>
      <c r="V163" s="1566"/>
      <c r="W163" s="1566">
        <v>5863.66</v>
      </c>
      <c r="X163" s="1566"/>
      <c r="Y163" s="1566"/>
      <c r="Z163" s="1566"/>
      <c r="AA163" s="1566">
        <v>0</v>
      </c>
      <c r="AB163" s="1566"/>
      <c r="AC163" s="1566"/>
      <c r="AD163" s="1566"/>
      <c r="AE163" s="1566"/>
      <c r="AF163" s="1566"/>
      <c r="AG163" s="1566">
        <v>0</v>
      </c>
      <c r="AH163" s="1566"/>
      <c r="AI163" s="1566"/>
      <c r="AJ163" s="1566"/>
      <c r="AK163" s="1566"/>
    </row>
    <row r="164" spans="2:37" ht="9.4" customHeight="1">
      <c r="B164" s="1568" t="s">
        <v>1326</v>
      </c>
      <c r="C164" s="1568"/>
      <c r="D164" s="1568"/>
      <c r="E164" s="1568" t="s">
        <v>1427</v>
      </c>
      <c r="F164" s="1568"/>
      <c r="G164" s="1568"/>
      <c r="H164" s="1568"/>
      <c r="J164" s="1568" t="s">
        <v>2038</v>
      </c>
      <c r="K164" s="1568"/>
      <c r="L164" s="1568"/>
      <c r="M164" s="1566">
        <v>0</v>
      </c>
      <c r="N164" s="1566"/>
      <c r="O164" s="1566"/>
      <c r="P164" s="1566">
        <v>0</v>
      </c>
      <c r="Q164" s="1566"/>
      <c r="R164" s="1566"/>
      <c r="S164" s="1566">
        <v>27996.99</v>
      </c>
      <c r="T164" s="1566"/>
      <c r="U164" s="1566"/>
      <c r="V164" s="1566"/>
      <c r="W164" s="1566">
        <v>27996.99</v>
      </c>
      <c r="X164" s="1566"/>
      <c r="Y164" s="1566"/>
      <c r="Z164" s="1566"/>
      <c r="AA164" s="1566">
        <v>0</v>
      </c>
      <c r="AB164" s="1566"/>
      <c r="AC164" s="1566"/>
      <c r="AD164" s="1566"/>
      <c r="AE164" s="1566"/>
      <c r="AF164" s="1566"/>
      <c r="AG164" s="1566">
        <v>0</v>
      </c>
      <c r="AH164" s="1566"/>
      <c r="AI164" s="1566"/>
      <c r="AJ164" s="1566"/>
      <c r="AK164" s="1566"/>
    </row>
    <row r="165" spans="2:37" ht="9.4" customHeight="1">
      <c r="B165" s="1568" t="s">
        <v>1326</v>
      </c>
      <c r="C165" s="1568"/>
      <c r="D165" s="1568"/>
      <c r="E165" s="1568" t="s">
        <v>1428</v>
      </c>
      <c r="F165" s="1568"/>
      <c r="G165" s="1568"/>
      <c r="H165" s="1568"/>
      <c r="J165" s="1568" t="s">
        <v>2040</v>
      </c>
      <c r="K165" s="1568"/>
      <c r="L165" s="1568"/>
      <c r="M165" s="1566">
        <v>446.25</v>
      </c>
      <c r="N165" s="1566"/>
      <c r="O165" s="1566"/>
      <c r="P165" s="1566">
        <v>0</v>
      </c>
      <c r="Q165" s="1566"/>
      <c r="R165" s="1566"/>
      <c r="S165" s="1566">
        <v>460.91</v>
      </c>
      <c r="T165" s="1566"/>
      <c r="U165" s="1566"/>
      <c r="V165" s="1566"/>
      <c r="W165" s="1566">
        <v>460.91</v>
      </c>
      <c r="X165" s="1566"/>
      <c r="Y165" s="1566"/>
      <c r="Z165" s="1566"/>
      <c r="AA165" s="1566">
        <v>446.25</v>
      </c>
      <c r="AB165" s="1566"/>
      <c r="AC165" s="1566"/>
      <c r="AD165" s="1566"/>
      <c r="AE165" s="1566"/>
      <c r="AF165" s="1566"/>
      <c r="AG165" s="1566">
        <v>0</v>
      </c>
      <c r="AH165" s="1566"/>
      <c r="AI165" s="1566"/>
      <c r="AJ165" s="1566"/>
      <c r="AK165" s="1566"/>
    </row>
    <row r="166" spans="2:37" ht="9.4" customHeight="1">
      <c r="B166" s="1568" t="s">
        <v>1326</v>
      </c>
      <c r="C166" s="1568"/>
      <c r="D166" s="1568"/>
      <c r="E166" s="1568" t="s">
        <v>1429</v>
      </c>
      <c r="F166" s="1568"/>
      <c r="G166" s="1568"/>
      <c r="H166" s="1568"/>
      <c r="J166" s="1568" t="s">
        <v>2041</v>
      </c>
      <c r="K166" s="1568"/>
      <c r="L166" s="1568"/>
      <c r="M166" s="1566">
        <v>0</v>
      </c>
      <c r="N166" s="1566"/>
      <c r="O166" s="1566"/>
      <c r="P166" s="1566">
        <v>0</v>
      </c>
      <c r="Q166" s="1566"/>
      <c r="R166" s="1566"/>
      <c r="S166" s="1566">
        <v>9433.94</v>
      </c>
      <c r="T166" s="1566"/>
      <c r="U166" s="1566"/>
      <c r="V166" s="1566"/>
      <c r="W166" s="1566">
        <v>9433.94</v>
      </c>
      <c r="X166" s="1566"/>
      <c r="Y166" s="1566"/>
      <c r="Z166" s="1566"/>
      <c r="AA166" s="1566">
        <v>0</v>
      </c>
      <c r="AB166" s="1566"/>
      <c r="AC166" s="1566"/>
      <c r="AD166" s="1566"/>
      <c r="AE166" s="1566"/>
      <c r="AF166" s="1566"/>
      <c r="AG166" s="1566">
        <v>0</v>
      </c>
      <c r="AH166" s="1566"/>
      <c r="AI166" s="1566"/>
      <c r="AJ166" s="1566"/>
      <c r="AK166" s="1566"/>
    </row>
    <row r="167" spans="2:37" ht="9.4" customHeight="1">
      <c r="B167" s="1568" t="s">
        <v>1326</v>
      </c>
      <c r="C167" s="1568"/>
      <c r="D167" s="1568"/>
      <c r="E167" s="1568" t="s">
        <v>1430</v>
      </c>
      <c r="F167" s="1568"/>
      <c r="G167" s="1568"/>
      <c r="H167" s="1568"/>
      <c r="J167" s="1568" t="s">
        <v>2042</v>
      </c>
      <c r="K167" s="1568"/>
      <c r="L167" s="1568"/>
      <c r="M167" s="1566">
        <v>2539.2800000000002</v>
      </c>
      <c r="N167" s="1566"/>
      <c r="O167" s="1566"/>
      <c r="P167" s="1566">
        <v>0</v>
      </c>
      <c r="Q167" s="1566"/>
      <c r="R167" s="1566"/>
      <c r="S167" s="1566">
        <v>2919.88</v>
      </c>
      <c r="T167" s="1566"/>
      <c r="U167" s="1566"/>
      <c r="V167" s="1566"/>
      <c r="W167" s="1566">
        <v>0</v>
      </c>
      <c r="X167" s="1566"/>
      <c r="Y167" s="1566"/>
      <c r="Z167" s="1566"/>
      <c r="AA167" s="1566">
        <v>5459.16</v>
      </c>
      <c r="AB167" s="1566"/>
      <c r="AC167" s="1566"/>
      <c r="AD167" s="1566"/>
      <c r="AE167" s="1566"/>
      <c r="AF167" s="1566"/>
      <c r="AG167" s="1566">
        <v>0</v>
      </c>
      <c r="AH167" s="1566"/>
      <c r="AI167" s="1566"/>
      <c r="AJ167" s="1566"/>
      <c r="AK167" s="1566"/>
    </row>
    <row r="168" spans="2:37" ht="9.4" customHeight="1">
      <c r="B168" s="1568" t="s">
        <v>1326</v>
      </c>
      <c r="C168" s="1568"/>
      <c r="D168" s="1568"/>
      <c r="E168" s="1568" t="s">
        <v>1431</v>
      </c>
      <c r="F168" s="1568"/>
      <c r="G168" s="1568"/>
      <c r="H168" s="1568"/>
      <c r="J168" s="1568" t="s">
        <v>2043</v>
      </c>
      <c r="K168" s="1568"/>
      <c r="L168" s="1568"/>
      <c r="M168" s="1566">
        <v>1329.01</v>
      </c>
      <c r="N168" s="1566"/>
      <c r="O168" s="1566"/>
      <c r="P168" s="1566">
        <v>0</v>
      </c>
      <c r="Q168" s="1566"/>
      <c r="R168" s="1566"/>
      <c r="S168" s="1566">
        <v>1412.25</v>
      </c>
      <c r="T168" s="1566"/>
      <c r="U168" s="1566"/>
      <c r="V168" s="1566"/>
      <c r="W168" s="1566">
        <v>2741.26</v>
      </c>
      <c r="X168" s="1566"/>
      <c r="Y168" s="1566"/>
      <c r="Z168" s="1566"/>
      <c r="AA168" s="1566">
        <v>0</v>
      </c>
      <c r="AB168" s="1566"/>
      <c r="AC168" s="1566"/>
      <c r="AD168" s="1566"/>
      <c r="AE168" s="1566"/>
      <c r="AF168" s="1566"/>
      <c r="AG168" s="1566">
        <v>0</v>
      </c>
      <c r="AH168" s="1566"/>
      <c r="AI168" s="1566"/>
      <c r="AJ168" s="1566"/>
      <c r="AK168" s="1566"/>
    </row>
    <row r="169" spans="2:37" ht="9.4" customHeight="1">
      <c r="B169" s="1568" t="s">
        <v>1326</v>
      </c>
      <c r="C169" s="1568"/>
      <c r="D169" s="1568"/>
      <c r="E169" s="1568" t="s">
        <v>1432</v>
      </c>
      <c r="F169" s="1568"/>
      <c r="G169" s="1568"/>
      <c r="H169" s="1568"/>
      <c r="J169" s="1568" t="s">
        <v>1837</v>
      </c>
      <c r="K169" s="1568"/>
      <c r="L169" s="1568"/>
      <c r="M169" s="1566">
        <v>24956.51</v>
      </c>
      <c r="N169" s="1566"/>
      <c r="O169" s="1566"/>
      <c r="P169" s="1566">
        <v>0</v>
      </c>
      <c r="Q169" s="1566"/>
      <c r="R169" s="1566"/>
      <c r="S169" s="1566">
        <v>0</v>
      </c>
      <c r="T169" s="1566"/>
      <c r="U169" s="1566"/>
      <c r="V169" s="1566"/>
      <c r="W169" s="1566">
        <v>0</v>
      </c>
      <c r="X169" s="1566"/>
      <c r="Y169" s="1566"/>
      <c r="Z169" s="1566"/>
      <c r="AA169" s="1566">
        <v>24956.51</v>
      </c>
      <c r="AB169" s="1566"/>
      <c r="AC169" s="1566"/>
      <c r="AD169" s="1566"/>
      <c r="AE169" s="1566"/>
      <c r="AF169" s="1566"/>
      <c r="AG169" s="1566">
        <v>0</v>
      </c>
      <c r="AH169" s="1566"/>
      <c r="AI169" s="1566"/>
      <c r="AJ169" s="1566"/>
      <c r="AK169" s="1566"/>
    </row>
    <row r="170" spans="2:37" ht="9.4" customHeight="1">
      <c r="B170" s="1568" t="s">
        <v>1326</v>
      </c>
      <c r="C170" s="1568"/>
      <c r="D170" s="1568"/>
      <c r="E170" s="1568" t="s">
        <v>1433</v>
      </c>
      <c r="F170" s="1568"/>
      <c r="G170" s="1568"/>
      <c r="H170" s="1568"/>
      <c r="J170" s="1568" t="s">
        <v>2044</v>
      </c>
      <c r="K170" s="1568"/>
      <c r="L170" s="1568"/>
      <c r="M170" s="1566">
        <v>0</v>
      </c>
      <c r="N170" s="1566"/>
      <c r="O170" s="1566"/>
      <c r="P170" s="1566">
        <v>0</v>
      </c>
      <c r="Q170" s="1566"/>
      <c r="R170" s="1566"/>
      <c r="S170" s="1566">
        <v>1765.34</v>
      </c>
      <c r="T170" s="1566"/>
      <c r="U170" s="1566"/>
      <c r="V170" s="1566"/>
      <c r="W170" s="1566">
        <v>0</v>
      </c>
      <c r="X170" s="1566"/>
      <c r="Y170" s="1566"/>
      <c r="Z170" s="1566"/>
      <c r="AA170" s="1566">
        <v>1765.34</v>
      </c>
      <c r="AB170" s="1566"/>
      <c r="AC170" s="1566"/>
      <c r="AD170" s="1566"/>
      <c r="AE170" s="1566"/>
      <c r="AF170" s="1566"/>
      <c r="AG170" s="1566">
        <v>0</v>
      </c>
      <c r="AH170" s="1566"/>
      <c r="AI170" s="1566"/>
      <c r="AJ170" s="1566"/>
      <c r="AK170" s="1566"/>
    </row>
    <row r="171" spans="2:37" ht="9.4" customHeight="1">
      <c r="B171" s="1568" t="s">
        <v>1326</v>
      </c>
      <c r="C171" s="1568"/>
      <c r="D171" s="1568"/>
      <c r="E171" s="1568" t="s">
        <v>1835</v>
      </c>
      <c r="F171" s="1568"/>
      <c r="G171" s="1568"/>
      <c r="H171" s="1568"/>
      <c r="J171" s="1568" t="s">
        <v>2045</v>
      </c>
      <c r="K171" s="1568"/>
      <c r="L171" s="1568"/>
      <c r="M171" s="1566">
        <v>0</v>
      </c>
      <c r="N171" s="1566"/>
      <c r="O171" s="1566"/>
      <c r="P171" s="1566">
        <v>0</v>
      </c>
      <c r="Q171" s="1566"/>
      <c r="R171" s="1566"/>
      <c r="S171" s="1566">
        <v>714.66</v>
      </c>
      <c r="T171" s="1566"/>
      <c r="U171" s="1566"/>
      <c r="V171" s="1566"/>
      <c r="W171" s="1566">
        <v>714.66</v>
      </c>
      <c r="X171" s="1566"/>
      <c r="Y171" s="1566"/>
      <c r="Z171" s="1566"/>
      <c r="AA171" s="1566">
        <v>0</v>
      </c>
      <c r="AB171" s="1566"/>
      <c r="AC171" s="1566"/>
      <c r="AD171" s="1566"/>
      <c r="AE171" s="1566"/>
      <c r="AF171" s="1566"/>
      <c r="AG171" s="1566">
        <v>0</v>
      </c>
      <c r="AH171" s="1566"/>
      <c r="AI171" s="1566"/>
      <c r="AJ171" s="1566"/>
      <c r="AK171" s="1566"/>
    </row>
    <row r="172" spans="2:37" ht="9.4" customHeight="1">
      <c r="B172" s="1568" t="s">
        <v>1326</v>
      </c>
      <c r="C172" s="1568"/>
      <c r="D172" s="1568"/>
      <c r="E172" s="1568" t="s">
        <v>1434</v>
      </c>
      <c r="F172" s="1568"/>
      <c r="G172" s="1568"/>
      <c r="H172" s="1568"/>
      <c r="J172" s="1568" t="s">
        <v>2046</v>
      </c>
      <c r="K172" s="1568"/>
      <c r="L172" s="1568"/>
      <c r="M172" s="1566">
        <v>129079.2</v>
      </c>
      <c r="N172" s="1566"/>
      <c r="O172" s="1566"/>
      <c r="P172" s="1566">
        <v>0</v>
      </c>
      <c r="Q172" s="1566"/>
      <c r="R172" s="1566"/>
      <c r="S172" s="1566">
        <v>153283.66</v>
      </c>
      <c r="T172" s="1566"/>
      <c r="U172" s="1566"/>
      <c r="V172" s="1566"/>
      <c r="W172" s="1566">
        <v>129079.2</v>
      </c>
      <c r="X172" s="1566"/>
      <c r="Y172" s="1566"/>
      <c r="Z172" s="1566"/>
      <c r="AA172" s="1566">
        <v>153283.66</v>
      </c>
      <c r="AB172" s="1566"/>
      <c r="AC172" s="1566"/>
      <c r="AD172" s="1566"/>
      <c r="AE172" s="1566"/>
      <c r="AF172" s="1566"/>
      <c r="AG172" s="1566">
        <v>0</v>
      </c>
      <c r="AH172" s="1566"/>
      <c r="AI172" s="1566"/>
      <c r="AJ172" s="1566"/>
      <c r="AK172" s="1566"/>
    </row>
    <row r="173" spans="2:37" ht="9.1999999999999993" customHeight="1">
      <c r="J173" s="1568"/>
      <c r="K173" s="1568"/>
      <c r="L173" s="1568"/>
    </row>
    <row r="174" spans="2:37" ht="8.4499999999999993" customHeight="1">
      <c r="B174" s="1568" t="s">
        <v>1326</v>
      </c>
      <c r="C174" s="1568"/>
      <c r="D174" s="1568"/>
      <c r="E174" s="1568" t="s">
        <v>1435</v>
      </c>
      <c r="F174" s="1568"/>
      <c r="G174" s="1568"/>
      <c r="H174" s="1568"/>
      <c r="J174" s="1568" t="s">
        <v>2047</v>
      </c>
      <c r="K174" s="1568"/>
      <c r="L174" s="1568"/>
      <c r="M174" s="1566">
        <v>0</v>
      </c>
      <c r="N174" s="1566"/>
      <c r="O174" s="1566"/>
      <c r="P174" s="1566">
        <v>0</v>
      </c>
      <c r="Q174" s="1566"/>
      <c r="R174" s="1566"/>
      <c r="S174" s="1566">
        <v>824.62</v>
      </c>
      <c r="T174" s="1566"/>
      <c r="U174" s="1566"/>
      <c r="V174" s="1566"/>
      <c r="W174" s="1566">
        <v>824.62</v>
      </c>
      <c r="X174" s="1566"/>
      <c r="Y174" s="1566"/>
      <c r="Z174" s="1566"/>
      <c r="AA174" s="1566">
        <v>0</v>
      </c>
      <c r="AB174" s="1566"/>
      <c r="AC174" s="1566"/>
      <c r="AD174" s="1566"/>
      <c r="AE174" s="1566"/>
      <c r="AF174" s="1566"/>
      <c r="AG174" s="1566">
        <v>0</v>
      </c>
      <c r="AH174" s="1566"/>
      <c r="AI174" s="1566"/>
      <c r="AJ174" s="1566"/>
      <c r="AK174" s="1566"/>
    </row>
    <row r="175" spans="2:37" ht="9.4" customHeight="1">
      <c r="B175" s="1568" t="s">
        <v>1326</v>
      </c>
      <c r="C175" s="1568"/>
      <c r="D175" s="1568"/>
      <c r="E175" s="1568" t="s">
        <v>1436</v>
      </c>
      <c r="F175" s="1568"/>
      <c r="G175" s="1568"/>
      <c r="H175" s="1568"/>
      <c r="J175" s="1568" t="s">
        <v>2048</v>
      </c>
      <c r="K175" s="1568"/>
      <c r="L175" s="1568"/>
      <c r="M175" s="1566">
        <v>0</v>
      </c>
      <c r="N175" s="1566"/>
      <c r="O175" s="1566"/>
      <c r="P175" s="1566">
        <v>0</v>
      </c>
      <c r="Q175" s="1566"/>
      <c r="R175" s="1566"/>
      <c r="S175" s="1566">
        <v>35646.14</v>
      </c>
      <c r="T175" s="1566"/>
      <c r="U175" s="1566"/>
      <c r="V175" s="1566"/>
      <c r="W175" s="1566">
        <v>0</v>
      </c>
      <c r="X175" s="1566"/>
      <c r="Y175" s="1566"/>
      <c r="Z175" s="1566"/>
      <c r="AA175" s="1566">
        <v>35646.14</v>
      </c>
      <c r="AB175" s="1566"/>
      <c r="AC175" s="1566"/>
      <c r="AD175" s="1566"/>
      <c r="AE175" s="1566"/>
      <c r="AF175" s="1566"/>
      <c r="AG175" s="1566">
        <v>0</v>
      </c>
      <c r="AH175" s="1566"/>
      <c r="AI175" s="1566"/>
      <c r="AJ175" s="1566"/>
      <c r="AK175" s="1566"/>
    </row>
    <row r="176" spans="2:37" ht="9.4" customHeight="1">
      <c r="B176" s="1568" t="s">
        <v>1326</v>
      </c>
      <c r="C176" s="1568"/>
      <c r="D176" s="1568"/>
      <c r="E176" s="1568" t="s">
        <v>1437</v>
      </c>
      <c r="F176" s="1568"/>
      <c r="G176" s="1568"/>
      <c r="H176" s="1568"/>
      <c r="J176" s="1568" t="s">
        <v>2049</v>
      </c>
      <c r="K176" s="1568"/>
      <c r="L176" s="1568"/>
      <c r="M176" s="1566">
        <v>19025.87</v>
      </c>
      <c r="N176" s="1566"/>
      <c r="O176" s="1566"/>
      <c r="P176" s="1566">
        <v>0</v>
      </c>
      <c r="Q176" s="1566"/>
      <c r="R176" s="1566"/>
      <c r="S176" s="1566">
        <v>2831.2</v>
      </c>
      <c r="T176" s="1566"/>
      <c r="U176" s="1566"/>
      <c r="V176" s="1566"/>
      <c r="W176" s="1566">
        <v>2296.37</v>
      </c>
      <c r="X176" s="1566"/>
      <c r="Y176" s="1566"/>
      <c r="Z176" s="1566"/>
      <c r="AA176" s="1566">
        <v>19560.7</v>
      </c>
      <c r="AB176" s="1566"/>
      <c r="AC176" s="1566"/>
      <c r="AD176" s="1566"/>
      <c r="AE176" s="1566"/>
      <c r="AF176" s="1566"/>
      <c r="AG176" s="1566">
        <v>0</v>
      </c>
      <c r="AH176" s="1566"/>
      <c r="AI176" s="1566"/>
      <c r="AJ176" s="1566"/>
      <c r="AK176" s="1566"/>
    </row>
    <row r="177" spans="1:38" ht="9.4" customHeight="1">
      <c r="B177" s="1568" t="s">
        <v>1326</v>
      </c>
      <c r="C177" s="1568"/>
      <c r="D177" s="1568"/>
      <c r="E177" s="1568" t="s">
        <v>1438</v>
      </c>
      <c r="F177" s="1568"/>
      <c r="G177" s="1568"/>
      <c r="H177" s="1568"/>
      <c r="J177" s="1568" t="s">
        <v>1842</v>
      </c>
      <c r="K177" s="1568"/>
      <c r="L177" s="1568"/>
      <c r="M177" s="1566">
        <v>2251.85</v>
      </c>
      <c r="N177" s="1566"/>
      <c r="O177" s="1566"/>
      <c r="P177" s="1566">
        <v>0</v>
      </c>
      <c r="Q177" s="1566"/>
      <c r="R177" s="1566"/>
      <c r="S177" s="1566">
        <v>1981.13</v>
      </c>
      <c r="T177" s="1566"/>
      <c r="U177" s="1566"/>
      <c r="V177" s="1566"/>
      <c r="W177" s="1566">
        <v>2251.85</v>
      </c>
      <c r="X177" s="1566"/>
      <c r="Y177" s="1566"/>
      <c r="Z177" s="1566"/>
      <c r="AA177" s="1566">
        <v>1981.13</v>
      </c>
      <c r="AB177" s="1566"/>
      <c r="AC177" s="1566"/>
      <c r="AD177" s="1566"/>
      <c r="AE177" s="1566"/>
      <c r="AF177" s="1566"/>
      <c r="AG177" s="1566">
        <v>0</v>
      </c>
      <c r="AH177" s="1566"/>
      <c r="AI177" s="1566"/>
      <c r="AJ177" s="1566"/>
      <c r="AK177" s="1566"/>
    </row>
    <row r="178" spans="1:38" ht="4.7" customHeight="1"/>
    <row r="179" spans="1:38" ht="14.1" customHeight="1">
      <c r="AG179" s="1565" t="s">
        <v>2039</v>
      </c>
      <c r="AH179" s="1565"/>
      <c r="AI179" s="1565"/>
      <c r="AJ179" s="1565"/>
      <c r="AK179" s="1565"/>
      <c r="AL179" s="1565"/>
    </row>
    <row r="180" spans="1:38" ht="7.15" customHeight="1">
      <c r="D180" s="1578" t="s">
        <v>2992</v>
      </c>
      <c r="E180" s="1578"/>
      <c r="F180" s="1578"/>
      <c r="G180" s="1578"/>
      <c r="H180" s="1578"/>
      <c r="I180" s="1578"/>
      <c r="J180" s="1578"/>
      <c r="K180" s="1578"/>
      <c r="L180" s="1578"/>
      <c r="M180" s="1578"/>
      <c r="N180" s="1578"/>
      <c r="O180" s="1578"/>
      <c r="P180" s="1578"/>
      <c r="Q180" s="1578"/>
      <c r="R180" s="1578"/>
      <c r="S180" s="1578"/>
      <c r="T180" s="1578"/>
      <c r="U180" s="1578"/>
      <c r="V180" s="1578"/>
      <c r="W180" s="1578"/>
      <c r="X180" s="1578"/>
      <c r="Y180" s="1578"/>
      <c r="Z180" s="1578"/>
      <c r="AA180" s="1578"/>
      <c r="AB180" s="1578"/>
      <c r="AC180" s="1578"/>
      <c r="AD180" s="1578"/>
      <c r="AE180" s="1578"/>
      <c r="AF180" s="1578"/>
      <c r="AG180" s="1578"/>
      <c r="AH180" s="1578"/>
    </row>
    <row r="181" spans="1:38" ht="9.6" customHeight="1">
      <c r="A181" s="1579"/>
      <c r="B181" s="1579"/>
      <c r="C181" s="1579"/>
      <c r="D181" s="1579"/>
      <c r="E181" s="1579"/>
      <c r="F181" s="1579"/>
      <c r="G181" s="1579"/>
      <c r="H181" s="1579"/>
      <c r="I181" s="1579"/>
      <c r="J181" s="1578"/>
      <c r="K181" s="1578"/>
      <c r="L181" s="1578"/>
      <c r="M181" s="1578"/>
      <c r="N181" s="1578"/>
      <c r="O181" s="1578"/>
      <c r="P181" s="1578"/>
      <c r="Q181" s="1578"/>
      <c r="R181" s="1578"/>
      <c r="S181" s="1578"/>
      <c r="T181" s="1578"/>
      <c r="U181" s="1578"/>
      <c r="V181" s="1578"/>
      <c r="W181" s="1578"/>
      <c r="X181" s="1578"/>
      <c r="Y181" s="1578"/>
      <c r="Z181" s="1578"/>
      <c r="AA181" s="1578"/>
      <c r="AB181" s="1578"/>
      <c r="AC181" s="1578"/>
      <c r="AD181" s="1578"/>
      <c r="AE181" s="1578"/>
      <c r="AF181" s="1578"/>
      <c r="AG181" s="1578"/>
      <c r="AH181" s="1578"/>
    </row>
    <row r="182" spans="1:38" ht="13.35" customHeight="1">
      <c r="A182" s="1579"/>
      <c r="B182" s="1579"/>
      <c r="C182" s="1579"/>
      <c r="D182" s="1579"/>
      <c r="E182" s="1579"/>
      <c r="F182" s="1579"/>
      <c r="G182" s="1579"/>
      <c r="H182" s="1579"/>
      <c r="I182" s="1579"/>
      <c r="J182" s="1580" t="s">
        <v>79</v>
      </c>
      <c r="K182" s="1580"/>
      <c r="L182" s="1580"/>
      <c r="M182" s="1580"/>
      <c r="N182" s="1580"/>
      <c r="O182" s="1580"/>
      <c r="P182" s="1580"/>
      <c r="Q182" s="1580"/>
      <c r="R182" s="1580"/>
      <c r="S182" s="1580"/>
      <c r="T182" s="1580"/>
      <c r="U182" s="1580"/>
      <c r="V182" s="1580"/>
      <c r="W182" s="1580"/>
      <c r="X182" s="1580"/>
      <c r="Y182" s="1580"/>
      <c r="Z182" s="1580"/>
      <c r="AA182" s="1580"/>
      <c r="AB182" s="1580"/>
      <c r="AC182" s="1580"/>
      <c r="AD182" s="1580"/>
      <c r="AE182" s="1580"/>
      <c r="AF182" s="1580"/>
    </row>
    <row r="183" spans="1:38" ht="5.25" customHeight="1">
      <c r="A183" s="1579"/>
      <c r="B183" s="1579"/>
      <c r="C183" s="1579"/>
      <c r="D183" s="1579"/>
      <c r="E183" s="1579"/>
      <c r="F183" s="1579"/>
      <c r="G183" s="1579"/>
      <c r="H183" s="1579"/>
      <c r="I183" s="1579"/>
      <c r="J183" s="1573" t="s">
        <v>6760</v>
      </c>
      <c r="K183" s="1573"/>
      <c r="L183" s="1573"/>
      <c r="M183" s="1573"/>
      <c r="N183" s="1573"/>
      <c r="O183" s="1573"/>
      <c r="P183" s="1573"/>
      <c r="Q183" s="1573"/>
      <c r="R183" s="1573"/>
      <c r="S183" s="1573"/>
      <c r="T183" s="1573"/>
      <c r="U183" s="1573"/>
      <c r="V183" s="1573"/>
      <c r="W183" s="1573"/>
      <c r="X183" s="1573"/>
      <c r="Y183" s="1573"/>
      <c r="Z183" s="1573"/>
      <c r="AA183" s="1573"/>
      <c r="AB183" s="1573"/>
      <c r="AC183" s="1573"/>
      <c r="AD183" s="1573"/>
      <c r="AE183" s="1573"/>
    </row>
    <row r="184" spans="1:38" ht="8.1" customHeight="1">
      <c r="C184" s="1572" t="s">
        <v>1920</v>
      </c>
      <c r="D184" s="1572"/>
      <c r="E184" s="1572"/>
      <c r="F184" s="1572"/>
      <c r="G184" s="1572"/>
      <c r="H184" s="1572"/>
      <c r="I184" s="1572"/>
      <c r="J184" s="1572"/>
      <c r="K184" s="1573"/>
      <c r="L184" s="1573"/>
      <c r="M184" s="1573"/>
      <c r="N184" s="1573"/>
      <c r="O184" s="1573"/>
      <c r="P184" s="1573"/>
      <c r="Q184" s="1573"/>
      <c r="R184" s="1573"/>
      <c r="S184" s="1573"/>
      <c r="T184" s="1573"/>
      <c r="U184" s="1573"/>
      <c r="V184" s="1573"/>
      <c r="W184" s="1573"/>
      <c r="X184" s="1573"/>
      <c r="Y184" s="1574" t="s">
        <v>5920</v>
      </c>
      <c r="Z184" s="1574"/>
      <c r="AA184" s="1574"/>
      <c r="AB184" s="1574"/>
      <c r="AC184" s="1574"/>
      <c r="AD184" s="1574"/>
      <c r="AE184" s="1574"/>
      <c r="AF184" s="1574"/>
      <c r="AG184" s="1574"/>
      <c r="AH184" s="1575" t="s">
        <v>6761</v>
      </c>
      <c r="AI184" s="1575"/>
      <c r="AJ184" s="1575"/>
      <c r="AK184" s="1575"/>
      <c r="AL184" s="1575"/>
    </row>
    <row r="185" spans="1:38" ht="6" customHeight="1">
      <c r="C185" s="1572"/>
      <c r="D185" s="1572"/>
      <c r="E185" s="1572"/>
      <c r="F185" s="1572"/>
      <c r="G185" s="1572"/>
      <c r="H185" s="1572"/>
      <c r="I185" s="1572"/>
      <c r="J185" s="1572"/>
      <c r="K185" s="1576" t="s">
        <v>1999</v>
      </c>
      <c r="L185" s="1576"/>
      <c r="M185" s="1576"/>
      <c r="N185" s="1576"/>
      <c r="O185" s="1576"/>
      <c r="P185" s="1576"/>
      <c r="Q185" s="1576"/>
      <c r="R185" s="1576"/>
      <c r="S185" s="1576"/>
      <c r="T185" s="1576"/>
      <c r="U185" s="1576"/>
      <c r="V185" s="1576"/>
      <c r="W185" s="1576"/>
      <c r="X185" s="1576"/>
      <c r="Y185" s="1574"/>
      <c r="Z185" s="1574"/>
      <c r="AA185" s="1574"/>
      <c r="AB185" s="1574"/>
      <c r="AC185" s="1574"/>
      <c r="AD185" s="1574"/>
      <c r="AE185" s="1574"/>
      <c r="AF185" s="1574"/>
      <c r="AG185" s="1574"/>
      <c r="AH185" s="1575"/>
      <c r="AI185" s="1575"/>
      <c r="AJ185" s="1575"/>
      <c r="AK185" s="1575"/>
      <c r="AL185" s="1575"/>
    </row>
    <row r="186" spans="1:38" ht="7.35" customHeight="1">
      <c r="C186" s="1572" t="s">
        <v>1998</v>
      </c>
      <c r="D186" s="1572"/>
      <c r="E186" s="1572"/>
      <c r="F186" s="1572"/>
      <c r="G186" s="1577"/>
      <c r="H186" s="1577"/>
      <c r="I186" s="1577"/>
      <c r="J186" s="1577"/>
      <c r="K186" s="1577"/>
      <c r="L186" s="1577"/>
      <c r="M186" s="1577"/>
      <c r="N186" s="1577"/>
      <c r="O186" s="1577"/>
      <c r="P186" s="1577"/>
      <c r="Q186" s="1577"/>
      <c r="R186" s="1577"/>
      <c r="S186" s="1577"/>
      <c r="T186" s="1577"/>
      <c r="U186" s="1577"/>
      <c r="V186" s="1577"/>
      <c r="W186" s="1577"/>
      <c r="X186" s="1577"/>
      <c r="Y186" s="1577"/>
      <c r="Z186" s="1577"/>
      <c r="AA186" s="1577"/>
      <c r="AB186" s="1577"/>
      <c r="AC186" s="1577"/>
      <c r="AD186" s="1577"/>
      <c r="AE186" s="1577"/>
      <c r="AF186" s="1574"/>
      <c r="AG186" s="1574"/>
      <c r="AH186" s="1574" t="s">
        <v>6762</v>
      </c>
      <c r="AI186" s="1574"/>
    </row>
    <row r="187" spans="1:38" ht="6.75" customHeight="1">
      <c r="G187" s="1577"/>
      <c r="H187" s="1577"/>
      <c r="I187" s="1577"/>
      <c r="J187" s="1577"/>
      <c r="K187" s="1577"/>
      <c r="L187" s="1577"/>
      <c r="M187" s="1577"/>
      <c r="N187" s="1577"/>
      <c r="O187" s="1577"/>
      <c r="P187" s="1577"/>
      <c r="Q187" s="1577"/>
      <c r="R187" s="1577"/>
      <c r="S187" s="1577"/>
      <c r="T187" s="1577"/>
      <c r="U187" s="1577"/>
      <c r="V187" s="1577"/>
      <c r="W187" s="1577"/>
      <c r="X187" s="1577"/>
      <c r="Y187" s="1577"/>
      <c r="Z187" s="1577"/>
      <c r="AA187" s="1577"/>
      <c r="AB187" s="1577"/>
      <c r="AC187" s="1577"/>
      <c r="AD187" s="1577"/>
      <c r="AE187" s="1577"/>
      <c r="AF187" s="1574"/>
      <c r="AG187" s="1574"/>
      <c r="AH187" s="1574"/>
      <c r="AI187" s="1574"/>
    </row>
    <row r="188" spans="1:38" ht="11.25" customHeight="1">
      <c r="O188" s="1570" t="s">
        <v>1318</v>
      </c>
      <c r="P188" s="1570"/>
      <c r="Q188" s="1570"/>
      <c r="V188" s="1570" t="s">
        <v>1319</v>
      </c>
      <c r="W188" s="1570"/>
      <c r="X188" s="1570"/>
      <c r="Y188" s="1570"/>
      <c r="AD188" s="1570" t="s">
        <v>1320</v>
      </c>
      <c r="AE188" s="1570"/>
      <c r="AF188" s="1570"/>
      <c r="AG188" s="1570"/>
      <c r="AH188" s="1570"/>
      <c r="AI188" s="1570"/>
      <c r="AJ188" s="1570"/>
    </row>
    <row r="189" spans="1:38" ht="8.4499999999999993" customHeight="1">
      <c r="B189" s="1571" t="s">
        <v>1321</v>
      </c>
      <c r="C189" s="1571"/>
      <c r="D189" s="1571"/>
      <c r="E189" s="1571" t="s">
        <v>1322</v>
      </c>
      <c r="F189" s="1571"/>
      <c r="G189" s="1571"/>
      <c r="J189" s="1571" t="s">
        <v>1323</v>
      </c>
      <c r="K189" s="1571"/>
      <c r="L189" s="1571"/>
      <c r="M189" s="1571"/>
      <c r="N189" s="1571"/>
      <c r="O189" s="1402" t="s">
        <v>1324</v>
      </c>
      <c r="Q189" s="1569" t="s">
        <v>1325</v>
      </c>
      <c r="R189" s="1569"/>
      <c r="U189" s="1569" t="s">
        <v>1324</v>
      </c>
      <c r="V189" s="1569"/>
      <c r="X189" s="1569" t="s">
        <v>1325</v>
      </c>
      <c r="Y189" s="1569"/>
      <c r="Z189" s="1569"/>
      <c r="AC189" s="1569" t="s">
        <v>1324</v>
      </c>
      <c r="AD189" s="1569"/>
      <c r="AE189" s="1569"/>
      <c r="AF189" s="1569"/>
      <c r="AH189" s="1569" t="s">
        <v>1325</v>
      </c>
      <c r="AI189" s="1569"/>
      <c r="AJ189" s="1569"/>
      <c r="AK189" s="1569"/>
    </row>
    <row r="190" spans="1:38" ht="9.9499999999999993" customHeight="1">
      <c r="B190" s="1568" t="s">
        <v>1326</v>
      </c>
      <c r="C190" s="1568"/>
      <c r="D190" s="1568"/>
      <c r="E190" s="1568" t="s">
        <v>1439</v>
      </c>
      <c r="F190" s="1568"/>
      <c r="G190" s="1568"/>
      <c r="H190" s="1568"/>
      <c r="J190" s="1568" t="s">
        <v>2050</v>
      </c>
      <c r="K190" s="1568"/>
      <c r="L190" s="1568"/>
      <c r="M190" s="1566">
        <v>486.53</v>
      </c>
      <c r="N190" s="1566"/>
      <c r="O190" s="1566"/>
      <c r="P190" s="1566">
        <v>0</v>
      </c>
      <c r="Q190" s="1566"/>
      <c r="R190" s="1566"/>
      <c r="S190" s="1566">
        <v>299.93</v>
      </c>
      <c r="T190" s="1566"/>
      <c r="U190" s="1566"/>
      <c r="V190" s="1566"/>
      <c r="W190" s="1566">
        <v>299.93</v>
      </c>
      <c r="X190" s="1566"/>
      <c r="Y190" s="1566"/>
      <c r="Z190" s="1566"/>
      <c r="AA190" s="1566">
        <v>486.53</v>
      </c>
      <c r="AB190" s="1566"/>
      <c r="AC190" s="1566"/>
      <c r="AD190" s="1566"/>
      <c r="AE190" s="1566"/>
      <c r="AF190" s="1566"/>
      <c r="AG190" s="1566">
        <v>0</v>
      </c>
      <c r="AH190" s="1566"/>
      <c r="AI190" s="1566"/>
      <c r="AJ190" s="1566"/>
      <c r="AK190" s="1566"/>
    </row>
    <row r="191" spans="1:38" ht="9.4" customHeight="1">
      <c r="B191" s="1568" t="s">
        <v>1326</v>
      </c>
      <c r="C191" s="1568"/>
      <c r="D191" s="1568"/>
      <c r="E191" s="1568" t="s">
        <v>1440</v>
      </c>
      <c r="F191" s="1568"/>
      <c r="G191" s="1568"/>
      <c r="H191" s="1568"/>
      <c r="J191" s="1568" t="s">
        <v>2051</v>
      </c>
      <c r="K191" s="1568"/>
      <c r="L191" s="1568"/>
      <c r="M191" s="1566">
        <v>0</v>
      </c>
      <c r="N191" s="1566"/>
      <c r="O191" s="1566"/>
      <c r="P191" s="1566">
        <v>0</v>
      </c>
      <c r="Q191" s="1566"/>
      <c r="R191" s="1566"/>
      <c r="S191" s="1566">
        <v>1329.05</v>
      </c>
      <c r="T191" s="1566"/>
      <c r="U191" s="1566"/>
      <c r="V191" s="1566"/>
      <c r="W191" s="1566">
        <v>1329.05</v>
      </c>
      <c r="X191" s="1566"/>
      <c r="Y191" s="1566"/>
      <c r="Z191" s="1566"/>
      <c r="AA191" s="1566">
        <v>0</v>
      </c>
      <c r="AB191" s="1566"/>
      <c r="AC191" s="1566"/>
      <c r="AD191" s="1566"/>
      <c r="AE191" s="1566"/>
      <c r="AF191" s="1566"/>
      <c r="AG191" s="1566">
        <v>0</v>
      </c>
      <c r="AH191" s="1566"/>
      <c r="AI191" s="1566"/>
      <c r="AJ191" s="1566"/>
      <c r="AK191" s="1566"/>
    </row>
    <row r="192" spans="1:38" ht="9.4" customHeight="1">
      <c r="B192" s="1568" t="s">
        <v>1326</v>
      </c>
      <c r="C192" s="1568"/>
      <c r="D192" s="1568"/>
      <c r="E192" s="1568" t="s">
        <v>2846</v>
      </c>
      <c r="F192" s="1568"/>
      <c r="G192" s="1568"/>
      <c r="H192" s="1568"/>
      <c r="J192" s="1568" t="s">
        <v>2847</v>
      </c>
      <c r="K192" s="1568"/>
      <c r="L192" s="1568"/>
      <c r="M192" s="1566">
        <v>1263.3399999999999</v>
      </c>
      <c r="N192" s="1566"/>
      <c r="O192" s="1566"/>
      <c r="P192" s="1566">
        <v>0</v>
      </c>
      <c r="Q192" s="1566"/>
      <c r="R192" s="1566"/>
      <c r="S192" s="1566">
        <v>1533.31</v>
      </c>
      <c r="T192" s="1566"/>
      <c r="U192" s="1566"/>
      <c r="V192" s="1566"/>
      <c r="W192" s="1566">
        <v>0</v>
      </c>
      <c r="X192" s="1566"/>
      <c r="Y192" s="1566"/>
      <c r="Z192" s="1566"/>
      <c r="AA192" s="1566">
        <v>2796.65</v>
      </c>
      <c r="AB192" s="1566"/>
      <c r="AC192" s="1566"/>
      <c r="AD192" s="1566"/>
      <c r="AE192" s="1566"/>
      <c r="AF192" s="1566"/>
      <c r="AG192" s="1566">
        <v>0</v>
      </c>
      <c r="AH192" s="1566"/>
      <c r="AI192" s="1566"/>
      <c r="AJ192" s="1566"/>
      <c r="AK192" s="1566"/>
    </row>
    <row r="193" spans="2:37" ht="9.4" customHeight="1">
      <c r="B193" s="1568" t="s">
        <v>1326</v>
      </c>
      <c r="C193" s="1568"/>
      <c r="D193" s="1568"/>
      <c r="E193" s="1568" t="s">
        <v>1441</v>
      </c>
      <c r="F193" s="1568"/>
      <c r="G193" s="1568"/>
      <c r="H193" s="1568"/>
      <c r="J193" s="1568" t="s">
        <v>2052</v>
      </c>
      <c r="K193" s="1568"/>
      <c r="L193" s="1568"/>
      <c r="M193" s="1566">
        <v>6899.05</v>
      </c>
      <c r="N193" s="1566"/>
      <c r="O193" s="1566"/>
      <c r="P193" s="1566">
        <v>0</v>
      </c>
      <c r="Q193" s="1566"/>
      <c r="R193" s="1566"/>
      <c r="S193" s="1566">
        <v>0</v>
      </c>
      <c r="T193" s="1566"/>
      <c r="U193" s="1566"/>
      <c r="V193" s="1566"/>
      <c r="W193" s="1566">
        <v>0</v>
      </c>
      <c r="X193" s="1566"/>
      <c r="Y193" s="1566"/>
      <c r="Z193" s="1566"/>
      <c r="AA193" s="1566">
        <v>6899.05</v>
      </c>
      <c r="AB193" s="1566"/>
      <c r="AC193" s="1566"/>
      <c r="AD193" s="1566"/>
      <c r="AE193" s="1566"/>
      <c r="AF193" s="1566"/>
      <c r="AG193" s="1566">
        <v>0</v>
      </c>
      <c r="AH193" s="1566"/>
      <c r="AI193" s="1566"/>
      <c r="AJ193" s="1566"/>
      <c r="AK193" s="1566"/>
    </row>
    <row r="194" spans="2:37" ht="9.4" customHeight="1">
      <c r="B194" s="1568" t="s">
        <v>1326</v>
      </c>
      <c r="C194" s="1568"/>
      <c r="D194" s="1568"/>
      <c r="E194" s="1568" t="s">
        <v>1442</v>
      </c>
      <c r="F194" s="1568"/>
      <c r="G194" s="1568"/>
      <c r="H194" s="1568"/>
      <c r="J194" s="1568" t="s">
        <v>2053</v>
      </c>
      <c r="K194" s="1568"/>
      <c r="L194" s="1568"/>
      <c r="M194" s="1566">
        <v>0</v>
      </c>
      <c r="N194" s="1566"/>
      <c r="O194" s="1566"/>
      <c r="P194" s="1566">
        <v>0</v>
      </c>
      <c r="Q194" s="1566"/>
      <c r="R194" s="1566"/>
      <c r="S194" s="1566">
        <v>371792.45</v>
      </c>
      <c r="T194" s="1566"/>
      <c r="U194" s="1566"/>
      <c r="V194" s="1566"/>
      <c r="W194" s="1566">
        <v>371792.45</v>
      </c>
      <c r="X194" s="1566"/>
      <c r="Y194" s="1566"/>
      <c r="Z194" s="1566"/>
      <c r="AA194" s="1566">
        <v>0</v>
      </c>
      <c r="AB194" s="1566"/>
      <c r="AC194" s="1566"/>
      <c r="AD194" s="1566"/>
      <c r="AE194" s="1566"/>
      <c r="AF194" s="1566"/>
      <c r="AG194" s="1566">
        <v>0</v>
      </c>
      <c r="AH194" s="1566"/>
      <c r="AI194" s="1566"/>
      <c r="AJ194" s="1566"/>
      <c r="AK194" s="1566"/>
    </row>
    <row r="195" spans="2:37" ht="9.4" customHeight="1">
      <c r="B195" s="1568" t="s">
        <v>1326</v>
      </c>
      <c r="C195" s="1568"/>
      <c r="D195" s="1568"/>
      <c r="E195" s="1568" t="s">
        <v>1443</v>
      </c>
      <c r="F195" s="1568"/>
      <c r="G195" s="1568"/>
      <c r="H195" s="1568"/>
      <c r="J195" s="1568" t="s">
        <v>2054</v>
      </c>
      <c r="K195" s="1568"/>
      <c r="L195" s="1568"/>
      <c r="M195" s="1566">
        <v>6900.94</v>
      </c>
      <c r="N195" s="1566"/>
      <c r="O195" s="1566"/>
      <c r="P195" s="1566">
        <v>0</v>
      </c>
      <c r="Q195" s="1566"/>
      <c r="R195" s="1566"/>
      <c r="S195" s="1566">
        <v>6900.94</v>
      </c>
      <c r="T195" s="1566"/>
      <c r="U195" s="1566"/>
      <c r="V195" s="1566"/>
      <c r="W195" s="1566">
        <v>13801.88</v>
      </c>
      <c r="X195" s="1566"/>
      <c r="Y195" s="1566"/>
      <c r="Z195" s="1566"/>
      <c r="AA195" s="1566">
        <v>0</v>
      </c>
      <c r="AB195" s="1566"/>
      <c r="AC195" s="1566"/>
      <c r="AD195" s="1566"/>
      <c r="AE195" s="1566"/>
      <c r="AF195" s="1566"/>
      <c r="AG195" s="1566">
        <v>0</v>
      </c>
      <c r="AH195" s="1566"/>
      <c r="AI195" s="1566"/>
      <c r="AJ195" s="1566"/>
      <c r="AK195" s="1566"/>
    </row>
    <row r="196" spans="2:37" ht="9.4" customHeight="1">
      <c r="B196" s="1568" t="s">
        <v>1326</v>
      </c>
      <c r="C196" s="1568"/>
      <c r="D196" s="1568"/>
      <c r="E196" s="1568" t="s">
        <v>1444</v>
      </c>
      <c r="F196" s="1568"/>
      <c r="G196" s="1568"/>
      <c r="H196" s="1568"/>
      <c r="J196" s="1568" t="s">
        <v>2055</v>
      </c>
      <c r="K196" s="1568"/>
      <c r="L196" s="1568"/>
      <c r="M196" s="1566">
        <v>31470.44</v>
      </c>
      <c r="N196" s="1566"/>
      <c r="O196" s="1566"/>
      <c r="P196" s="1566">
        <v>0</v>
      </c>
      <c r="Q196" s="1566"/>
      <c r="R196" s="1566"/>
      <c r="S196" s="1566">
        <v>27603.78</v>
      </c>
      <c r="T196" s="1566"/>
      <c r="U196" s="1566"/>
      <c r="V196" s="1566"/>
      <c r="W196" s="1566">
        <v>27603.78</v>
      </c>
      <c r="X196" s="1566"/>
      <c r="Y196" s="1566"/>
      <c r="Z196" s="1566"/>
      <c r="AA196" s="1566">
        <v>31470.44</v>
      </c>
      <c r="AB196" s="1566"/>
      <c r="AC196" s="1566"/>
      <c r="AD196" s="1566"/>
      <c r="AE196" s="1566"/>
      <c r="AF196" s="1566"/>
      <c r="AG196" s="1566">
        <v>0</v>
      </c>
      <c r="AH196" s="1566"/>
      <c r="AI196" s="1566"/>
      <c r="AJ196" s="1566"/>
      <c r="AK196" s="1566"/>
    </row>
    <row r="197" spans="2:37" ht="9.4" customHeight="1">
      <c r="B197" s="1568" t="s">
        <v>1326</v>
      </c>
      <c r="C197" s="1568"/>
      <c r="D197" s="1568"/>
      <c r="E197" s="1568" t="s">
        <v>2848</v>
      </c>
      <c r="F197" s="1568"/>
      <c r="G197" s="1568"/>
      <c r="H197" s="1568"/>
      <c r="J197" s="1568" t="s">
        <v>2849</v>
      </c>
      <c r="K197" s="1568"/>
      <c r="L197" s="1568"/>
      <c r="M197" s="1566">
        <v>7507.01</v>
      </c>
      <c r="N197" s="1566"/>
      <c r="O197" s="1566"/>
      <c r="P197" s="1566">
        <v>0</v>
      </c>
      <c r="Q197" s="1566"/>
      <c r="R197" s="1566"/>
      <c r="S197" s="1566">
        <v>4945.68</v>
      </c>
      <c r="T197" s="1566"/>
      <c r="U197" s="1566"/>
      <c r="V197" s="1566"/>
      <c r="W197" s="1566">
        <v>4945.68</v>
      </c>
      <c r="X197" s="1566"/>
      <c r="Y197" s="1566"/>
      <c r="Z197" s="1566"/>
      <c r="AA197" s="1566">
        <v>7507.01</v>
      </c>
      <c r="AB197" s="1566"/>
      <c r="AC197" s="1566"/>
      <c r="AD197" s="1566"/>
      <c r="AE197" s="1566"/>
      <c r="AF197" s="1566"/>
      <c r="AG197" s="1566">
        <v>0</v>
      </c>
      <c r="AH197" s="1566"/>
      <c r="AI197" s="1566"/>
      <c r="AJ197" s="1566"/>
      <c r="AK197" s="1566"/>
    </row>
    <row r="198" spans="2:37" ht="9.4" customHeight="1">
      <c r="B198" s="1568" t="s">
        <v>1326</v>
      </c>
      <c r="C198" s="1568"/>
      <c r="D198" s="1568"/>
      <c r="E198" s="1568" t="s">
        <v>6764</v>
      </c>
      <c r="F198" s="1568"/>
      <c r="G198" s="1568"/>
      <c r="H198" s="1568"/>
      <c r="J198" s="1568" t="s">
        <v>6765</v>
      </c>
      <c r="K198" s="1568"/>
      <c r="L198" s="1568"/>
      <c r="M198" s="1566">
        <v>0</v>
      </c>
      <c r="N198" s="1566"/>
      <c r="O198" s="1566"/>
      <c r="P198" s="1566">
        <v>0</v>
      </c>
      <c r="Q198" s="1566"/>
      <c r="R198" s="1566"/>
      <c r="S198" s="1566">
        <v>105998.52</v>
      </c>
      <c r="T198" s="1566"/>
      <c r="U198" s="1566"/>
      <c r="V198" s="1566"/>
      <c r="W198" s="1566">
        <v>0</v>
      </c>
      <c r="X198" s="1566"/>
      <c r="Y198" s="1566"/>
      <c r="Z198" s="1566"/>
      <c r="AA198" s="1566">
        <v>105998.52</v>
      </c>
      <c r="AB198" s="1566"/>
      <c r="AC198" s="1566"/>
      <c r="AD198" s="1566"/>
      <c r="AE198" s="1566"/>
      <c r="AF198" s="1566"/>
      <c r="AG198" s="1566">
        <v>0</v>
      </c>
      <c r="AH198" s="1566"/>
      <c r="AI198" s="1566"/>
      <c r="AJ198" s="1566"/>
      <c r="AK198" s="1566"/>
    </row>
    <row r="199" spans="2:37" ht="9.4" customHeight="1">
      <c r="B199" s="1568" t="s">
        <v>1326</v>
      </c>
      <c r="C199" s="1568"/>
      <c r="D199" s="1568"/>
      <c r="E199" s="1568" t="s">
        <v>1445</v>
      </c>
      <c r="F199" s="1568"/>
      <c r="G199" s="1568"/>
      <c r="H199" s="1568"/>
      <c r="J199" s="1568" t="s">
        <v>2056</v>
      </c>
      <c r="K199" s="1568"/>
      <c r="L199" s="1568"/>
      <c r="M199" s="1566">
        <v>2475.92</v>
      </c>
      <c r="N199" s="1566"/>
      <c r="O199" s="1566"/>
      <c r="P199" s="1566">
        <v>0</v>
      </c>
      <c r="Q199" s="1566"/>
      <c r="R199" s="1566"/>
      <c r="S199" s="1566">
        <v>5952.68</v>
      </c>
      <c r="T199" s="1566"/>
      <c r="U199" s="1566"/>
      <c r="V199" s="1566"/>
      <c r="W199" s="1566">
        <v>8428.6</v>
      </c>
      <c r="X199" s="1566"/>
      <c r="Y199" s="1566"/>
      <c r="Z199" s="1566"/>
      <c r="AA199" s="1566">
        <v>0</v>
      </c>
      <c r="AB199" s="1566"/>
      <c r="AC199" s="1566"/>
      <c r="AD199" s="1566"/>
      <c r="AE199" s="1566"/>
      <c r="AF199" s="1566"/>
      <c r="AG199" s="1566">
        <v>0</v>
      </c>
      <c r="AH199" s="1566"/>
      <c r="AI199" s="1566"/>
      <c r="AJ199" s="1566"/>
      <c r="AK199" s="1566"/>
    </row>
    <row r="200" spans="2:37" ht="9.4" customHeight="1">
      <c r="B200" s="1568" t="s">
        <v>1326</v>
      </c>
      <c r="C200" s="1568"/>
      <c r="D200" s="1568"/>
      <c r="E200" s="1568" t="s">
        <v>1446</v>
      </c>
      <c r="F200" s="1568"/>
      <c r="G200" s="1568"/>
      <c r="H200" s="1568"/>
      <c r="J200" s="1568" t="s">
        <v>2057</v>
      </c>
      <c r="K200" s="1568"/>
      <c r="L200" s="1568"/>
      <c r="M200" s="1566">
        <v>0</v>
      </c>
      <c r="N200" s="1566"/>
      <c r="O200" s="1566"/>
      <c r="P200" s="1566">
        <v>0</v>
      </c>
      <c r="Q200" s="1566"/>
      <c r="R200" s="1566"/>
      <c r="S200" s="1566">
        <v>11489.71</v>
      </c>
      <c r="T200" s="1566"/>
      <c r="U200" s="1566"/>
      <c r="V200" s="1566"/>
      <c r="W200" s="1566">
        <v>11489.71</v>
      </c>
      <c r="X200" s="1566"/>
      <c r="Y200" s="1566"/>
      <c r="Z200" s="1566"/>
      <c r="AA200" s="1566">
        <v>0</v>
      </c>
      <c r="AB200" s="1566"/>
      <c r="AC200" s="1566"/>
      <c r="AD200" s="1566"/>
      <c r="AE200" s="1566"/>
      <c r="AF200" s="1566"/>
      <c r="AG200" s="1566">
        <v>0</v>
      </c>
      <c r="AH200" s="1566"/>
      <c r="AI200" s="1566"/>
      <c r="AJ200" s="1566"/>
      <c r="AK200" s="1566"/>
    </row>
    <row r="201" spans="2:37" ht="9.4" customHeight="1">
      <c r="B201" s="1568" t="s">
        <v>1326</v>
      </c>
      <c r="C201" s="1568"/>
      <c r="D201" s="1568"/>
      <c r="E201" s="1568" t="s">
        <v>1447</v>
      </c>
      <c r="F201" s="1568"/>
      <c r="G201" s="1568"/>
      <c r="H201" s="1568"/>
      <c r="J201" s="1568" t="s">
        <v>2058</v>
      </c>
      <c r="K201" s="1568"/>
      <c r="L201" s="1568"/>
      <c r="M201" s="1566">
        <v>1194.7</v>
      </c>
      <c r="N201" s="1566"/>
      <c r="O201" s="1566"/>
      <c r="P201" s="1566">
        <v>0</v>
      </c>
      <c r="Q201" s="1566"/>
      <c r="R201" s="1566"/>
      <c r="S201" s="1566">
        <v>678.21</v>
      </c>
      <c r="T201" s="1566"/>
      <c r="U201" s="1566"/>
      <c r="V201" s="1566"/>
      <c r="W201" s="1566">
        <v>0</v>
      </c>
      <c r="X201" s="1566"/>
      <c r="Y201" s="1566"/>
      <c r="Z201" s="1566"/>
      <c r="AA201" s="1566">
        <v>1872.91</v>
      </c>
      <c r="AB201" s="1566"/>
      <c r="AC201" s="1566"/>
      <c r="AD201" s="1566"/>
      <c r="AE201" s="1566"/>
      <c r="AF201" s="1566"/>
      <c r="AG201" s="1566">
        <v>0</v>
      </c>
      <c r="AH201" s="1566"/>
      <c r="AI201" s="1566"/>
      <c r="AJ201" s="1566"/>
      <c r="AK201" s="1566"/>
    </row>
    <row r="202" spans="2:37" ht="9.4" customHeight="1">
      <c r="B202" s="1568" t="s">
        <v>1326</v>
      </c>
      <c r="C202" s="1568"/>
      <c r="D202" s="1568"/>
      <c r="E202" s="1568" t="s">
        <v>1448</v>
      </c>
      <c r="F202" s="1568"/>
      <c r="G202" s="1568"/>
      <c r="H202" s="1568"/>
      <c r="J202" s="1568" t="s">
        <v>2058</v>
      </c>
      <c r="K202" s="1568"/>
      <c r="L202" s="1568"/>
      <c r="M202" s="1566">
        <v>7380.5</v>
      </c>
      <c r="N202" s="1566"/>
      <c r="O202" s="1566"/>
      <c r="P202" s="1566">
        <v>0</v>
      </c>
      <c r="Q202" s="1566"/>
      <c r="R202" s="1566"/>
      <c r="S202" s="1566">
        <v>2237.15</v>
      </c>
      <c r="T202" s="1566"/>
      <c r="U202" s="1566"/>
      <c r="V202" s="1566"/>
      <c r="W202" s="1566">
        <v>0</v>
      </c>
      <c r="X202" s="1566"/>
      <c r="Y202" s="1566"/>
      <c r="Z202" s="1566"/>
      <c r="AA202" s="1566">
        <v>9617.65</v>
      </c>
      <c r="AB202" s="1566"/>
      <c r="AC202" s="1566"/>
      <c r="AD202" s="1566"/>
      <c r="AE202" s="1566"/>
      <c r="AF202" s="1566"/>
      <c r="AG202" s="1566">
        <v>0</v>
      </c>
      <c r="AH202" s="1566"/>
      <c r="AI202" s="1566"/>
      <c r="AJ202" s="1566"/>
      <c r="AK202" s="1566"/>
    </row>
    <row r="203" spans="2:37" ht="9.4" customHeight="1">
      <c r="B203" s="1568" t="s">
        <v>1326</v>
      </c>
      <c r="C203" s="1568"/>
      <c r="D203" s="1568"/>
      <c r="E203" s="1568" t="s">
        <v>1449</v>
      </c>
      <c r="F203" s="1568"/>
      <c r="G203" s="1568"/>
      <c r="H203" s="1568"/>
      <c r="J203" s="1568" t="s">
        <v>2059</v>
      </c>
      <c r="K203" s="1568"/>
      <c r="L203" s="1568"/>
      <c r="M203" s="1566">
        <v>37.450000000000003</v>
      </c>
      <c r="N203" s="1566"/>
      <c r="O203" s="1566"/>
      <c r="P203" s="1566">
        <v>0</v>
      </c>
      <c r="Q203" s="1566"/>
      <c r="R203" s="1566"/>
      <c r="S203" s="1566">
        <v>0</v>
      </c>
      <c r="T203" s="1566"/>
      <c r="U203" s="1566"/>
      <c r="V203" s="1566"/>
      <c r="W203" s="1566">
        <v>0</v>
      </c>
      <c r="X203" s="1566"/>
      <c r="Y203" s="1566"/>
      <c r="Z203" s="1566"/>
      <c r="AA203" s="1566">
        <v>37.450000000000003</v>
      </c>
      <c r="AB203" s="1566"/>
      <c r="AC203" s="1566"/>
      <c r="AD203" s="1566"/>
      <c r="AE203" s="1566"/>
      <c r="AF203" s="1566"/>
      <c r="AG203" s="1566">
        <v>0</v>
      </c>
      <c r="AH203" s="1566"/>
      <c r="AI203" s="1566"/>
      <c r="AJ203" s="1566"/>
      <c r="AK203" s="1566"/>
    </row>
    <row r="204" spans="2:37" ht="9.4" customHeight="1">
      <c r="B204" s="1568" t="s">
        <v>1326</v>
      </c>
      <c r="C204" s="1568"/>
      <c r="D204" s="1568"/>
      <c r="E204" s="1568" t="s">
        <v>1450</v>
      </c>
      <c r="F204" s="1568"/>
      <c r="G204" s="1568"/>
      <c r="H204" s="1568"/>
      <c r="J204" s="1568" t="s">
        <v>2060</v>
      </c>
      <c r="K204" s="1568"/>
      <c r="L204" s="1568"/>
      <c r="M204" s="1566">
        <v>0</v>
      </c>
      <c r="N204" s="1566"/>
      <c r="O204" s="1566"/>
      <c r="P204" s="1566">
        <v>0</v>
      </c>
      <c r="Q204" s="1566"/>
      <c r="R204" s="1566"/>
      <c r="S204" s="1566">
        <v>1127.07</v>
      </c>
      <c r="T204" s="1566"/>
      <c r="U204" s="1566"/>
      <c r="V204" s="1566"/>
      <c r="W204" s="1566">
        <v>1127.07</v>
      </c>
      <c r="X204" s="1566"/>
      <c r="Y204" s="1566"/>
      <c r="Z204" s="1566"/>
      <c r="AA204" s="1566">
        <v>0</v>
      </c>
      <c r="AB204" s="1566"/>
      <c r="AC204" s="1566"/>
      <c r="AD204" s="1566"/>
      <c r="AE204" s="1566"/>
      <c r="AF204" s="1566"/>
      <c r="AG204" s="1566">
        <v>0</v>
      </c>
      <c r="AH204" s="1566"/>
      <c r="AI204" s="1566"/>
      <c r="AJ204" s="1566"/>
      <c r="AK204" s="1566"/>
    </row>
    <row r="205" spans="2:37" ht="9.4" customHeight="1">
      <c r="B205" s="1568" t="s">
        <v>1326</v>
      </c>
      <c r="C205" s="1568"/>
      <c r="D205" s="1568"/>
      <c r="E205" s="1568" t="s">
        <v>1451</v>
      </c>
      <c r="F205" s="1568"/>
      <c r="G205" s="1568"/>
      <c r="H205" s="1568"/>
      <c r="J205" s="1568" t="s">
        <v>2061</v>
      </c>
      <c r="K205" s="1568"/>
      <c r="L205" s="1568"/>
      <c r="M205" s="1566">
        <v>0</v>
      </c>
      <c r="N205" s="1566"/>
      <c r="O205" s="1566"/>
      <c r="P205" s="1566">
        <v>0</v>
      </c>
      <c r="Q205" s="1566"/>
      <c r="R205" s="1566"/>
      <c r="S205" s="1566">
        <v>8303.5499999999993</v>
      </c>
      <c r="T205" s="1566"/>
      <c r="U205" s="1566"/>
      <c r="V205" s="1566"/>
      <c r="W205" s="1566">
        <v>8303.5499999999993</v>
      </c>
      <c r="X205" s="1566"/>
      <c r="Y205" s="1566"/>
      <c r="Z205" s="1566"/>
      <c r="AA205" s="1566">
        <v>0</v>
      </c>
      <c r="AB205" s="1566"/>
      <c r="AC205" s="1566"/>
      <c r="AD205" s="1566"/>
      <c r="AE205" s="1566"/>
      <c r="AF205" s="1566"/>
      <c r="AG205" s="1566">
        <v>0</v>
      </c>
      <c r="AH205" s="1566"/>
      <c r="AI205" s="1566"/>
      <c r="AJ205" s="1566"/>
      <c r="AK205" s="1566"/>
    </row>
    <row r="206" spans="2:37" ht="9.4" customHeight="1">
      <c r="B206" s="1568" t="s">
        <v>1326</v>
      </c>
      <c r="C206" s="1568"/>
      <c r="D206" s="1568"/>
      <c r="E206" s="1568" t="s">
        <v>1452</v>
      </c>
      <c r="F206" s="1568"/>
      <c r="G206" s="1568"/>
      <c r="H206" s="1568"/>
      <c r="J206" s="1568" t="s">
        <v>2062</v>
      </c>
      <c r="K206" s="1568"/>
      <c r="L206" s="1568"/>
      <c r="M206" s="1566">
        <v>7632.82</v>
      </c>
      <c r="N206" s="1566"/>
      <c r="O206" s="1566"/>
      <c r="P206" s="1566">
        <v>0</v>
      </c>
      <c r="Q206" s="1566"/>
      <c r="R206" s="1566"/>
      <c r="S206" s="1566">
        <v>1869.52</v>
      </c>
      <c r="T206" s="1566"/>
      <c r="U206" s="1566"/>
      <c r="V206" s="1566"/>
      <c r="W206" s="1566">
        <v>0</v>
      </c>
      <c r="X206" s="1566"/>
      <c r="Y206" s="1566"/>
      <c r="Z206" s="1566"/>
      <c r="AA206" s="1566">
        <v>9502.34</v>
      </c>
      <c r="AB206" s="1566"/>
      <c r="AC206" s="1566"/>
      <c r="AD206" s="1566"/>
      <c r="AE206" s="1566"/>
      <c r="AF206" s="1566"/>
      <c r="AG206" s="1566">
        <v>0</v>
      </c>
      <c r="AH206" s="1566"/>
      <c r="AI206" s="1566"/>
      <c r="AJ206" s="1566"/>
      <c r="AK206" s="1566"/>
    </row>
    <row r="207" spans="2:37" ht="9.1999999999999993" customHeight="1">
      <c r="J207" s="1568"/>
      <c r="K207" s="1568"/>
      <c r="L207" s="1568"/>
    </row>
    <row r="208" spans="2:37" ht="8.4499999999999993" customHeight="1">
      <c r="B208" s="1568" t="s">
        <v>1326</v>
      </c>
      <c r="C208" s="1568"/>
      <c r="D208" s="1568"/>
      <c r="E208" s="1568" t="s">
        <v>1453</v>
      </c>
      <c r="F208" s="1568"/>
      <c r="G208" s="1568"/>
      <c r="H208" s="1568"/>
      <c r="J208" s="1568" t="s">
        <v>2063</v>
      </c>
      <c r="K208" s="1568"/>
      <c r="L208" s="1568"/>
      <c r="M208" s="1566">
        <v>0</v>
      </c>
      <c r="N208" s="1566"/>
      <c r="O208" s="1566"/>
      <c r="P208" s="1566">
        <v>0</v>
      </c>
      <c r="Q208" s="1566"/>
      <c r="R208" s="1566"/>
      <c r="S208" s="1566">
        <v>4390.62</v>
      </c>
      <c r="T208" s="1566"/>
      <c r="U208" s="1566"/>
      <c r="V208" s="1566"/>
      <c r="W208" s="1566">
        <v>0</v>
      </c>
      <c r="X208" s="1566"/>
      <c r="Y208" s="1566"/>
      <c r="Z208" s="1566"/>
      <c r="AA208" s="1566">
        <v>4390.62</v>
      </c>
      <c r="AB208" s="1566"/>
      <c r="AC208" s="1566"/>
      <c r="AD208" s="1566"/>
      <c r="AE208" s="1566"/>
      <c r="AF208" s="1566"/>
      <c r="AG208" s="1566">
        <v>0</v>
      </c>
      <c r="AH208" s="1566"/>
      <c r="AI208" s="1566"/>
      <c r="AJ208" s="1566"/>
      <c r="AK208" s="1566"/>
    </row>
    <row r="209" spans="2:37" ht="9.1999999999999993" customHeight="1">
      <c r="J209" s="1568"/>
      <c r="K209" s="1568"/>
      <c r="L209" s="1568"/>
    </row>
    <row r="210" spans="2:37" ht="8.4499999999999993" customHeight="1">
      <c r="B210" s="1568" t="s">
        <v>1326</v>
      </c>
      <c r="C210" s="1568"/>
      <c r="D210" s="1568"/>
      <c r="E210" s="1568" t="s">
        <v>1454</v>
      </c>
      <c r="F210" s="1568"/>
      <c r="G210" s="1568"/>
      <c r="H210" s="1568"/>
      <c r="J210" s="1568" t="s">
        <v>1317</v>
      </c>
      <c r="K210" s="1568"/>
      <c r="L210" s="1568"/>
      <c r="M210" s="1566">
        <v>0</v>
      </c>
      <c r="N210" s="1566"/>
      <c r="O210" s="1566"/>
      <c r="P210" s="1566">
        <v>0</v>
      </c>
      <c r="Q210" s="1566"/>
      <c r="R210" s="1566"/>
      <c r="S210" s="1566">
        <v>597.74</v>
      </c>
      <c r="T210" s="1566"/>
      <c r="U210" s="1566"/>
      <c r="V210" s="1566"/>
      <c r="W210" s="1566">
        <v>597.74</v>
      </c>
      <c r="X210" s="1566"/>
      <c r="Y210" s="1566"/>
      <c r="Z210" s="1566"/>
      <c r="AA210" s="1566">
        <v>0</v>
      </c>
      <c r="AB210" s="1566"/>
      <c r="AC210" s="1566"/>
      <c r="AD210" s="1566"/>
      <c r="AE210" s="1566"/>
      <c r="AF210" s="1566"/>
      <c r="AG210" s="1566">
        <v>0</v>
      </c>
      <c r="AH210" s="1566"/>
      <c r="AI210" s="1566"/>
      <c r="AJ210" s="1566"/>
      <c r="AK210" s="1566"/>
    </row>
    <row r="211" spans="2:37" ht="9.4" customHeight="1">
      <c r="B211" s="1568" t="s">
        <v>1326</v>
      </c>
      <c r="C211" s="1568"/>
      <c r="D211" s="1568"/>
      <c r="E211" s="1568" t="s">
        <v>1455</v>
      </c>
      <c r="F211" s="1568"/>
      <c r="G211" s="1568"/>
      <c r="H211" s="1568"/>
      <c r="J211" s="1568" t="s">
        <v>2064</v>
      </c>
      <c r="K211" s="1568"/>
      <c r="L211" s="1568"/>
      <c r="M211" s="1566">
        <v>1560.64</v>
      </c>
      <c r="N211" s="1566"/>
      <c r="O211" s="1566"/>
      <c r="P211" s="1566">
        <v>0</v>
      </c>
      <c r="Q211" s="1566"/>
      <c r="R211" s="1566"/>
      <c r="S211" s="1566">
        <v>411.22</v>
      </c>
      <c r="T211" s="1566"/>
      <c r="U211" s="1566"/>
      <c r="V211" s="1566"/>
      <c r="W211" s="1566">
        <v>1264.8</v>
      </c>
      <c r="X211" s="1566"/>
      <c r="Y211" s="1566"/>
      <c r="Z211" s="1566"/>
      <c r="AA211" s="1566">
        <v>707.06</v>
      </c>
      <c r="AB211" s="1566"/>
      <c r="AC211" s="1566"/>
      <c r="AD211" s="1566"/>
      <c r="AE211" s="1566"/>
      <c r="AF211" s="1566"/>
      <c r="AG211" s="1566">
        <v>0</v>
      </c>
      <c r="AH211" s="1566"/>
      <c r="AI211" s="1566"/>
      <c r="AJ211" s="1566"/>
      <c r="AK211" s="1566"/>
    </row>
    <row r="212" spans="2:37" ht="9.4" customHeight="1">
      <c r="B212" s="1568" t="s">
        <v>1326</v>
      </c>
      <c r="C212" s="1568"/>
      <c r="D212" s="1568"/>
      <c r="E212" s="1568" t="s">
        <v>1456</v>
      </c>
      <c r="F212" s="1568"/>
      <c r="G212" s="1568"/>
      <c r="H212" s="1568"/>
      <c r="J212" s="1568" t="s">
        <v>1032</v>
      </c>
      <c r="K212" s="1568"/>
      <c r="L212" s="1568"/>
      <c r="M212" s="1566">
        <v>2736.52</v>
      </c>
      <c r="N212" s="1566"/>
      <c r="O212" s="1566"/>
      <c r="P212" s="1566">
        <v>0</v>
      </c>
      <c r="Q212" s="1566"/>
      <c r="R212" s="1566"/>
      <c r="S212" s="1566">
        <v>0</v>
      </c>
      <c r="T212" s="1566"/>
      <c r="U212" s="1566"/>
      <c r="V212" s="1566"/>
      <c r="W212" s="1566">
        <v>0</v>
      </c>
      <c r="X212" s="1566"/>
      <c r="Y212" s="1566"/>
      <c r="Z212" s="1566"/>
      <c r="AA212" s="1566">
        <v>2736.52</v>
      </c>
      <c r="AB212" s="1566"/>
      <c r="AC212" s="1566"/>
      <c r="AD212" s="1566"/>
      <c r="AE212" s="1566"/>
      <c r="AF212" s="1566"/>
      <c r="AG212" s="1566">
        <v>0</v>
      </c>
      <c r="AH212" s="1566"/>
      <c r="AI212" s="1566"/>
      <c r="AJ212" s="1566"/>
      <c r="AK212" s="1566"/>
    </row>
    <row r="213" spans="2:37" ht="9.4" customHeight="1">
      <c r="B213" s="1568" t="s">
        <v>1326</v>
      </c>
      <c r="C213" s="1568"/>
      <c r="D213" s="1568"/>
      <c r="E213" s="1568" t="s">
        <v>1457</v>
      </c>
      <c r="F213" s="1568"/>
      <c r="G213" s="1568"/>
      <c r="H213" s="1568"/>
      <c r="J213" s="1568" t="s">
        <v>2065</v>
      </c>
      <c r="K213" s="1568"/>
      <c r="L213" s="1568"/>
      <c r="M213" s="1566">
        <v>61197.72</v>
      </c>
      <c r="N213" s="1566"/>
      <c r="O213" s="1566"/>
      <c r="P213" s="1566">
        <v>0</v>
      </c>
      <c r="Q213" s="1566"/>
      <c r="R213" s="1566"/>
      <c r="S213" s="1566">
        <v>2717.4</v>
      </c>
      <c r="T213" s="1566"/>
      <c r="U213" s="1566"/>
      <c r="V213" s="1566"/>
      <c r="W213" s="1566">
        <v>0</v>
      </c>
      <c r="X213" s="1566"/>
      <c r="Y213" s="1566"/>
      <c r="Z213" s="1566"/>
      <c r="AA213" s="1566">
        <v>63915.12</v>
      </c>
      <c r="AB213" s="1566"/>
      <c r="AC213" s="1566"/>
      <c r="AD213" s="1566"/>
      <c r="AE213" s="1566"/>
      <c r="AF213" s="1566"/>
      <c r="AG213" s="1566">
        <v>0</v>
      </c>
      <c r="AH213" s="1566"/>
      <c r="AI213" s="1566"/>
      <c r="AJ213" s="1566"/>
      <c r="AK213" s="1566"/>
    </row>
    <row r="214" spans="2:37" ht="9.4" customHeight="1">
      <c r="B214" s="1568" t="s">
        <v>1326</v>
      </c>
      <c r="C214" s="1568"/>
      <c r="D214" s="1568"/>
      <c r="E214" s="1568" t="s">
        <v>1458</v>
      </c>
      <c r="F214" s="1568"/>
      <c r="G214" s="1568"/>
      <c r="H214" s="1568"/>
      <c r="J214" s="1568" t="s">
        <v>2066</v>
      </c>
      <c r="K214" s="1568"/>
      <c r="L214" s="1568"/>
      <c r="M214" s="1566">
        <v>0</v>
      </c>
      <c r="N214" s="1566"/>
      <c r="O214" s="1566"/>
      <c r="P214" s="1566">
        <v>0</v>
      </c>
      <c r="Q214" s="1566"/>
      <c r="R214" s="1566"/>
      <c r="S214" s="1566">
        <v>0</v>
      </c>
      <c r="T214" s="1566"/>
      <c r="U214" s="1566"/>
      <c r="V214" s="1566"/>
      <c r="W214" s="1566">
        <v>0</v>
      </c>
      <c r="X214" s="1566"/>
      <c r="Y214" s="1566"/>
      <c r="Z214" s="1566"/>
      <c r="AA214" s="1566">
        <v>0</v>
      </c>
      <c r="AB214" s="1566"/>
      <c r="AC214" s="1566"/>
      <c r="AD214" s="1566"/>
      <c r="AE214" s="1566"/>
      <c r="AF214" s="1566"/>
      <c r="AG214" s="1566">
        <v>0</v>
      </c>
      <c r="AH214" s="1566"/>
      <c r="AI214" s="1566"/>
      <c r="AJ214" s="1566"/>
      <c r="AK214" s="1566"/>
    </row>
    <row r="215" spans="2:37" ht="9.4" customHeight="1">
      <c r="B215" s="1568" t="s">
        <v>1326</v>
      </c>
      <c r="C215" s="1568"/>
      <c r="D215" s="1568"/>
      <c r="E215" s="1568" t="s">
        <v>1459</v>
      </c>
      <c r="F215" s="1568"/>
      <c r="G215" s="1568"/>
      <c r="H215" s="1568"/>
      <c r="J215" s="1568" t="s">
        <v>2068</v>
      </c>
      <c r="K215" s="1568"/>
      <c r="L215" s="1568"/>
      <c r="M215" s="1566">
        <v>7244.04</v>
      </c>
      <c r="N215" s="1566"/>
      <c r="O215" s="1566"/>
      <c r="P215" s="1566">
        <v>0</v>
      </c>
      <c r="Q215" s="1566"/>
      <c r="R215" s="1566"/>
      <c r="S215" s="1566">
        <v>2025.27</v>
      </c>
      <c r="T215" s="1566"/>
      <c r="U215" s="1566"/>
      <c r="V215" s="1566"/>
      <c r="W215" s="1566">
        <v>1557.92</v>
      </c>
      <c r="X215" s="1566"/>
      <c r="Y215" s="1566"/>
      <c r="Z215" s="1566"/>
      <c r="AA215" s="1566">
        <v>7711.39</v>
      </c>
      <c r="AB215" s="1566"/>
      <c r="AC215" s="1566"/>
      <c r="AD215" s="1566"/>
      <c r="AE215" s="1566"/>
      <c r="AF215" s="1566"/>
      <c r="AG215" s="1566">
        <v>0</v>
      </c>
      <c r="AH215" s="1566"/>
      <c r="AI215" s="1566"/>
      <c r="AJ215" s="1566"/>
      <c r="AK215" s="1566"/>
    </row>
    <row r="216" spans="2:37" ht="9.4" customHeight="1">
      <c r="B216" s="1568" t="s">
        <v>1326</v>
      </c>
      <c r="C216" s="1568"/>
      <c r="D216" s="1568"/>
      <c r="E216" s="1568" t="s">
        <v>1460</v>
      </c>
      <c r="F216" s="1568"/>
      <c r="G216" s="1568"/>
      <c r="H216" s="1568"/>
      <c r="J216" s="1568" t="s">
        <v>2069</v>
      </c>
      <c r="K216" s="1568"/>
      <c r="L216" s="1568"/>
      <c r="M216" s="1566">
        <v>140606.04999999999</v>
      </c>
      <c r="N216" s="1566"/>
      <c r="O216" s="1566"/>
      <c r="P216" s="1566">
        <v>0</v>
      </c>
      <c r="Q216" s="1566"/>
      <c r="R216" s="1566"/>
      <c r="S216" s="1566">
        <v>45818.64</v>
      </c>
      <c r="T216" s="1566"/>
      <c r="U216" s="1566"/>
      <c r="V216" s="1566"/>
      <c r="W216" s="1566">
        <v>140606.06</v>
      </c>
      <c r="X216" s="1566"/>
      <c r="Y216" s="1566"/>
      <c r="Z216" s="1566"/>
      <c r="AA216" s="1566">
        <v>45818.63</v>
      </c>
      <c r="AB216" s="1566"/>
      <c r="AC216" s="1566"/>
      <c r="AD216" s="1566"/>
      <c r="AE216" s="1566"/>
      <c r="AF216" s="1566"/>
      <c r="AG216" s="1566">
        <v>0</v>
      </c>
      <c r="AH216" s="1566"/>
      <c r="AI216" s="1566"/>
      <c r="AJ216" s="1566"/>
      <c r="AK216" s="1566"/>
    </row>
    <row r="217" spans="2:37" ht="9.4" customHeight="1">
      <c r="B217" s="1568" t="s">
        <v>1326</v>
      </c>
      <c r="C217" s="1568"/>
      <c r="D217" s="1568"/>
      <c r="E217" s="1568" t="s">
        <v>1461</v>
      </c>
      <c r="F217" s="1568"/>
      <c r="G217" s="1568"/>
      <c r="H217" s="1568"/>
      <c r="J217" s="1568" t="s">
        <v>2070</v>
      </c>
      <c r="K217" s="1568"/>
      <c r="L217" s="1568"/>
      <c r="M217" s="1566">
        <v>276.77</v>
      </c>
      <c r="N217" s="1566"/>
      <c r="O217" s="1566"/>
      <c r="P217" s="1566">
        <v>0</v>
      </c>
      <c r="Q217" s="1566"/>
      <c r="R217" s="1566"/>
      <c r="S217" s="1566">
        <v>241.01</v>
      </c>
      <c r="T217" s="1566"/>
      <c r="U217" s="1566"/>
      <c r="V217" s="1566"/>
      <c r="W217" s="1566">
        <v>276.77</v>
      </c>
      <c r="X217" s="1566"/>
      <c r="Y217" s="1566"/>
      <c r="Z217" s="1566"/>
      <c r="AA217" s="1566">
        <v>241.01</v>
      </c>
      <c r="AB217" s="1566"/>
      <c r="AC217" s="1566"/>
      <c r="AD217" s="1566"/>
      <c r="AE217" s="1566"/>
      <c r="AF217" s="1566"/>
      <c r="AG217" s="1566">
        <v>0</v>
      </c>
      <c r="AH217" s="1566"/>
      <c r="AI217" s="1566"/>
      <c r="AJ217" s="1566"/>
      <c r="AK217" s="1566"/>
    </row>
    <row r="218" spans="2:37" ht="9.4" customHeight="1">
      <c r="B218" s="1568" t="s">
        <v>1326</v>
      </c>
      <c r="C218" s="1568"/>
      <c r="D218" s="1568"/>
      <c r="E218" s="1568" t="s">
        <v>1462</v>
      </c>
      <c r="F218" s="1568"/>
      <c r="G218" s="1568"/>
      <c r="H218" s="1568"/>
      <c r="J218" s="1568" t="s">
        <v>2071</v>
      </c>
      <c r="K218" s="1568"/>
      <c r="L218" s="1568"/>
      <c r="M218" s="1566">
        <v>398.87</v>
      </c>
      <c r="N218" s="1566"/>
      <c r="O218" s="1566"/>
      <c r="P218" s="1566">
        <v>0</v>
      </c>
      <c r="Q218" s="1566"/>
      <c r="R218" s="1566"/>
      <c r="S218" s="1566">
        <v>161.72999999999999</v>
      </c>
      <c r="T218" s="1566"/>
      <c r="U218" s="1566"/>
      <c r="V218" s="1566"/>
      <c r="W218" s="1566">
        <v>276.77</v>
      </c>
      <c r="X218" s="1566"/>
      <c r="Y218" s="1566"/>
      <c r="Z218" s="1566"/>
      <c r="AA218" s="1566">
        <v>283.83</v>
      </c>
      <c r="AB218" s="1566"/>
      <c r="AC218" s="1566"/>
      <c r="AD218" s="1566"/>
      <c r="AE218" s="1566"/>
      <c r="AF218" s="1566"/>
      <c r="AG218" s="1566">
        <v>0</v>
      </c>
      <c r="AH218" s="1566"/>
      <c r="AI218" s="1566"/>
      <c r="AJ218" s="1566"/>
      <c r="AK218" s="1566"/>
    </row>
    <row r="219" spans="2:37" ht="9.4" customHeight="1">
      <c r="B219" s="1568" t="s">
        <v>1326</v>
      </c>
      <c r="C219" s="1568"/>
      <c r="D219" s="1568"/>
      <c r="E219" s="1568" t="s">
        <v>1463</v>
      </c>
      <c r="F219" s="1568"/>
      <c r="G219" s="1568"/>
      <c r="H219" s="1568"/>
      <c r="J219" s="1568" t="s">
        <v>2072</v>
      </c>
      <c r="K219" s="1568"/>
      <c r="L219" s="1568"/>
      <c r="M219" s="1566">
        <v>0</v>
      </c>
      <c r="N219" s="1566"/>
      <c r="O219" s="1566"/>
      <c r="P219" s="1566">
        <v>0</v>
      </c>
      <c r="Q219" s="1566"/>
      <c r="R219" s="1566"/>
      <c r="S219" s="1566">
        <v>4397.96</v>
      </c>
      <c r="T219" s="1566"/>
      <c r="U219" s="1566"/>
      <c r="V219" s="1566"/>
      <c r="W219" s="1566">
        <v>4397.96</v>
      </c>
      <c r="X219" s="1566"/>
      <c r="Y219" s="1566"/>
      <c r="Z219" s="1566"/>
      <c r="AA219" s="1566">
        <v>0</v>
      </c>
      <c r="AB219" s="1566"/>
      <c r="AC219" s="1566"/>
      <c r="AD219" s="1566"/>
      <c r="AE219" s="1566"/>
      <c r="AF219" s="1566"/>
      <c r="AG219" s="1566">
        <v>0</v>
      </c>
      <c r="AH219" s="1566"/>
      <c r="AI219" s="1566"/>
      <c r="AJ219" s="1566"/>
      <c r="AK219" s="1566"/>
    </row>
    <row r="220" spans="2:37" ht="9.4" customHeight="1">
      <c r="B220" s="1568" t="s">
        <v>1326</v>
      </c>
      <c r="C220" s="1568"/>
      <c r="D220" s="1568"/>
      <c r="E220" s="1568" t="s">
        <v>1464</v>
      </c>
      <c r="F220" s="1568"/>
      <c r="G220" s="1568"/>
      <c r="H220" s="1568"/>
      <c r="J220" s="1568" t="s">
        <v>2073</v>
      </c>
      <c r="K220" s="1568"/>
      <c r="L220" s="1568"/>
      <c r="M220" s="1566">
        <v>0</v>
      </c>
      <c r="N220" s="1566"/>
      <c r="O220" s="1566"/>
      <c r="P220" s="1566">
        <v>0</v>
      </c>
      <c r="Q220" s="1566"/>
      <c r="R220" s="1566"/>
      <c r="S220" s="1566">
        <v>9881.39</v>
      </c>
      <c r="T220" s="1566"/>
      <c r="U220" s="1566"/>
      <c r="V220" s="1566"/>
      <c r="W220" s="1566">
        <v>0</v>
      </c>
      <c r="X220" s="1566"/>
      <c r="Y220" s="1566"/>
      <c r="Z220" s="1566"/>
      <c r="AA220" s="1566">
        <v>9881.39</v>
      </c>
      <c r="AB220" s="1566"/>
      <c r="AC220" s="1566"/>
      <c r="AD220" s="1566"/>
      <c r="AE220" s="1566"/>
      <c r="AF220" s="1566"/>
      <c r="AG220" s="1566">
        <v>0</v>
      </c>
      <c r="AH220" s="1566"/>
      <c r="AI220" s="1566"/>
      <c r="AJ220" s="1566"/>
      <c r="AK220" s="1566"/>
    </row>
    <row r="221" spans="2:37" ht="9.4" customHeight="1">
      <c r="B221" s="1568" t="s">
        <v>1326</v>
      </c>
      <c r="C221" s="1568"/>
      <c r="D221" s="1568"/>
      <c r="E221" s="1568" t="s">
        <v>1465</v>
      </c>
      <c r="F221" s="1568"/>
      <c r="G221" s="1568"/>
      <c r="H221" s="1568"/>
      <c r="J221" s="1568" t="s">
        <v>2074</v>
      </c>
      <c r="K221" s="1568"/>
      <c r="L221" s="1568"/>
      <c r="M221" s="1566">
        <v>0</v>
      </c>
      <c r="N221" s="1566"/>
      <c r="O221" s="1566"/>
      <c r="P221" s="1566">
        <v>0</v>
      </c>
      <c r="Q221" s="1566"/>
      <c r="R221" s="1566"/>
      <c r="S221" s="1566">
        <v>18082.560000000001</v>
      </c>
      <c r="T221" s="1566"/>
      <c r="U221" s="1566"/>
      <c r="V221" s="1566"/>
      <c r="W221" s="1566">
        <v>0</v>
      </c>
      <c r="X221" s="1566"/>
      <c r="Y221" s="1566"/>
      <c r="Z221" s="1566"/>
      <c r="AA221" s="1566">
        <v>18082.560000000001</v>
      </c>
      <c r="AB221" s="1566"/>
      <c r="AC221" s="1566"/>
      <c r="AD221" s="1566"/>
      <c r="AE221" s="1566"/>
      <c r="AF221" s="1566"/>
      <c r="AG221" s="1566">
        <v>0</v>
      </c>
      <c r="AH221" s="1566"/>
      <c r="AI221" s="1566"/>
      <c r="AJ221" s="1566"/>
      <c r="AK221" s="1566"/>
    </row>
    <row r="222" spans="2:37" ht="9.4" customHeight="1">
      <c r="B222" s="1568" t="s">
        <v>1326</v>
      </c>
      <c r="C222" s="1568"/>
      <c r="D222" s="1568"/>
      <c r="E222" s="1568" t="s">
        <v>1466</v>
      </c>
      <c r="F222" s="1568"/>
      <c r="G222" s="1568"/>
      <c r="H222" s="1568"/>
      <c r="J222" s="1568" t="s">
        <v>1838</v>
      </c>
      <c r="K222" s="1568"/>
      <c r="L222" s="1568"/>
      <c r="M222" s="1566">
        <v>0</v>
      </c>
      <c r="N222" s="1566"/>
      <c r="O222" s="1566"/>
      <c r="P222" s="1566">
        <v>0</v>
      </c>
      <c r="Q222" s="1566"/>
      <c r="R222" s="1566"/>
      <c r="S222" s="1566">
        <v>1997.86</v>
      </c>
      <c r="T222" s="1566"/>
      <c r="U222" s="1566"/>
      <c r="V222" s="1566"/>
      <c r="W222" s="1566">
        <v>1997.86</v>
      </c>
      <c r="X222" s="1566"/>
      <c r="Y222" s="1566"/>
      <c r="Z222" s="1566"/>
      <c r="AA222" s="1566">
        <v>0</v>
      </c>
      <c r="AB222" s="1566"/>
      <c r="AC222" s="1566"/>
      <c r="AD222" s="1566"/>
      <c r="AE222" s="1566"/>
      <c r="AF222" s="1566"/>
      <c r="AG222" s="1566">
        <v>0</v>
      </c>
      <c r="AH222" s="1566"/>
      <c r="AI222" s="1566"/>
      <c r="AJ222" s="1566"/>
      <c r="AK222" s="1566"/>
    </row>
    <row r="223" spans="2:37" ht="9.4" customHeight="1">
      <c r="B223" s="1568" t="s">
        <v>1326</v>
      </c>
      <c r="C223" s="1568"/>
      <c r="D223" s="1568"/>
      <c r="E223" s="1568" t="s">
        <v>1467</v>
      </c>
      <c r="F223" s="1568"/>
      <c r="G223" s="1568"/>
      <c r="H223" s="1568"/>
      <c r="J223" s="1568" t="s">
        <v>2075</v>
      </c>
      <c r="K223" s="1568"/>
      <c r="L223" s="1568"/>
      <c r="M223" s="1566">
        <v>2523.7800000000002</v>
      </c>
      <c r="N223" s="1566"/>
      <c r="O223" s="1566"/>
      <c r="P223" s="1566">
        <v>0</v>
      </c>
      <c r="Q223" s="1566"/>
      <c r="R223" s="1566"/>
      <c r="S223" s="1566">
        <v>1126.98</v>
      </c>
      <c r="T223" s="1566"/>
      <c r="U223" s="1566"/>
      <c r="V223" s="1566"/>
      <c r="W223" s="1566">
        <v>1126.98</v>
      </c>
      <c r="X223" s="1566"/>
      <c r="Y223" s="1566"/>
      <c r="Z223" s="1566"/>
      <c r="AA223" s="1566">
        <v>2523.7800000000002</v>
      </c>
      <c r="AB223" s="1566"/>
      <c r="AC223" s="1566"/>
      <c r="AD223" s="1566"/>
      <c r="AE223" s="1566"/>
      <c r="AF223" s="1566"/>
      <c r="AG223" s="1566">
        <v>0</v>
      </c>
      <c r="AH223" s="1566"/>
      <c r="AI223" s="1566"/>
      <c r="AJ223" s="1566"/>
      <c r="AK223" s="1566"/>
    </row>
    <row r="224" spans="2:37" ht="9.4" customHeight="1">
      <c r="B224" s="1568" t="s">
        <v>1326</v>
      </c>
      <c r="C224" s="1568"/>
      <c r="D224" s="1568"/>
      <c r="E224" s="1568" t="s">
        <v>1468</v>
      </c>
      <c r="F224" s="1568"/>
      <c r="G224" s="1568"/>
      <c r="H224" s="1568"/>
      <c r="J224" s="1568" t="s">
        <v>2076</v>
      </c>
      <c r="K224" s="1568"/>
      <c r="L224" s="1568"/>
      <c r="M224" s="1566">
        <v>0</v>
      </c>
      <c r="N224" s="1566"/>
      <c r="O224" s="1566"/>
      <c r="P224" s="1566">
        <v>0</v>
      </c>
      <c r="Q224" s="1566"/>
      <c r="R224" s="1566"/>
      <c r="S224" s="1566">
        <v>6817.6</v>
      </c>
      <c r="T224" s="1566"/>
      <c r="U224" s="1566"/>
      <c r="V224" s="1566"/>
      <c r="W224" s="1566">
        <v>6817.6</v>
      </c>
      <c r="X224" s="1566"/>
      <c r="Y224" s="1566"/>
      <c r="Z224" s="1566"/>
      <c r="AA224" s="1566">
        <v>0</v>
      </c>
      <c r="AB224" s="1566"/>
      <c r="AC224" s="1566"/>
      <c r="AD224" s="1566"/>
      <c r="AE224" s="1566"/>
      <c r="AF224" s="1566"/>
      <c r="AG224" s="1566">
        <v>0</v>
      </c>
      <c r="AH224" s="1566"/>
      <c r="AI224" s="1566"/>
      <c r="AJ224" s="1566"/>
      <c r="AK224" s="1566"/>
    </row>
    <row r="225" spans="2:38" ht="9.4" customHeight="1">
      <c r="B225" s="1568" t="s">
        <v>1326</v>
      </c>
      <c r="C225" s="1568"/>
      <c r="D225" s="1568"/>
      <c r="E225" s="1568" t="s">
        <v>1469</v>
      </c>
      <c r="F225" s="1568"/>
      <c r="G225" s="1568"/>
      <c r="H225" s="1568"/>
      <c r="J225" s="1568" t="s">
        <v>2077</v>
      </c>
      <c r="K225" s="1568"/>
      <c r="L225" s="1568"/>
      <c r="M225" s="1566">
        <v>3838.24</v>
      </c>
      <c r="N225" s="1566"/>
      <c r="O225" s="1566"/>
      <c r="P225" s="1566">
        <v>0</v>
      </c>
      <c r="Q225" s="1566"/>
      <c r="R225" s="1566"/>
      <c r="S225" s="1566">
        <v>5565.88</v>
      </c>
      <c r="T225" s="1566"/>
      <c r="U225" s="1566"/>
      <c r="V225" s="1566"/>
      <c r="W225" s="1566">
        <v>0</v>
      </c>
      <c r="X225" s="1566"/>
      <c r="Y225" s="1566"/>
      <c r="Z225" s="1566"/>
      <c r="AA225" s="1566">
        <v>9404.1200000000008</v>
      </c>
      <c r="AB225" s="1566"/>
      <c r="AC225" s="1566"/>
      <c r="AD225" s="1566"/>
      <c r="AE225" s="1566"/>
      <c r="AF225" s="1566"/>
      <c r="AG225" s="1566">
        <v>0</v>
      </c>
      <c r="AH225" s="1566"/>
      <c r="AI225" s="1566"/>
      <c r="AJ225" s="1566"/>
      <c r="AK225" s="1566"/>
    </row>
    <row r="226" spans="2:38" ht="9.4" customHeight="1">
      <c r="B226" s="1568" t="s">
        <v>1326</v>
      </c>
      <c r="C226" s="1568"/>
      <c r="D226" s="1568"/>
      <c r="E226" s="1568" t="s">
        <v>3132</v>
      </c>
      <c r="F226" s="1568"/>
      <c r="G226" s="1568"/>
      <c r="H226" s="1568"/>
      <c r="J226" s="1568" t="s">
        <v>3133</v>
      </c>
      <c r="K226" s="1568"/>
      <c r="L226" s="1568"/>
      <c r="M226" s="1566">
        <v>1374.37</v>
      </c>
      <c r="N226" s="1566"/>
      <c r="O226" s="1566"/>
      <c r="P226" s="1566">
        <v>0</v>
      </c>
      <c r="Q226" s="1566"/>
      <c r="R226" s="1566"/>
      <c r="S226" s="1566">
        <v>1374.37</v>
      </c>
      <c r="T226" s="1566"/>
      <c r="U226" s="1566"/>
      <c r="V226" s="1566"/>
      <c r="W226" s="1566">
        <v>2748.74</v>
      </c>
      <c r="X226" s="1566"/>
      <c r="Y226" s="1566"/>
      <c r="Z226" s="1566"/>
      <c r="AA226" s="1566">
        <v>0</v>
      </c>
      <c r="AB226" s="1566"/>
      <c r="AC226" s="1566"/>
      <c r="AD226" s="1566"/>
      <c r="AE226" s="1566"/>
      <c r="AF226" s="1566"/>
      <c r="AG226" s="1566">
        <v>0</v>
      </c>
      <c r="AH226" s="1566"/>
      <c r="AI226" s="1566"/>
      <c r="AJ226" s="1566"/>
      <c r="AK226" s="1566"/>
    </row>
    <row r="227" spans="2:38" ht="9.4" customHeight="1">
      <c r="B227" s="1568" t="s">
        <v>1326</v>
      </c>
      <c r="C227" s="1568"/>
      <c r="D227" s="1568"/>
      <c r="E227" s="1568" t="s">
        <v>1470</v>
      </c>
      <c r="F227" s="1568"/>
      <c r="G227" s="1568"/>
      <c r="H227" s="1568"/>
      <c r="J227" s="1568" t="s">
        <v>2078</v>
      </c>
      <c r="K227" s="1568"/>
      <c r="L227" s="1568"/>
      <c r="M227" s="1566">
        <v>12890.99</v>
      </c>
      <c r="N227" s="1566"/>
      <c r="O227" s="1566"/>
      <c r="P227" s="1566">
        <v>0</v>
      </c>
      <c r="Q227" s="1566"/>
      <c r="R227" s="1566"/>
      <c r="S227" s="1566">
        <v>0</v>
      </c>
      <c r="T227" s="1566"/>
      <c r="U227" s="1566"/>
      <c r="V227" s="1566"/>
      <c r="W227" s="1566">
        <v>0</v>
      </c>
      <c r="X227" s="1566"/>
      <c r="Y227" s="1566"/>
      <c r="Z227" s="1566"/>
      <c r="AA227" s="1566">
        <v>12890.99</v>
      </c>
      <c r="AB227" s="1566"/>
      <c r="AC227" s="1566"/>
      <c r="AD227" s="1566"/>
      <c r="AE227" s="1566"/>
      <c r="AF227" s="1566"/>
      <c r="AG227" s="1566">
        <v>0</v>
      </c>
      <c r="AH227" s="1566"/>
      <c r="AI227" s="1566"/>
      <c r="AJ227" s="1566"/>
      <c r="AK227" s="1566"/>
    </row>
    <row r="228" spans="2:38" ht="9.4" customHeight="1">
      <c r="B228" s="1568" t="s">
        <v>1326</v>
      </c>
      <c r="C228" s="1568"/>
      <c r="D228" s="1568"/>
      <c r="E228" s="1568" t="s">
        <v>1471</v>
      </c>
      <c r="F228" s="1568"/>
      <c r="G228" s="1568"/>
      <c r="H228" s="1568"/>
      <c r="J228" s="1568" t="s">
        <v>1302</v>
      </c>
      <c r="K228" s="1568"/>
      <c r="L228" s="1568"/>
      <c r="M228" s="1566">
        <v>0</v>
      </c>
      <c r="N228" s="1566"/>
      <c r="O228" s="1566"/>
      <c r="P228" s="1566">
        <v>0</v>
      </c>
      <c r="Q228" s="1566"/>
      <c r="R228" s="1566"/>
      <c r="S228" s="1566">
        <v>24544.57</v>
      </c>
      <c r="T228" s="1566"/>
      <c r="U228" s="1566"/>
      <c r="V228" s="1566"/>
      <c r="W228" s="1566">
        <v>0</v>
      </c>
      <c r="X228" s="1566"/>
      <c r="Y228" s="1566"/>
      <c r="Z228" s="1566"/>
      <c r="AA228" s="1566">
        <v>24544.57</v>
      </c>
      <c r="AB228" s="1566"/>
      <c r="AC228" s="1566"/>
      <c r="AD228" s="1566"/>
      <c r="AE228" s="1566"/>
      <c r="AF228" s="1566"/>
      <c r="AG228" s="1566">
        <v>0</v>
      </c>
      <c r="AH228" s="1566"/>
      <c r="AI228" s="1566"/>
      <c r="AJ228" s="1566"/>
      <c r="AK228" s="1566"/>
    </row>
    <row r="229" spans="2:38" ht="9.4" customHeight="1">
      <c r="B229" s="1568" t="s">
        <v>1326</v>
      </c>
      <c r="C229" s="1568"/>
      <c r="D229" s="1568"/>
      <c r="E229" s="1568" t="s">
        <v>2079</v>
      </c>
      <c r="F229" s="1568"/>
      <c r="G229" s="1568"/>
      <c r="H229" s="1568"/>
      <c r="J229" s="1568" t="s">
        <v>2080</v>
      </c>
      <c r="K229" s="1568"/>
      <c r="L229" s="1568"/>
      <c r="M229" s="1566">
        <v>0</v>
      </c>
      <c r="N229" s="1566"/>
      <c r="O229" s="1566"/>
      <c r="P229" s="1566">
        <v>0</v>
      </c>
      <c r="Q229" s="1566"/>
      <c r="R229" s="1566"/>
      <c r="S229" s="1566">
        <v>234089.38</v>
      </c>
      <c r="T229" s="1566"/>
      <c r="U229" s="1566"/>
      <c r="V229" s="1566"/>
      <c r="W229" s="1566">
        <v>234089.38</v>
      </c>
      <c r="X229" s="1566"/>
      <c r="Y229" s="1566"/>
      <c r="Z229" s="1566"/>
      <c r="AA229" s="1566">
        <v>0</v>
      </c>
      <c r="AB229" s="1566"/>
      <c r="AC229" s="1566"/>
      <c r="AD229" s="1566"/>
      <c r="AE229" s="1566"/>
      <c r="AF229" s="1566"/>
      <c r="AG229" s="1566">
        <v>0</v>
      </c>
      <c r="AH229" s="1566"/>
      <c r="AI229" s="1566"/>
      <c r="AJ229" s="1566"/>
      <c r="AK229" s="1566"/>
    </row>
    <row r="230" spans="2:38" ht="9.4" customHeight="1">
      <c r="B230" s="1568" t="s">
        <v>1326</v>
      </c>
      <c r="C230" s="1568"/>
      <c r="D230" s="1568"/>
      <c r="E230" s="1568" t="s">
        <v>1788</v>
      </c>
      <c r="F230" s="1568"/>
      <c r="G230" s="1568"/>
      <c r="H230" s="1568"/>
      <c r="J230" s="1568" t="s">
        <v>2081</v>
      </c>
      <c r="K230" s="1568"/>
      <c r="L230" s="1568"/>
      <c r="M230" s="1566">
        <v>995.5</v>
      </c>
      <c r="N230" s="1566"/>
      <c r="O230" s="1566"/>
      <c r="P230" s="1566">
        <v>0</v>
      </c>
      <c r="Q230" s="1566"/>
      <c r="R230" s="1566"/>
      <c r="S230" s="1566">
        <v>1597.19</v>
      </c>
      <c r="T230" s="1566"/>
      <c r="U230" s="1566"/>
      <c r="V230" s="1566"/>
      <c r="W230" s="1566">
        <v>923.36</v>
      </c>
      <c r="X230" s="1566"/>
      <c r="Y230" s="1566"/>
      <c r="Z230" s="1566"/>
      <c r="AA230" s="1566">
        <v>1669.33</v>
      </c>
      <c r="AB230" s="1566"/>
      <c r="AC230" s="1566"/>
      <c r="AD230" s="1566"/>
      <c r="AE230" s="1566"/>
      <c r="AF230" s="1566"/>
      <c r="AG230" s="1566">
        <v>0</v>
      </c>
      <c r="AH230" s="1566"/>
      <c r="AI230" s="1566"/>
      <c r="AJ230" s="1566"/>
      <c r="AK230" s="1566"/>
    </row>
    <row r="231" spans="2:38" ht="9.4" customHeight="1">
      <c r="B231" s="1568" t="s">
        <v>1326</v>
      </c>
      <c r="C231" s="1568"/>
      <c r="D231" s="1568"/>
      <c r="E231" s="1568" t="s">
        <v>1472</v>
      </c>
      <c r="F231" s="1568"/>
      <c r="G231" s="1568"/>
      <c r="H231" s="1568"/>
      <c r="J231" s="1568" t="s">
        <v>2082</v>
      </c>
      <c r="K231" s="1568"/>
      <c r="L231" s="1568"/>
      <c r="M231" s="1566">
        <v>3057.27</v>
      </c>
      <c r="N231" s="1566"/>
      <c r="O231" s="1566"/>
      <c r="P231" s="1566">
        <v>0</v>
      </c>
      <c r="Q231" s="1566"/>
      <c r="R231" s="1566"/>
      <c r="S231" s="1566">
        <v>4095.61</v>
      </c>
      <c r="T231" s="1566"/>
      <c r="U231" s="1566"/>
      <c r="V231" s="1566"/>
      <c r="W231" s="1566">
        <v>4095.61</v>
      </c>
      <c r="X231" s="1566"/>
      <c r="Y231" s="1566"/>
      <c r="Z231" s="1566"/>
      <c r="AA231" s="1566">
        <v>3057.27</v>
      </c>
      <c r="AB231" s="1566"/>
      <c r="AC231" s="1566"/>
      <c r="AD231" s="1566"/>
      <c r="AE231" s="1566"/>
      <c r="AF231" s="1566"/>
      <c r="AG231" s="1566">
        <v>0</v>
      </c>
      <c r="AH231" s="1566"/>
      <c r="AI231" s="1566"/>
      <c r="AJ231" s="1566"/>
      <c r="AK231" s="1566"/>
    </row>
    <row r="232" spans="2:38" ht="9.4" customHeight="1">
      <c r="B232" s="1568" t="s">
        <v>1326</v>
      </c>
      <c r="C232" s="1568"/>
      <c r="D232" s="1568"/>
      <c r="E232" s="1568" t="s">
        <v>1473</v>
      </c>
      <c r="F232" s="1568"/>
      <c r="G232" s="1568"/>
      <c r="H232" s="1568"/>
      <c r="J232" s="1568" t="s">
        <v>2083</v>
      </c>
      <c r="K232" s="1568"/>
      <c r="L232" s="1568"/>
      <c r="M232" s="1566">
        <v>27785.96</v>
      </c>
      <c r="N232" s="1566"/>
      <c r="O232" s="1566"/>
      <c r="P232" s="1566">
        <v>0</v>
      </c>
      <c r="Q232" s="1566"/>
      <c r="R232" s="1566"/>
      <c r="S232" s="1566">
        <v>19389.080000000002</v>
      </c>
      <c r="T232" s="1566"/>
      <c r="U232" s="1566"/>
      <c r="V232" s="1566"/>
      <c r="W232" s="1566">
        <v>773.74</v>
      </c>
      <c r="X232" s="1566"/>
      <c r="Y232" s="1566"/>
      <c r="Z232" s="1566"/>
      <c r="AA232" s="1566">
        <v>46401.3</v>
      </c>
      <c r="AB232" s="1566"/>
      <c r="AC232" s="1566"/>
      <c r="AD232" s="1566"/>
      <c r="AE232" s="1566"/>
      <c r="AF232" s="1566"/>
      <c r="AG232" s="1566">
        <v>0</v>
      </c>
      <c r="AH232" s="1566"/>
      <c r="AI232" s="1566"/>
      <c r="AJ232" s="1566"/>
      <c r="AK232" s="1566"/>
    </row>
    <row r="233" spans="2:38" ht="9.4" customHeight="1">
      <c r="B233" s="1568" t="s">
        <v>1326</v>
      </c>
      <c r="C233" s="1568"/>
      <c r="D233" s="1568"/>
      <c r="E233" s="1568" t="s">
        <v>1474</v>
      </c>
      <c r="F233" s="1568"/>
      <c r="G233" s="1568"/>
      <c r="H233" s="1568"/>
      <c r="J233" s="1568" t="s">
        <v>2084</v>
      </c>
      <c r="K233" s="1568"/>
      <c r="L233" s="1568"/>
      <c r="M233" s="1566">
        <v>0</v>
      </c>
      <c r="N233" s="1566"/>
      <c r="O233" s="1566"/>
      <c r="P233" s="1566">
        <v>0</v>
      </c>
      <c r="Q233" s="1566"/>
      <c r="R233" s="1566"/>
      <c r="S233" s="1566">
        <v>3638.37</v>
      </c>
      <c r="T233" s="1566"/>
      <c r="U233" s="1566"/>
      <c r="V233" s="1566"/>
      <c r="W233" s="1566">
        <v>0</v>
      </c>
      <c r="X233" s="1566"/>
      <c r="Y233" s="1566"/>
      <c r="Z233" s="1566"/>
      <c r="AA233" s="1566">
        <v>3638.37</v>
      </c>
      <c r="AB233" s="1566"/>
      <c r="AC233" s="1566"/>
      <c r="AD233" s="1566"/>
      <c r="AE233" s="1566"/>
      <c r="AF233" s="1566"/>
      <c r="AG233" s="1566">
        <v>0</v>
      </c>
      <c r="AH233" s="1566"/>
      <c r="AI233" s="1566"/>
      <c r="AJ233" s="1566"/>
      <c r="AK233" s="1566"/>
    </row>
    <row r="234" spans="2:38" ht="9.4" customHeight="1">
      <c r="B234" s="1568" t="s">
        <v>1326</v>
      </c>
      <c r="C234" s="1568"/>
      <c r="D234" s="1568"/>
      <c r="E234" s="1568" t="s">
        <v>1475</v>
      </c>
      <c r="F234" s="1568"/>
      <c r="G234" s="1568"/>
      <c r="H234" s="1568"/>
      <c r="J234" s="1568" t="s">
        <v>2085</v>
      </c>
      <c r="K234" s="1568"/>
      <c r="L234" s="1568"/>
      <c r="M234" s="1566">
        <v>392.53</v>
      </c>
      <c r="N234" s="1566"/>
      <c r="O234" s="1566"/>
      <c r="P234" s="1566">
        <v>0</v>
      </c>
      <c r="Q234" s="1566"/>
      <c r="R234" s="1566"/>
      <c r="S234" s="1566">
        <v>376.03</v>
      </c>
      <c r="T234" s="1566"/>
      <c r="U234" s="1566"/>
      <c r="V234" s="1566"/>
      <c r="W234" s="1566">
        <v>376.03</v>
      </c>
      <c r="X234" s="1566"/>
      <c r="Y234" s="1566"/>
      <c r="Z234" s="1566"/>
      <c r="AA234" s="1566">
        <v>392.53</v>
      </c>
      <c r="AB234" s="1566"/>
      <c r="AC234" s="1566"/>
      <c r="AD234" s="1566"/>
      <c r="AE234" s="1566"/>
      <c r="AF234" s="1566"/>
      <c r="AG234" s="1566">
        <v>0</v>
      </c>
      <c r="AH234" s="1566"/>
      <c r="AI234" s="1566"/>
      <c r="AJ234" s="1566"/>
      <c r="AK234" s="1566"/>
    </row>
    <row r="235" spans="2:38" ht="9.4" customHeight="1">
      <c r="B235" s="1568" t="s">
        <v>1326</v>
      </c>
      <c r="C235" s="1568"/>
      <c r="D235" s="1568"/>
      <c r="E235" s="1568" t="s">
        <v>1476</v>
      </c>
      <c r="F235" s="1568"/>
      <c r="G235" s="1568"/>
      <c r="H235" s="1568"/>
      <c r="J235" s="1568" t="s">
        <v>2086</v>
      </c>
      <c r="K235" s="1568"/>
      <c r="L235" s="1568"/>
      <c r="M235" s="1566">
        <v>2323.23</v>
      </c>
      <c r="N235" s="1566"/>
      <c r="O235" s="1566"/>
      <c r="P235" s="1566">
        <v>0</v>
      </c>
      <c r="Q235" s="1566"/>
      <c r="R235" s="1566"/>
      <c r="S235" s="1566">
        <v>1416.6</v>
      </c>
      <c r="T235" s="1566"/>
      <c r="U235" s="1566"/>
      <c r="V235" s="1566"/>
      <c r="W235" s="1566">
        <v>1416.6</v>
      </c>
      <c r="X235" s="1566"/>
      <c r="Y235" s="1566"/>
      <c r="Z235" s="1566"/>
      <c r="AA235" s="1566">
        <v>2323.23</v>
      </c>
      <c r="AB235" s="1566"/>
      <c r="AC235" s="1566"/>
      <c r="AD235" s="1566"/>
      <c r="AE235" s="1566"/>
      <c r="AF235" s="1566"/>
      <c r="AG235" s="1566">
        <v>0</v>
      </c>
      <c r="AH235" s="1566"/>
      <c r="AI235" s="1566"/>
      <c r="AJ235" s="1566"/>
      <c r="AK235" s="1566"/>
    </row>
    <row r="236" spans="2:38" ht="9.4" customHeight="1">
      <c r="B236" s="1568" t="s">
        <v>1326</v>
      </c>
      <c r="C236" s="1568"/>
      <c r="D236" s="1568"/>
      <c r="E236" s="1568" t="s">
        <v>1477</v>
      </c>
      <c r="F236" s="1568"/>
      <c r="G236" s="1568"/>
      <c r="H236" s="1568"/>
      <c r="J236" s="1568" t="s">
        <v>2087</v>
      </c>
      <c r="K236" s="1568"/>
      <c r="L236" s="1568"/>
      <c r="M236" s="1566">
        <v>79215.58</v>
      </c>
      <c r="N236" s="1566"/>
      <c r="O236" s="1566"/>
      <c r="P236" s="1566">
        <v>0</v>
      </c>
      <c r="Q236" s="1566"/>
      <c r="R236" s="1566"/>
      <c r="S236" s="1566">
        <v>6951.07</v>
      </c>
      <c r="T236" s="1566"/>
      <c r="U236" s="1566"/>
      <c r="V236" s="1566"/>
      <c r="W236" s="1566">
        <v>0</v>
      </c>
      <c r="X236" s="1566"/>
      <c r="Y236" s="1566"/>
      <c r="Z236" s="1566"/>
      <c r="AA236" s="1566">
        <v>86166.65</v>
      </c>
      <c r="AB236" s="1566"/>
      <c r="AC236" s="1566"/>
      <c r="AD236" s="1566"/>
      <c r="AE236" s="1566"/>
      <c r="AF236" s="1566"/>
      <c r="AG236" s="1566">
        <v>0</v>
      </c>
      <c r="AH236" s="1566"/>
      <c r="AI236" s="1566"/>
      <c r="AJ236" s="1566"/>
      <c r="AK236" s="1566"/>
    </row>
    <row r="237" spans="2:38" ht="9.4" customHeight="1">
      <c r="B237" s="1568" t="s">
        <v>1326</v>
      </c>
      <c r="C237" s="1568"/>
      <c r="D237" s="1568"/>
      <c r="E237" s="1568" t="s">
        <v>1478</v>
      </c>
      <c r="F237" s="1568"/>
      <c r="G237" s="1568"/>
      <c r="H237" s="1568"/>
      <c r="J237" s="1568" t="s">
        <v>2088</v>
      </c>
      <c r="K237" s="1568"/>
      <c r="L237" s="1568"/>
      <c r="M237" s="1566">
        <v>12766.59</v>
      </c>
      <c r="N237" s="1566"/>
      <c r="O237" s="1566"/>
      <c r="P237" s="1566">
        <v>0</v>
      </c>
      <c r="Q237" s="1566"/>
      <c r="R237" s="1566"/>
      <c r="S237" s="1566">
        <v>3011.86</v>
      </c>
      <c r="T237" s="1566"/>
      <c r="U237" s="1566"/>
      <c r="V237" s="1566"/>
      <c r="W237" s="1566">
        <v>3011.86</v>
      </c>
      <c r="X237" s="1566"/>
      <c r="Y237" s="1566"/>
      <c r="Z237" s="1566"/>
      <c r="AA237" s="1566">
        <v>12766.59</v>
      </c>
      <c r="AB237" s="1566"/>
      <c r="AC237" s="1566"/>
      <c r="AD237" s="1566"/>
      <c r="AE237" s="1566"/>
      <c r="AF237" s="1566"/>
      <c r="AG237" s="1566">
        <v>0</v>
      </c>
      <c r="AH237" s="1566"/>
      <c r="AI237" s="1566"/>
      <c r="AJ237" s="1566"/>
      <c r="AK237" s="1566"/>
    </row>
    <row r="238" spans="2:38" ht="6.2" customHeight="1"/>
    <row r="239" spans="2:38" ht="14.1" customHeight="1">
      <c r="AG239" s="1565" t="s">
        <v>2067</v>
      </c>
      <c r="AH239" s="1565"/>
      <c r="AI239" s="1565"/>
      <c r="AJ239" s="1565"/>
      <c r="AK239" s="1565"/>
      <c r="AL239" s="1565"/>
    </row>
    <row r="240" spans="2:38" ht="7.15" customHeight="1">
      <c r="D240" s="1578" t="s">
        <v>2992</v>
      </c>
      <c r="E240" s="1578"/>
      <c r="F240" s="1578"/>
      <c r="G240" s="1578"/>
      <c r="H240" s="1578"/>
      <c r="I240" s="1578"/>
      <c r="J240" s="1578"/>
      <c r="K240" s="1578"/>
      <c r="L240" s="1578"/>
      <c r="M240" s="1578"/>
      <c r="N240" s="1578"/>
      <c r="O240" s="1578"/>
      <c r="P240" s="1578"/>
      <c r="Q240" s="1578"/>
      <c r="R240" s="1578"/>
      <c r="S240" s="1578"/>
      <c r="T240" s="1578"/>
      <c r="U240" s="1578"/>
      <c r="V240" s="1578"/>
      <c r="W240" s="1578"/>
      <c r="X240" s="1578"/>
      <c r="Y240" s="1578"/>
      <c r="Z240" s="1578"/>
      <c r="AA240" s="1578"/>
      <c r="AB240" s="1578"/>
      <c r="AC240" s="1578"/>
      <c r="AD240" s="1578"/>
      <c r="AE240" s="1578"/>
      <c r="AF240" s="1578"/>
      <c r="AG240" s="1578"/>
      <c r="AH240" s="1578"/>
    </row>
    <row r="241" spans="1:38" ht="9.6" customHeight="1">
      <c r="A241" s="1579"/>
      <c r="B241" s="1579"/>
      <c r="C241" s="1579"/>
      <c r="D241" s="1579"/>
      <c r="E241" s="1579"/>
      <c r="F241" s="1579"/>
      <c r="G241" s="1579"/>
      <c r="H241" s="1579"/>
      <c r="I241" s="1579"/>
      <c r="J241" s="1578"/>
      <c r="K241" s="1578"/>
      <c r="L241" s="1578"/>
      <c r="M241" s="1578"/>
      <c r="N241" s="1578"/>
      <c r="O241" s="1578"/>
      <c r="P241" s="1578"/>
      <c r="Q241" s="1578"/>
      <c r="R241" s="1578"/>
      <c r="S241" s="1578"/>
      <c r="T241" s="1578"/>
      <c r="U241" s="1578"/>
      <c r="V241" s="1578"/>
      <c r="W241" s="1578"/>
      <c r="X241" s="1578"/>
      <c r="Y241" s="1578"/>
      <c r="Z241" s="1578"/>
      <c r="AA241" s="1578"/>
      <c r="AB241" s="1578"/>
      <c r="AC241" s="1578"/>
      <c r="AD241" s="1578"/>
      <c r="AE241" s="1578"/>
      <c r="AF241" s="1578"/>
      <c r="AG241" s="1578"/>
      <c r="AH241" s="1578"/>
    </row>
    <row r="242" spans="1:38" ht="13.35" customHeight="1">
      <c r="A242" s="1579"/>
      <c r="B242" s="1579"/>
      <c r="C242" s="1579"/>
      <c r="D242" s="1579"/>
      <c r="E242" s="1579"/>
      <c r="F242" s="1579"/>
      <c r="G242" s="1579"/>
      <c r="H242" s="1579"/>
      <c r="I242" s="1579"/>
      <c r="J242" s="1580" t="s">
        <v>79</v>
      </c>
      <c r="K242" s="1580"/>
      <c r="L242" s="1580"/>
      <c r="M242" s="1580"/>
      <c r="N242" s="1580"/>
      <c r="O242" s="1580"/>
      <c r="P242" s="1580"/>
      <c r="Q242" s="1580"/>
      <c r="R242" s="1580"/>
      <c r="S242" s="1580"/>
      <c r="T242" s="1580"/>
      <c r="U242" s="1580"/>
      <c r="V242" s="1580"/>
      <c r="W242" s="1580"/>
      <c r="X242" s="1580"/>
      <c r="Y242" s="1580"/>
      <c r="Z242" s="1580"/>
      <c r="AA242" s="1580"/>
      <c r="AB242" s="1580"/>
      <c r="AC242" s="1580"/>
      <c r="AD242" s="1580"/>
      <c r="AE242" s="1580"/>
      <c r="AF242" s="1580"/>
    </row>
    <row r="243" spans="1:38" ht="5.25" customHeight="1">
      <c r="A243" s="1579"/>
      <c r="B243" s="1579"/>
      <c r="C243" s="1579"/>
      <c r="D243" s="1579"/>
      <c r="E243" s="1579"/>
      <c r="F243" s="1579"/>
      <c r="G243" s="1579"/>
      <c r="H243" s="1579"/>
      <c r="I243" s="1579"/>
      <c r="J243" s="1573" t="s">
        <v>6760</v>
      </c>
      <c r="K243" s="1573"/>
      <c r="L243" s="1573"/>
      <c r="M243" s="1573"/>
      <c r="N243" s="1573"/>
      <c r="O243" s="1573"/>
      <c r="P243" s="1573"/>
      <c r="Q243" s="1573"/>
      <c r="R243" s="1573"/>
      <c r="S243" s="1573"/>
      <c r="T243" s="1573"/>
      <c r="U243" s="1573"/>
      <c r="V243" s="1573"/>
      <c r="W243" s="1573"/>
      <c r="X243" s="1573"/>
      <c r="Y243" s="1573"/>
      <c r="Z243" s="1573"/>
      <c r="AA243" s="1573"/>
      <c r="AB243" s="1573"/>
      <c r="AC243" s="1573"/>
      <c r="AD243" s="1573"/>
      <c r="AE243" s="1573"/>
    </row>
    <row r="244" spans="1:38" ht="8.1" customHeight="1">
      <c r="C244" s="1572" t="s">
        <v>1920</v>
      </c>
      <c r="D244" s="1572"/>
      <c r="E244" s="1572"/>
      <c r="F244" s="1572"/>
      <c r="G244" s="1572"/>
      <c r="H244" s="1572"/>
      <c r="I244" s="1572"/>
      <c r="J244" s="1572"/>
      <c r="K244" s="1573"/>
      <c r="L244" s="1573"/>
      <c r="M244" s="1573"/>
      <c r="N244" s="1573"/>
      <c r="O244" s="1573"/>
      <c r="P244" s="1573"/>
      <c r="Q244" s="1573"/>
      <c r="R244" s="1573"/>
      <c r="S244" s="1573"/>
      <c r="T244" s="1573"/>
      <c r="U244" s="1573"/>
      <c r="V244" s="1573"/>
      <c r="W244" s="1573"/>
      <c r="X244" s="1573"/>
      <c r="Y244" s="1574" t="s">
        <v>5920</v>
      </c>
      <c r="Z244" s="1574"/>
      <c r="AA244" s="1574"/>
      <c r="AB244" s="1574"/>
      <c r="AC244" s="1574"/>
      <c r="AD244" s="1574"/>
      <c r="AE244" s="1574"/>
      <c r="AF244" s="1574"/>
      <c r="AG244" s="1574"/>
      <c r="AH244" s="1575" t="s">
        <v>6761</v>
      </c>
      <c r="AI244" s="1575"/>
      <c r="AJ244" s="1575"/>
      <c r="AK244" s="1575"/>
      <c r="AL244" s="1575"/>
    </row>
    <row r="245" spans="1:38" ht="6" customHeight="1">
      <c r="C245" s="1572"/>
      <c r="D245" s="1572"/>
      <c r="E245" s="1572"/>
      <c r="F245" s="1572"/>
      <c r="G245" s="1572"/>
      <c r="H245" s="1572"/>
      <c r="I245" s="1572"/>
      <c r="J245" s="1572"/>
      <c r="K245" s="1576" t="s">
        <v>1999</v>
      </c>
      <c r="L245" s="1576"/>
      <c r="M245" s="1576"/>
      <c r="N245" s="1576"/>
      <c r="O245" s="1576"/>
      <c r="P245" s="1576"/>
      <c r="Q245" s="1576"/>
      <c r="R245" s="1576"/>
      <c r="S245" s="1576"/>
      <c r="T245" s="1576"/>
      <c r="U245" s="1576"/>
      <c r="V245" s="1576"/>
      <c r="W245" s="1576"/>
      <c r="X245" s="1576"/>
      <c r="Y245" s="1574"/>
      <c r="Z245" s="1574"/>
      <c r="AA245" s="1574"/>
      <c r="AB245" s="1574"/>
      <c r="AC245" s="1574"/>
      <c r="AD245" s="1574"/>
      <c r="AE245" s="1574"/>
      <c r="AF245" s="1574"/>
      <c r="AG245" s="1574"/>
      <c r="AH245" s="1575"/>
      <c r="AI245" s="1575"/>
      <c r="AJ245" s="1575"/>
      <c r="AK245" s="1575"/>
      <c r="AL245" s="1575"/>
    </row>
    <row r="246" spans="1:38" ht="7.35" customHeight="1">
      <c r="C246" s="1572" t="s">
        <v>1998</v>
      </c>
      <c r="D246" s="1572"/>
      <c r="E246" s="1572"/>
      <c r="F246" s="1572"/>
      <c r="G246" s="1577"/>
      <c r="H246" s="1577"/>
      <c r="I246" s="1577"/>
      <c r="J246" s="1577"/>
      <c r="K246" s="1577"/>
      <c r="L246" s="1577"/>
      <c r="M246" s="1577"/>
      <c r="N246" s="1577"/>
      <c r="O246" s="1577"/>
      <c r="P246" s="1577"/>
      <c r="Q246" s="1577"/>
      <c r="R246" s="1577"/>
      <c r="S246" s="1577"/>
      <c r="T246" s="1577"/>
      <c r="U246" s="1577"/>
      <c r="V246" s="1577"/>
      <c r="W246" s="1577"/>
      <c r="X246" s="1577"/>
      <c r="Y246" s="1577"/>
      <c r="Z246" s="1577"/>
      <c r="AA246" s="1577"/>
      <c r="AB246" s="1577"/>
      <c r="AC246" s="1577"/>
      <c r="AD246" s="1577"/>
      <c r="AE246" s="1577"/>
      <c r="AF246" s="1574"/>
      <c r="AG246" s="1574"/>
      <c r="AH246" s="1574" t="s">
        <v>6762</v>
      </c>
      <c r="AI246" s="1574"/>
    </row>
    <row r="247" spans="1:38" ht="6.75" customHeight="1">
      <c r="G247" s="1577"/>
      <c r="H247" s="1577"/>
      <c r="I247" s="1577"/>
      <c r="J247" s="1577"/>
      <c r="K247" s="1577"/>
      <c r="L247" s="1577"/>
      <c r="M247" s="1577"/>
      <c r="N247" s="1577"/>
      <c r="O247" s="1577"/>
      <c r="P247" s="1577"/>
      <c r="Q247" s="1577"/>
      <c r="R247" s="1577"/>
      <c r="S247" s="1577"/>
      <c r="T247" s="1577"/>
      <c r="U247" s="1577"/>
      <c r="V247" s="1577"/>
      <c r="W247" s="1577"/>
      <c r="X247" s="1577"/>
      <c r="Y247" s="1577"/>
      <c r="Z247" s="1577"/>
      <c r="AA247" s="1577"/>
      <c r="AB247" s="1577"/>
      <c r="AC247" s="1577"/>
      <c r="AD247" s="1577"/>
      <c r="AE247" s="1577"/>
      <c r="AF247" s="1574"/>
      <c r="AG247" s="1574"/>
      <c r="AH247" s="1574"/>
      <c r="AI247" s="1574"/>
    </row>
    <row r="248" spans="1:38" ht="11.25" customHeight="1">
      <c r="O248" s="1570" t="s">
        <v>1318</v>
      </c>
      <c r="P248" s="1570"/>
      <c r="Q248" s="1570"/>
      <c r="V248" s="1570" t="s">
        <v>1319</v>
      </c>
      <c r="W248" s="1570"/>
      <c r="X248" s="1570"/>
      <c r="Y248" s="1570"/>
      <c r="AD248" s="1570" t="s">
        <v>1320</v>
      </c>
      <c r="AE248" s="1570"/>
      <c r="AF248" s="1570"/>
      <c r="AG248" s="1570"/>
      <c r="AH248" s="1570"/>
      <c r="AI248" s="1570"/>
      <c r="AJ248" s="1570"/>
    </row>
    <row r="249" spans="1:38" ht="8.4499999999999993" customHeight="1">
      <c r="B249" s="1571" t="s">
        <v>1321</v>
      </c>
      <c r="C249" s="1571"/>
      <c r="D249" s="1571"/>
      <c r="E249" s="1571" t="s">
        <v>1322</v>
      </c>
      <c r="F249" s="1571"/>
      <c r="G249" s="1571"/>
      <c r="J249" s="1571" t="s">
        <v>1323</v>
      </c>
      <c r="K249" s="1571"/>
      <c r="L249" s="1571"/>
      <c r="M249" s="1571"/>
      <c r="N249" s="1571"/>
      <c r="O249" s="1402" t="s">
        <v>1324</v>
      </c>
      <c r="Q249" s="1569" t="s">
        <v>1325</v>
      </c>
      <c r="R249" s="1569"/>
      <c r="U249" s="1569" t="s">
        <v>1324</v>
      </c>
      <c r="V249" s="1569"/>
      <c r="X249" s="1569" t="s">
        <v>1325</v>
      </c>
      <c r="Y249" s="1569"/>
      <c r="Z249" s="1569"/>
      <c r="AC249" s="1569" t="s">
        <v>1324</v>
      </c>
      <c r="AD249" s="1569"/>
      <c r="AE249" s="1569"/>
      <c r="AF249" s="1569"/>
      <c r="AH249" s="1569" t="s">
        <v>1325</v>
      </c>
      <c r="AI249" s="1569"/>
      <c r="AJ249" s="1569"/>
      <c r="AK249" s="1569"/>
    </row>
    <row r="250" spans="1:38" ht="9.9499999999999993" customHeight="1">
      <c r="B250" s="1568" t="s">
        <v>1326</v>
      </c>
      <c r="C250" s="1568"/>
      <c r="D250" s="1568"/>
      <c r="E250" s="1568" t="s">
        <v>1479</v>
      </c>
      <c r="F250" s="1568"/>
      <c r="G250" s="1568"/>
      <c r="H250" s="1568"/>
      <c r="J250" s="1568" t="s">
        <v>2089</v>
      </c>
      <c r="K250" s="1568"/>
      <c r="L250" s="1568"/>
      <c r="M250" s="1566">
        <v>11857.65</v>
      </c>
      <c r="N250" s="1566"/>
      <c r="O250" s="1566"/>
      <c r="P250" s="1566">
        <v>0</v>
      </c>
      <c r="Q250" s="1566"/>
      <c r="R250" s="1566"/>
      <c r="S250" s="1566">
        <v>20903.240000000002</v>
      </c>
      <c r="T250" s="1566"/>
      <c r="U250" s="1566"/>
      <c r="V250" s="1566"/>
      <c r="W250" s="1566">
        <v>22503.69</v>
      </c>
      <c r="X250" s="1566"/>
      <c r="Y250" s="1566"/>
      <c r="Z250" s="1566"/>
      <c r="AA250" s="1566">
        <v>10257.200000000001</v>
      </c>
      <c r="AB250" s="1566"/>
      <c r="AC250" s="1566"/>
      <c r="AD250" s="1566"/>
      <c r="AE250" s="1566"/>
      <c r="AF250" s="1566"/>
      <c r="AG250" s="1566">
        <v>0</v>
      </c>
      <c r="AH250" s="1566"/>
      <c r="AI250" s="1566"/>
      <c r="AJ250" s="1566"/>
      <c r="AK250" s="1566"/>
    </row>
    <row r="251" spans="1:38" ht="9.4" customHeight="1">
      <c r="B251" s="1568" t="s">
        <v>1326</v>
      </c>
      <c r="C251" s="1568"/>
      <c r="D251" s="1568"/>
      <c r="E251" s="1568" t="s">
        <v>1480</v>
      </c>
      <c r="F251" s="1568"/>
      <c r="G251" s="1568"/>
      <c r="H251" s="1568"/>
      <c r="J251" s="1568" t="s">
        <v>2090</v>
      </c>
      <c r="K251" s="1568"/>
      <c r="L251" s="1568"/>
      <c r="M251" s="1566">
        <v>8688.9500000000007</v>
      </c>
      <c r="N251" s="1566"/>
      <c r="O251" s="1566"/>
      <c r="P251" s="1566">
        <v>0</v>
      </c>
      <c r="Q251" s="1566"/>
      <c r="R251" s="1566"/>
      <c r="S251" s="1566">
        <v>4650.26</v>
      </c>
      <c r="T251" s="1566"/>
      <c r="U251" s="1566"/>
      <c r="V251" s="1566"/>
      <c r="W251" s="1566">
        <v>3858.32</v>
      </c>
      <c r="X251" s="1566"/>
      <c r="Y251" s="1566"/>
      <c r="Z251" s="1566"/>
      <c r="AA251" s="1566">
        <v>9480.89</v>
      </c>
      <c r="AB251" s="1566"/>
      <c r="AC251" s="1566"/>
      <c r="AD251" s="1566"/>
      <c r="AE251" s="1566"/>
      <c r="AF251" s="1566"/>
      <c r="AG251" s="1566">
        <v>0</v>
      </c>
      <c r="AH251" s="1566"/>
      <c r="AI251" s="1566"/>
      <c r="AJ251" s="1566"/>
      <c r="AK251" s="1566"/>
    </row>
    <row r="252" spans="1:38" ht="9.4" customHeight="1">
      <c r="B252" s="1568" t="s">
        <v>1326</v>
      </c>
      <c r="C252" s="1568"/>
      <c r="D252" s="1568"/>
      <c r="E252" s="1568" t="s">
        <v>1481</v>
      </c>
      <c r="F252" s="1568"/>
      <c r="G252" s="1568"/>
      <c r="H252" s="1568"/>
      <c r="J252" s="1568" t="s">
        <v>2091</v>
      </c>
      <c r="K252" s="1568"/>
      <c r="L252" s="1568"/>
      <c r="M252" s="1566">
        <v>74.83</v>
      </c>
      <c r="N252" s="1566"/>
      <c r="O252" s="1566"/>
      <c r="P252" s="1566">
        <v>0</v>
      </c>
      <c r="Q252" s="1566"/>
      <c r="R252" s="1566"/>
      <c r="S252" s="1566">
        <v>0</v>
      </c>
      <c r="T252" s="1566"/>
      <c r="U252" s="1566"/>
      <c r="V252" s="1566"/>
      <c r="W252" s="1566">
        <v>0</v>
      </c>
      <c r="X252" s="1566"/>
      <c r="Y252" s="1566"/>
      <c r="Z252" s="1566"/>
      <c r="AA252" s="1566">
        <v>74.83</v>
      </c>
      <c r="AB252" s="1566"/>
      <c r="AC252" s="1566"/>
      <c r="AD252" s="1566"/>
      <c r="AE252" s="1566"/>
      <c r="AF252" s="1566"/>
      <c r="AG252" s="1566">
        <v>0</v>
      </c>
      <c r="AH252" s="1566"/>
      <c r="AI252" s="1566"/>
      <c r="AJ252" s="1566"/>
      <c r="AK252" s="1566"/>
    </row>
    <row r="253" spans="1:38" ht="9.4" customHeight="1">
      <c r="B253" s="1568" t="s">
        <v>1326</v>
      </c>
      <c r="C253" s="1568"/>
      <c r="D253" s="1568"/>
      <c r="E253" s="1568" t="s">
        <v>1482</v>
      </c>
      <c r="F253" s="1568"/>
      <c r="G253" s="1568"/>
      <c r="H253" s="1568"/>
      <c r="J253" s="1568" t="s">
        <v>2092</v>
      </c>
      <c r="K253" s="1568"/>
      <c r="L253" s="1568"/>
      <c r="M253" s="1566">
        <v>2823.8</v>
      </c>
      <c r="N253" s="1566"/>
      <c r="O253" s="1566"/>
      <c r="P253" s="1566">
        <v>0</v>
      </c>
      <c r="Q253" s="1566"/>
      <c r="R253" s="1566"/>
      <c r="S253" s="1566">
        <v>1357.22</v>
      </c>
      <c r="T253" s="1566"/>
      <c r="U253" s="1566"/>
      <c r="V253" s="1566"/>
      <c r="W253" s="1566">
        <v>0</v>
      </c>
      <c r="X253" s="1566"/>
      <c r="Y253" s="1566"/>
      <c r="Z253" s="1566"/>
      <c r="AA253" s="1566">
        <v>4181.0200000000004</v>
      </c>
      <c r="AB253" s="1566"/>
      <c r="AC253" s="1566"/>
      <c r="AD253" s="1566"/>
      <c r="AE253" s="1566"/>
      <c r="AF253" s="1566"/>
      <c r="AG253" s="1566">
        <v>0</v>
      </c>
      <c r="AH253" s="1566"/>
      <c r="AI253" s="1566"/>
      <c r="AJ253" s="1566"/>
      <c r="AK253" s="1566"/>
    </row>
    <row r="254" spans="1:38" ht="9.4" customHeight="1">
      <c r="B254" s="1568" t="s">
        <v>1326</v>
      </c>
      <c r="C254" s="1568"/>
      <c r="D254" s="1568"/>
      <c r="E254" s="1568" t="s">
        <v>1483</v>
      </c>
      <c r="F254" s="1568"/>
      <c r="G254" s="1568"/>
      <c r="H254" s="1568"/>
      <c r="J254" s="1568" t="s">
        <v>2093</v>
      </c>
      <c r="K254" s="1568"/>
      <c r="L254" s="1568"/>
      <c r="M254" s="1566">
        <v>0</v>
      </c>
      <c r="N254" s="1566"/>
      <c r="O254" s="1566"/>
      <c r="P254" s="1566">
        <v>0</v>
      </c>
      <c r="Q254" s="1566"/>
      <c r="R254" s="1566"/>
      <c r="S254" s="1566">
        <v>1084.6500000000001</v>
      </c>
      <c r="T254" s="1566"/>
      <c r="U254" s="1566"/>
      <c r="V254" s="1566"/>
      <c r="W254" s="1566">
        <v>1084.6500000000001</v>
      </c>
      <c r="X254" s="1566"/>
      <c r="Y254" s="1566"/>
      <c r="Z254" s="1566"/>
      <c r="AA254" s="1566">
        <v>0</v>
      </c>
      <c r="AB254" s="1566"/>
      <c r="AC254" s="1566"/>
      <c r="AD254" s="1566"/>
      <c r="AE254" s="1566"/>
      <c r="AF254" s="1566"/>
      <c r="AG254" s="1566">
        <v>0</v>
      </c>
      <c r="AH254" s="1566"/>
      <c r="AI254" s="1566"/>
      <c r="AJ254" s="1566"/>
      <c r="AK254" s="1566"/>
    </row>
    <row r="255" spans="1:38" ht="9.4" customHeight="1">
      <c r="B255" s="1568" t="s">
        <v>1326</v>
      </c>
      <c r="C255" s="1568"/>
      <c r="D255" s="1568"/>
      <c r="E255" s="1568" t="s">
        <v>1484</v>
      </c>
      <c r="F255" s="1568"/>
      <c r="G255" s="1568"/>
      <c r="H255" s="1568"/>
      <c r="J255" s="1568" t="s">
        <v>2094</v>
      </c>
      <c r="K255" s="1568"/>
      <c r="L255" s="1568"/>
      <c r="M255" s="1566">
        <v>949.55</v>
      </c>
      <c r="N255" s="1566"/>
      <c r="O255" s="1566"/>
      <c r="P255" s="1566">
        <v>0</v>
      </c>
      <c r="Q255" s="1566"/>
      <c r="R255" s="1566"/>
      <c r="S255" s="1566">
        <v>326.79000000000002</v>
      </c>
      <c r="T255" s="1566"/>
      <c r="U255" s="1566"/>
      <c r="V255" s="1566"/>
      <c r="W255" s="1566">
        <v>326.79000000000002</v>
      </c>
      <c r="X255" s="1566"/>
      <c r="Y255" s="1566"/>
      <c r="Z255" s="1566"/>
      <c r="AA255" s="1566">
        <v>949.55</v>
      </c>
      <c r="AB255" s="1566"/>
      <c r="AC255" s="1566"/>
      <c r="AD255" s="1566"/>
      <c r="AE255" s="1566"/>
      <c r="AF255" s="1566"/>
      <c r="AG255" s="1566">
        <v>0</v>
      </c>
      <c r="AH255" s="1566"/>
      <c r="AI255" s="1566"/>
      <c r="AJ255" s="1566"/>
      <c r="AK255" s="1566"/>
    </row>
    <row r="256" spans="1:38" ht="9.4" customHeight="1">
      <c r="B256" s="1568" t="s">
        <v>1326</v>
      </c>
      <c r="C256" s="1568"/>
      <c r="D256" s="1568"/>
      <c r="E256" s="1568" t="s">
        <v>1485</v>
      </c>
      <c r="F256" s="1568"/>
      <c r="G256" s="1568"/>
      <c r="H256" s="1568"/>
      <c r="J256" s="1568" t="s">
        <v>2095</v>
      </c>
      <c r="K256" s="1568"/>
      <c r="L256" s="1568"/>
      <c r="M256" s="1566">
        <v>822.54</v>
      </c>
      <c r="N256" s="1566"/>
      <c r="O256" s="1566"/>
      <c r="P256" s="1566">
        <v>0</v>
      </c>
      <c r="Q256" s="1566"/>
      <c r="R256" s="1566"/>
      <c r="S256" s="1566">
        <v>424.14</v>
      </c>
      <c r="T256" s="1566"/>
      <c r="U256" s="1566"/>
      <c r="V256" s="1566"/>
      <c r="W256" s="1566">
        <v>424.14</v>
      </c>
      <c r="X256" s="1566"/>
      <c r="Y256" s="1566"/>
      <c r="Z256" s="1566"/>
      <c r="AA256" s="1566">
        <v>822.54</v>
      </c>
      <c r="AB256" s="1566"/>
      <c r="AC256" s="1566"/>
      <c r="AD256" s="1566"/>
      <c r="AE256" s="1566"/>
      <c r="AF256" s="1566"/>
      <c r="AG256" s="1566">
        <v>0</v>
      </c>
      <c r="AH256" s="1566"/>
      <c r="AI256" s="1566"/>
      <c r="AJ256" s="1566"/>
      <c r="AK256" s="1566"/>
    </row>
    <row r="257" spans="2:37" ht="9.4" customHeight="1">
      <c r="B257" s="1568" t="s">
        <v>1326</v>
      </c>
      <c r="C257" s="1568"/>
      <c r="D257" s="1568"/>
      <c r="E257" s="1568" t="s">
        <v>1486</v>
      </c>
      <c r="F257" s="1568"/>
      <c r="G257" s="1568"/>
      <c r="H257" s="1568"/>
      <c r="J257" s="1568" t="s">
        <v>2096</v>
      </c>
      <c r="K257" s="1568"/>
      <c r="L257" s="1568"/>
      <c r="M257" s="1566">
        <v>589.04999999999995</v>
      </c>
      <c r="N257" s="1566"/>
      <c r="O257" s="1566"/>
      <c r="P257" s="1566">
        <v>0</v>
      </c>
      <c r="Q257" s="1566"/>
      <c r="R257" s="1566"/>
      <c r="S257" s="1566">
        <v>0</v>
      </c>
      <c r="T257" s="1566"/>
      <c r="U257" s="1566"/>
      <c r="V257" s="1566"/>
      <c r="W257" s="1566">
        <v>0</v>
      </c>
      <c r="X257" s="1566"/>
      <c r="Y257" s="1566"/>
      <c r="Z257" s="1566"/>
      <c r="AA257" s="1566">
        <v>589.04999999999995</v>
      </c>
      <c r="AB257" s="1566"/>
      <c r="AC257" s="1566"/>
      <c r="AD257" s="1566"/>
      <c r="AE257" s="1566"/>
      <c r="AF257" s="1566"/>
      <c r="AG257" s="1566">
        <v>0</v>
      </c>
      <c r="AH257" s="1566"/>
      <c r="AI257" s="1566"/>
      <c r="AJ257" s="1566"/>
      <c r="AK257" s="1566"/>
    </row>
    <row r="258" spans="2:37" ht="9.4" customHeight="1">
      <c r="B258" s="1568" t="s">
        <v>1326</v>
      </c>
      <c r="C258" s="1568"/>
      <c r="D258" s="1568"/>
      <c r="E258" s="1568" t="s">
        <v>1487</v>
      </c>
      <c r="F258" s="1568"/>
      <c r="G258" s="1568"/>
      <c r="H258" s="1568"/>
      <c r="J258" s="1568" t="s">
        <v>2097</v>
      </c>
      <c r="K258" s="1568"/>
      <c r="L258" s="1568"/>
      <c r="M258" s="1566">
        <v>5544.87</v>
      </c>
      <c r="N258" s="1566"/>
      <c r="O258" s="1566"/>
      <c r="P258" s="1566">
        <v>0</v>
      </c>
      <c r="Q258" s="1566"/>
      <c r="R258" s="1566"/>
      <c r="S258" s="1566">
        <v>0</v>
      </c>
      <c r="T258" s="1566"/>
      <c r="U258" s="1566"/>
      <c r="V258" s="1566"/>
      <c r="W258" s="1566">
        <v>0</v>
      </c>
      <c r="X258" s="1566"/>
      <c r="Y258" s="1566"/>
      <c r="Z258" s="1566"/>
      <c r="AA258" s="1566">
        <v>5544.87</v>
      </c>
      <c r="AB258" s="1566"/>
      <c r="AC258" s="1566"/>
      <c r="AD258" s="1566"/>
      <c r="AE258" s="1566"/>
      <c r="AF258" s="1566"/>
      <c r="AG258" s="1566">
        <v>0</v>
      </c>
      <c r="AH258" s="1566"/>
      <c r="AI258" s="1566"/>
      <c r="AJ258" s="1566"/>
      <c r="AK258" s="1566"/>
    </row>
    <row r="259" spans="2:37" ht="9.4" customHeight="1">
      <c r="B259" s="1568" t="s">
        <v>1326</v>
      </c>
      <c r="C259" s="1568"/>
      <c r="D259" s="1568"/>
      <c r="E259" s="1568" t="s">
        <v>1488</v>
      </c>
      <c r="F259" s="1568"/>
      <c r="G259" s="1568"/>
      <c r="H259" s="1568"/>
      <c r="J259" s="1568" t="s">
        <v>2098</v>
      </c>
      <c r="K259" s="1568"/>
      <c r="L259" s="1568"/>
      <c r="M259" s="1566">
        <v>828.2</v>
      </c>
      <c r="N259" s="1566"/>
      <c r="O259" s="1566"/>
      <c r="P259" s="1566">
        <v>0</v>
      </c>
      <c r="Q259" s="1566"/>
      <c r="R259" s="1566"/>
      <c r="S259" s="1566">
        <v>156.04</v>
      </c>
      <c r="T259" s="1566"/>
      <c r="U259" s="1566"/>
      <c r="V259" s="1566"/>
      <c r="W259" s="1566">
        <v>0</v>
      </c>
      <c r="X259" s="1566"/>
      <c r="Y259" s="1566"/>
      <c r="Z259" s="1566"/>
      <c r="AA259" s="1566">
        <v>984.24</v>
      </c>
      <c r="AB259" s="1566"/>
      <c r="AC259" s="1566"/>
      <c r="AD259" s="1566"/>
      <c r="AE259" s="1566"/>
      <c r="AF259" s="1566"/>
      <c r="AG259" s="1566">
        <v>0</v>
      </c>
      <c r="AH259" s="1566"/>
      <c r="AI259" s="1566"/>
      <c r="AJ259" s="1566"/>
      <c r="AK259" s="1566"/>
    </row>
    <row r="260" spans="2:37" ht="9.4" customHeight="1">
      <c r="B260" s="1568" t="s">
        <v>1326</v>
      </c>
      <c r="C260" s="1568"/>
      <c r="D260" s="1568"/>
      <c r="E260" s="1568" t="s">
        <v>1489</v>
      </c>
      <c r="F260" s="1568"/>
      <c r="G260" s="1568"/>
      <c r="H260" s="1568"/>
      <c r="J260" s="1568" t="s">
        <v>2099</v>
      </c>
      <c r="K260" s="1568"/>
      <c r="L260" s="1568"/>
      <c r="M260" s="1566">
        <v>144080</v>
      </c>
      <c r="N260" s="1566"/>
      <c r="O260" s="1566"/>
      <c r="P260" s="1566">
        <v>0</v>
      </c>
      <c r="Q260" s="1566"/>
      <c r="R260" s="1566"/>
      <c r="S260" s="1566">
        <v>70464.08</v>
      </c>
      <c r="T260" s="1566"/>
      <c r="U260" s="1566"/>
      <c r="V260" s="1566"/>
      <c r="W260" s="1566">
        <v>0</v>
      </c>
      <c r="X260" s="1566"/>
      <c r="Y260" s="1566"/>
      <c r="Z260" s="1566"/>
      <c r="AA260" s="1566">
        <v>214544.08</v>
      </c>
      <c r="AB260" s="1566"/>
      <c r="AC260" s="1566"/>
      <c r="AD260" s="1566"/>
      <c r="AE260" s="1566"/>
      <c r="AF260" s="1566"/>
      <c r="AG260" s="1566">
        <v>0</v>
      </c>
      <c r="AH260" s="1566"/>
      <c r="AI260" s="1566"/>
      <c r="AJ260" s="1566"/>
      <c r="AK260" s="1566"/>
    </row>
    <row r="261" spans="2:37" ht="9.4" customHeight="1">
      <c r="B261" s="1568" t="s">
        <v>1326</v>
      </c>
      <c r="C261" s="1568"/>
      <c r="D261" s="1568"/>
      <c r="E261" s="1568" t="s">
        <v>1490</v>
      </c>
      <c r="F261" s="1568"/>
      <c r="G261" s="1568"/>
      <c r="H261" s="1568"/>
      <c r="J261" s="1568" t="s">
        <v>2100</v>
      </c>
      <c r="K261" s="1568"/>
      <c r="L261" s="1568"/>
      <c r="M261" s="1566">
        <v>2125.7399999999998</v>
      </c>
      <c r="N261" s="1566"/>
      <c r="O261" s="1566"/>
      <c r="P261" s="1566">
        <v>0</v>
      </c>
      <c r="Q261" s="1566"/>
      <c r="R261" s="1566"/>
      <c r="S261" s="1566">
        <v>1218.8499999999999</v>
      </c>
      <c r="T261" s="1566"/>
      <c r="U261" s="1566"/>
      <c r="V261" s="1566"/>
      <c r="W261" s="1566">
        <v>1218.8499999999999</v>
      </c>
      <c r="X261" s="1566"/>
      <c r="Y261" s="1566"/>
      <c r="Z261" s="1566"/>
      <c r="AA261" s="1566">
        <v>2125.7399999999998</v>
      </c>
      <c r="AB261" s="1566"/>
      <c r="AC261" s="1566"/>
      <c r="AD261" s="1566"/>
      <c r="AE261" s="1566"/>
      <c r="AF261" s="1566"/>
      <c r="AG261" s="1566">
        <v>0</v>
      </c>
      <c r="AH261" s="1566"/>
      <c r="AI261" s="1566"/>
      <c r="AJ261" s="1566"/>
      <c r="AK261" s="1566"/>
    </row>
    <row r="262" spans="2:37" ht="9.4" customHeight="1">
      <c r="B262" s="1568" t="s">
        <v>1326</v>
      </c>
      <c r="C262" s="1568"/>
      <c r="D262" s="1568"/>
      <c r="E262" s="1568" t="s">
        <v>1491</v>
      </c>
      <c r="F262" s="1568"/>
      <c r="G262" s="1568"/>
      <c r="H262" s="1568"/>
      <c r="J262" s="1568" t="s">
        <v>1961</v>
      </c>
      <c r="K262" s="1568"/>
      <c r="L262" s="1568"/>
      <c r="M262" s="1566">
        <v>2957.26</v>
      </c>
      <c r="N262" s="1566"/>
      <c r="O262" s="1566"/>
      <c r="P262" s="1566">
        <v>0</v>
      </c>
      <c r="Q262" s="1566"/>
      <c r="R262" s="1566"/>
      <c r="S262" s="1566">
        <v>3115.83</v>
      </c>
      <c r="T262" s="1566"/>
      <c r="U262" s="1566"/>
      <c r="V262" s="1566"/>
      <c r="W262" s="1566">
        <v>6073.09</v>
      </c>
      <c r="X262" s="1566"/>
      <c r="Y262" s="1566"/>
      <c r="Z262" s="1566"/>
      <c r="AA262" s="1566">
        <v>0</v>
      </c>
      <c r="AB262" s="1566"/>
      <c r="AC262" s="1566"/>
      <c r="AD262" s="1566"/>
      <c r="AE262" s="1566"/>
      <c r="AF262" s="1566"/>
      <c r="AG262" s="1566">
        <v>0</v>
      </c>
      <c r="AH262" s="1566"/>
      <c r="AI262" s="1566"/>
      <c r="AJ262" s="1566"/>
      <c r="AK262" s="1566"/>
    </row>
    <row r="263" spans="2:37" ht="9.4" customHeight="1">
      <c r="B263" s="1568" t="s">
        <v>1326</v>
      </c>
      <c r="C263" s="1568"/>
      <c r="D263" s="1568"/>
      <c r="E263" s="1568" t="s">
        <v>2882</v>
      </c>
      <c r="F263" s="1568"/>
      <c r="G263" s="1568"/>
      <c r="H263" s="1568"/>
      <c r="J263" s="1568" t="s">
        <v>2883</v>
      </c>
      <c r="K263" s="1568"/>
      <c r="L263" s="1568"/>
      <c r="M263" s="1566">
        <v>2408.4499999999998</v>
      </c>
      <c r="N263" s="1566"/>
      <c r="O263" s="1566"/>
      <c r="P263" s="1566">
        <v>0</v>
      </c>
      <c r="Q263" s="1566"/>
      <c r="R263" s="1566"/>
      <c r="S263" s="1566">
        <v>1089.6199999999999</v>
      </c>
      <c r="T263" s="1566"/>
      <c r="U263" s="1566"/>
      <c r="V263" s="1566"/>
      <c r="W263" s="1566">
        <v>2342.15</v>
      </c>
      <c r="X263" s="1566"/>
      <c r="Y263" s="1566"/>
      <c r="Z263" s="1566"/>
      <c r="AA263" s="1566">
        <v>1155.92</v>
      </c>
      <c r="AB263" s="1566"/>
      <c r="AC263" s="1566"/>
      <c r="AD263" s="1566"/>
      <c r="AE263" s="1566"/>
      <c r="AF263" s="1566"/>
      <c r="AG263" s="1566">
        <v>0</v>
      </c>
      <c r="AH263" s="1566"/>
      <c r="AI263" s="1566"/>
      <c r="AJ263" s="1566"/>
      <c r="AK263" s="1566"/>
    </row>
    <row r="264" spans="2:37" ht="9.4" customHeight="1">
      <c r="B264" s="1568" t="s">
        <v>1326</v>
      </c>
      <c r="C264" s="1568"/>
      <c r="D264" s="1568"/>
      <c r="E264" s="1568" t="s">
        <v>1492</v>
      </c>
      <c r="F264" s="1568"/>
      <c r="G264" s="1568"/>
      <c r="H264" s="1568"/>
      <c r="J264" s="1568" t="s">
        <v>2101</v>
      </c>
      <c r="K264" s="1568"/>
      <c r="L264" s="1568"/>
      <c r="M264" s="1566">
        <v>5580.09</v>
      </c>
      <c r="N264" s="1566"/>
      <c r="O264" s="1566"/>
      <c r="P264" s="1566">
        <v>0</v>
      </c>
      <c r="Q264" s="1566"/>
      <c r="R264" s="1566"/>
      <c r="S264" s="1566">
        <v>1542.65</v>
      </c>
      <c r="T264" s="1566"/>
      <c r="U264" s="1566"/>
      <c r="V264" s="1566"/>
      <c r="W264" s="1566">
        <v>7122.74</v>
      </c>
      <c r="X264" s="1566"/>
      <c r="Y264" s="1566"/>
      <c r="Z264" s="1566"/>
      <c r="AA264" s="1566">
        <v>0</v>
      </c>
      <c r="AB264" s="1566"/>
      <c r="AC264" s="1566"/>
      <c r="AD264" s="1566"/>
      <c r="AE264" s="1566"/>
      <c r="AF264" s="1566"/>
      <c r="AG264" s="1566">
        <v>0</v>
      </c>
      <c r="AH264" s="1566"/>
      <c r="AI264" s="1566"/>
      <c r="AJ264" s="1566"/>
      <c r="AK264" s="1566"/>
    </row>
    <row r="265" spans="2:37" ht="9.4" customHeight="1">
      <c r="B265" s="1568" t="s">
        <v>1326</v>
      </c>
      <c r="C265" s="1568"/>
      <c r="D265" s="1568"/>
      <c r="E265" s="1568" t="s">
        <v>1493</v>
      </c>
      <c r="F265" s="1568"/>
      <c r="G265" s="1568"/>
      <c r="H265" s="1568"/>
      <c r="J265" s="1568" t="s">
        <v>2103</v>
      </c>
      <c r="K265" s="1568"/>
      <c r="L265" s="1568"/>
      <c r="M265" s="1566">
        <v>0</v>
      </c>
      <c r="N265" s="1566"/>
      <c r="O265" s="1566"/>
      <c r="P265" s="1566">
        <v>0</v>
      </c>
      <c r="Q265" s="1566"/>
      <c r="R265" s="1566"/>
      <c r="S265" s="1566">
        <v>214.83</v>
      </c>
      <c r="T265" s="1566"/>
      <c r="U265" s="1566"/>
      <c r="V265" s="1566"/>
      <c r="W265" s="1566">
        <v>214.83</v>
      </c>
      <c r="X265" s="1566"/>
      <c r="Y265" s="1566"/>
      <c r="Z265" s="1566"/>
      <c r="AA265" s="1566">
        <v>0</v>
      </c>
      <c r="AB265" s="1566"/>
      <c r="AC265" s="1566"/>
      <c r="AD265" s="1566"/>
      <c r="AE265" s="1566"/>
      <c r="AF265" s="1566"/>
      <c r="AG265" s="1566">
        <v>0</v>
      </c>
      <c r="AH265" s="1566"/>
      <c r="AI265" s="1566"/>
      <c r="AJ265" s="1566"/>
      <c r="AK265" s="1566"/>
    </row>
    <row r="266" spans="2:37" ht="9.4" customHeight="1">
      <c r="B266" s="1568" t="s">
        <v>1326</v>
      </c>
      <c r="C266" s="1568"/>
      <c r="D266" s="1568"/>
      <c r="E266" s="1568" t="s">
        <v>1494</v>
      </c>
      <c r="F266" s="1568"/>
      <c r="G266" s="1568"/>
      <c r="H266" s="1568"/>
      <c r="J266" s="1568" t="s">
        <v>2104</v>
      </c>
      <c r="K266" s="1568"/>
      <c r="L266" s="1568"/>
      <c r="M266" s="1566">
        <v>0</v>
      </c>
      <c r="N266" s="1566"/>
      <c r="O266" s="1566"/>
      <c r="P266" s="1566">
        <v>0</v>
      </c>
      <c r="Q266" s="1566"/>
      <c r="R266" s="1566"/>
      <c r="S266" s="1566">
        <v>124949.14</v>
      </c>
      <c r="T266" s="1566"/>
      <c r="U266" s="1566"/>
      <c r="V266" s="1566"/>
      <c r="W266" s="1566">
        <v>124949.14</v>
      </c>
      <c r="X266" s="1566"/>
      <c r="Y266" s="1566"/>
      <c r="Z266" s="1566"/>
      <c r="AA266" s="1566">
        <v>0</v>
      </c>
      <c r="AB266" s="1566"/>
      <c r="AC266" s="1566"/>
      <c r="AD266" s="1566"/>
      <c r="AE266" s="1566"/>
      <c r="AF266" s="1566"/>
      <c r="AG266" s="1566">
        <v>0</v>
      </c>
      <c r="AH266" s="1566"/>
      <c r="AI266" s="1566"/>
      <c r="AJ266" s="1566"/>
      <c r="AK266" s="1566"/>
    </row>
    <row r="267" spans="2:37" ht="9.4" customHeight="1">
      <c r="B267" s="1568" t="s">
        <v>1326</v>
      </c>
      <c r="C267" s="1568"/>
      <c r="D267" s="1568"/>
      <c r="E267" s="1568" t="s">
        <v>3101</v>
      </c>
      <c r="F267" s="1568"/>
      <c r="G267" s="1568"/>
      <c r="H267" s="1568"/>
      <c r="J267" s="1568" t="s">
        <v>3102</v>
      </c>
      <c r="K267" s="1568"/>
      <c r="L267" s="1568"/>
      <c r="M267" s="1566">
        <v>126801.21</v>
      </c>
      <c r="N267" s="1566"/>
      <c r="O267" s="1566"/>
      <c r="P267" s="1566">
        <v>0</v>
      </c>
      <c r="Q267" s="1566"/>
      <c r="R267" s="1566"/>
      <c r="S267" s="1566">
        <v>27611.72</v>
      </c>
      <c r="T267" s="1566"/>
      <c r="U267" s="1566"/>
      <c r="V267" s="1566"/>
      <c r="W267" s="1566">
        <v>154412.93</v>
      </c>
      <c r="X267" s="1566"/>
      <c r="Y267" s="1566"/>
      <c r="Z267" s="1566"/>
      <c r="AA267" s="1566">
        <v>0</v>
      </c>
      <c r="AB267" s="1566"/>
      <c r="AC267" s="1566"/>
      <c r="AD267" s="1566"/>
      <c r="AE267" s="1566"/>
      <c r="AF267" s="1566"/>
      <c r="AG267" s="1566">
        <v>0</v>
      </c>
      <c r="AH267" s="1566"/>
      <c r="AI267" s="1566"/>
      <c r="AJ267" s="1566"/>
      <c r="AK267" s="1566"/>
    </row>
    <row r="268" spans="2:37" ht="9.4" customHeight="1">
      <c r="B268" s="1568" t="s">
        <v>1326</v>
      </c>
      <c r="C268" s="1568"/>
      <c r="D268" s="1568"/>
      <c r="E268" s="1568" t="s">
        <v>1782</v>
      </c>
      <c r="F268" s="1568"/>
      <c r="G268" s="1568"/>
      <c r="H268" s="1568"/>
      <c r="J268" s="1568" t="s">
        <v>2105</v>
      </c>
      <c r="K268" s="1568"/>
      <c r="L268" s="1568"/>
      <c r="M268" s="1566">
        <v>15957.87</v>
      </c>
      <c r="N268" s="1566"/>
      <c r="O268" s="1566"/>
      <c r="P268" s="1566">
        <v>0</v>
      </c>
      <c r="Q268" s="1566"/>
      <c r="R268" s="1566"/>
      <c r="S268" s="1566">
        <v>12710</v>
      </c>
      <c r="T268" s="1566"/>
      <c r="U268" s="1566"/>
      <c r="V268" s="1566"/>
      <c r="W268" s="1566">
        <v>15957.87</v>
      </c>
      <c r="X268" s="1566"/>
      <c r="Y268" s="1566"/>
      <c r="Z268" s="1566"/>
      <c r="AA268" s="1566">
        <v>12710</v>
      </c>
      <c r="AB268" s="1566"/>
      <c r="AC268" s="1566"/>
      <c r="AD268" s="1566"/>
      <c r="AE268" s="1566"/>
      <c r="AF268" s="1566"/>
      <c r="AG268" s="1566">
        <v>0</v>
      </c>
      <c r="AH268" s="1566"/>
      <c r="AI268" s="1566"/>
      <c r="AJ268" s="1566"/>
      <c r="AK268" s="1566"/>
    </row>
    <row r="269" spans="2:37" ht="9.4" customHeight="1">
      <c r="B269" s="1568" t="s">
        <v>1326</v>
      </c>
      <c r="C269" s="1568"/>
      <c r="D269" s="1568"/>
      <c r="E269" s="1568" t="s">
        <v>1495</v>
      </c>
      <c r="F269" s="1568"/>
      <c r="G269" s="1568"/>
      <c r="H269" s="1568"/>
      <c r="J269" s="1568" t="s">
        <v>2106</v>
      </c>
      <c r="K269" s="1568"/>
      <c r="L269" s="1568"/>
      <c r="M269" s="1566">
        <v>12582.06</v>
      </c>
      <c r="N269" s="1566"/>
      <c r="O269" s="1566"/>
      <c r="P269" s="1566">
        <v>0</v>
      </c>
      <c r="Q269" s="1566"/>
      <c r="R269" s="1566"/>
      <c r="S269" s="1566">
        <v>12100.07</v>
      </c>
      <c r="T269" s="1566"/>
      <c r="U269" s="1566"/>
      <c r="V269" s="1566"/>
      <c r="W269" s="1566">
        <v>12582.06</v>
      </c>
      <c r="X269" s="1566"/>
      <c r="Y269" s="1566"/>
      <c r="Z269" s="1566"/>
      <c r="AA269" s="1566">
        <v>12100.07</v>
      </c>
      <c r="AB269" s="1566"/>
      <c r="AC269" s="1566"/>
      <c r="AD269" s="1566"/>
      <c r="AE269" s="1566"/>
      <c r="AF269" s="1566"/>
      <c r="AG269" s="1566">
        <v>0</v>
      </c>
      <c r="AH269" s="1566"/>
      <c r="AI269" s="1566"/>
      <c r="AJ269" s="1566"/>
      <c r="AK269" s="1566"/>
    </row>
    <row r="270" spans="2:37" ht="9.4" customHeight="1">
      <c r="B270" s="1568" t="s">
        <v>1326</v>
      </c>
      <c r="C270" s="1568"/>
      <c r="D270" s="1568"/>
      <c r="E270" s="1568" t="s">
        <v>1496</v>
      </c>
      <c r="F270" s="1568"/>
      <c r="G270" s="1568"/>
      <c r="H270" s="1568"/>
      <c r="J270" s="1568" t="s">
        <v>2107</v>
      </c>
      <c r="K270" s="1568"/>
      <c r="L270" s="1568"/>
      <c r="M270" s="1566">
        <v>0</v>
      </c>
      <c r="N270" s="1566"/>
      <c r="O270" s="1566"/>
      <c r="P270" s="1566">
        <v>0</v>
      </c>
      <c r="Q270" s="1566"/>
      <c r="R270" s="1566"/>
      <c r="S270" s="1566">
        <v>1323.09</v>
      </c>
      <c r="T270" s="1566"/>
      <c r="U270" s="1566"/>
      <c r="V270" s="1566"/>
      <c r="W270" s="1566">
        <v>1323.09</v>
      </c>
      <c r="X270" s="1566"/>
      <c r="Y270" s="1566"/>
      <c r="Z270" s="1566"/>
      <c r="AA270" s="1566">
        <v>0</v>
      </c>
      <c r="AB270" s="1566"/>
      <c r="AC270" s="1566"/>
      <c r="AD270" s="1566"/>
      <c r="AE270" s="1566"/>
      <c r="AF270" s="1566"/>
      <c r="AG270" s="1566">
        <v>0</v>
      </c>
      <c r="AH270" s="1566"/>
      <c r="AI270" s="1566"/>
      <c r="AJ270" s="1566"/>
      <c r="AK270" s="1566"/>
    </row>
    <row r="271" spans="2:37" ht="9.4" customHeight="1">
      <c r="B271" s="1568" t="s">
        <v>1326</v>
      </c>
      <c r="C271" s="1568"/>
      <c r="D271" s="1568"/>
      <c r="E271" s="1568" t="s">
        <v>1497</v>
      </c>
      <c r="F271" s="1568"/>
      <c r="G271" s="1568"/>
      <c r="H271" s="1568"/>
      <c r="J271" s="1568" t="s">
        <v>2108</v>
      </c>
      <c r="K271" s="1568"/>
      <c r="L271" s="1568"/>
      <c r="M271" s="1566">
        <v>1467.16</v>
      </c>
      <c r="N271" s="1566"/>
      <c r="O271" s="1566"/>
      <c r="P271" s="1566">
        <v>0</v>
      </c>
      <c r="Q271" s="1566"/>
      <c r="R271" s="1566"/>
      <c r="S271" s="1566">
        <v>489.52</v>
      </c>
      <c r="T271" s="1566"/>
      <c r="U271" s="1566"/>
      <c r="V271" s="1566"/>
      <c r="W271" s="1566">
        <v>820.09</v>
      </c>
      <c r="X271" s="1566"/>
      <c r="Y271" s="1566"/>
      <c r="Z271" s="1566"/>
      <c r="AA271" s="1566">
        <v>1136.5899999999999</v>
      </c>
      <c r="AB271" s="1566"/>
      <c r="AC271" s="1566"/>
      <c r="AD271" s="1566"/>
      <c r="AE271" s="1566"/>
      <c r="AF271" s="1566"/>
      <c r="AG271" s="1566">
        <v>0</v>
      </c>
      <c r="AH271" s="1566"/>
      <c r="AI271" s="1566"/>
      <c r="AJ271" s="1566"/>
      <c r="AK271" s="1566"/>
    </row>
    <row r="272" spans="2:37" ht="9.4" customHeight="1">
      <c r="B272" s="1568" t="s">
        <v>1326</v>
      </c>
      <c r="C272" s="1568"/>
      <c r="D272" s="1568"/>
      <c r="E272" s="1568" t="s">
        <v>1498</v>
      </c>
      <c r="F272" s="1568"/>
      <c r="G272" s="1568"/>
      <c r="H272" s="1568"/>
      <c r="J272" s="1568" t="s">
        <v>2109</v>
      </c>
      <c r="K272" s="1568"/>
      <c r="L272" s="1568"/>
      <c r="M272" s="1566">
        <v>0</v>
      </c>
      <c r="N272" s="1566"/>
      <c r="O272" s="1566"/>
      <c r="P272" s="1566">
        <v>0</v>
      </c>
      <c r="Q272" s="1566"/>
      <c r="R272" s="1566"/>
      <c r="S272" s="1566">
        <v>0</v>
      </c>
      <c r="T272" s="1566"/>
      <c r="U272" s="1566"/>
      <c r="V272" s="1566"/>
      <c r="W272" s="1566">
        <v>0</v>
      </c>
      <c r="X272" s="1566"/>
      <c r="Y272" s="1566"/>
      <c r="Z272" s="1566"/>
      <c r="AA272" s="1566">
        <v>0</v>
      </c>
      <c r="AB272" s="1566"/>
      <c r="AC272" s="1566"/>
      <c r="AD272" s="1566"/>
      <c r="AE272" s="1566"/>
      <c r="AF272" s="1566"/>
      <c r="AG272" s="1566">
        <v>0</v>
      </c>
      <c r="AH272" s="1566"/>
      <c r="AI272" s="1566"/>
      <c r="AJ272" s="1566"/>
      <c r="AK272" s="1566"/>
    </row>
    <row r="273" spans="2:37" ht="9.4" customHeight="1">
      <c r="B273" s="1568" t="s">
        <v>1326</v>
      </c>
      <c r="C273" s="1568"/>
      <c r="D273" s="1568"/>
      <c r="E273" s="1568" t="s">
        <v>1499</v>
      </c>
      <c r="F273" s="1568"/>
      <c r="G273" s="1568"/>
      <c r="H273" s="1568"/>
      <c r="J273" s="1568" t="s">
        <v>2110</v>
      </c>
      <c r="K273" s="1568"/>
      <c r="L273" s="1568"/>
      <c r="M273" s="1566">
        <v>698.85</v>
      </c>
      <c r="N273" s="1566"/>
      <c r="O273" s="1566"/>
      <c r="P273" s="1566">
        <v>0</v>
      </c>
      <c r="Q273" s="1566"/>
      <c r="R273" s="1566"/>
      <c r="S273" s="1566">
        <v>0</v>
      </c>
      <c r="T273" s="1566"/>
      <c r="U273" s="1566"/>
      <c r="V273" s="1566"/>
      <c r="W273" s="1566">
        <v>0</v>
      </c>
      <c r="X273" s="1566"/>
      <c r="Y273" s="1566"/>
      <c r="Z273" s="1566"/>
      <c r="AA273" s="1566">
        <v>698.85</v>
      </c>
      <c r="AB273" s="1566"/>
      <c r="AC273" s="1566"/>
      <c r="AD273" s="1566"/>
      <c r="AE273" s="1566"/>
      <c r="AF273" s="1566"/>
      <c r="AG273" s="1566">
        <v>0</v>
      </c>
      <c r="AH273" s="1566"/>
      <c r="AI273" s="1566"/>
      <c r="AJ273" s="1566"/>
      <c r="AK273" s="1566"/>
    </row>
    <row r="274" spans="2:37" ht="9.6" customHeight="1">
      <c r="B274" s="1568" t="s">
        <v>1326</v>
      </c>
      <c r="C274" s="1568"/>
      <c r="D274" s="1568"/>
      <c r="E274" s="1568" t="s">
        <v>1500</v>
      </c>
      <c r="F274" s="1568"/>
      <c r="G274" s="1568"/>
      <c r="H274" s="1568"/>
      <c r="J274" s="1568" t="s">
        <v>1307</v>
      </c>
      <c r="K274" s="1568"/>
      <c r="L274" s="1568"/>
      <c r="M274" s="1566">
        <v>1679.85</v>
      </c>
      <c r="N274" s="1566"/>
      <c r="O274" s="1566"/>
      <c r="P274" s="1566">
        <v>0</v>
      </c>
      <c r="Q274" s="1566"/>
      <c r="R274" s="1566"/>
      <c r="S274" s="1566">
        <v>0</v>
      </c>
      <c r="T274" s="1566"/>
      <c r="U274" s="1566"/>
      <c r="V274" s="1566"/>
      <c r="W274" s="1566">
        <v>1679.85</v>
      </c>
      <c r="X274" s="1566"/>
      <c r="Y274" s="1566"/>
      <c r="Z274" s="1566"/>
      <c r="AA274" s="1566">
        <v>0</v>
      </c>
      <c r="AB274" s="1566"/>
      <c r="AC274" s="1566"/>
      <c r="AD274" s="1566"/>
      <c r="AE274" s="1566"/>
      <c r="AF274" s="1566"/>
      <c r="AG274" s="1566">
        <v>0</v>
      </c>
      <c r="AH274" s="1566"/>
      <c r="AI274" s="1566"/>
      <c r="AJ274" s="1566"/>
      <c r="AK274" s="1566"/>
    </row>
    <row r="275" spans="2:37" ht="9.4" customHeight="1">
      <c r="B275" s="1568" t="s">
        <v>1326</v>
      </c>
      <c r="C275" s="1568"/>
      <c r="D275" s="1568"/>
      <c r="E275" s="1568" t="s">
        <v>6202</v>
      </c>
      <c r="F275" s="1568"/>
      <c r="G275" s="1568"/>
      <c r="H275" s="1568"/>
      <c r="J275" s="1568" t="s">
        <v>6203</v>
      </c>
      <c r="K275" s="1568"/>
      <c r="L275" s="1568"/>
      <c r="M275" s="1566">
        <v>0</v>
      </c>
      <c r="N275" s="1566"/>
      <c r="O275" s="1566"/>
      <c r="P275" s="1566">
        <v>0</v>
      </c>
      <c r="Q275" s="1566"/>
      <c r="R275" s="1566"/>
      <c r="S275" s="1566">
        <v>0</v>
      </c>
      <c r="T275" s="1566"/>
      <c r="U275" s="1566"/>
      <c r="V275" s="1566"/>
      <c r="W275" s="1566">
        <v>0</v>
      </c>
      <c r="X275" s="1566"/>
      <c r="Y275" s="1566"/>
      <c r="Z275" s="1566"/>
      <c r="AA275" s="1566">
        <v>0</v>
      </c>
      <c r="AB275" s="1566"/>
      <c r="AC275" s="1566"/>
      <c r="AD275" s="1566"/>
      <c r="AE275" s="1566"/>
      <c r="AF275" s="1566"/>
      <c r="AG275" s="1566">
        <v>0</v>
      </c>
      <c r="AH275" s="1566"/>
      <c r="AI275" s="1566"/>
      <c r="AJ275" s="1566"/>
      <c r="AK275" s="1566"/>
    </row>
    <row r="276" spans="2:37" ht="9.1999999999999993" customHeight="1">
      <c r="J276" s="1568"/>
      <c r="K276" s="1568"/>
      <c r="L276" s="1568"/>
    </row>
    <row r="277" spans="2:37" ht="8.4499999999999993" customHeight="1">
      <c r="B277" s="1568" t="s">
        <v>1326</v>
      </c>
      <c r="C277" s="1568"/>
      <c r="D277" s="1568"/>
      <c r="E277" s="1568" t="s">
        <v>1501</v>
      </c>
      <c r="F277" s="1568"/>
      <c r="G277" s="1568"/>
      <c r="H277" s="1568"/>
      <c r="J277" s="1568" t="s">
        <v>2111</v>
      </c>
      <c r="K277" s="1568"/>
      <c r="L277" s="1568"/>
      <c r="M277" s="1566">
        <v>8492.68</v>
      </c>
      <c r="N277" s="1566"/>
      <c r="O277" s="1566"/>
      <c r="P277" s="1566">
        <v>0</v>
      </c>
      <c r="Q277" s="1566"/>
      <c r="R277" s="1566"/>
      <c r="S277" s="1566">
        <v>7804.97</v>
      </c>
      <c r="T277" s="1566"/>
      <c r="U277" s="1566"/>
      <c r="V277" s="1566"/>
      <c r="W277" s="1566">
        <v>8492.68</v>
      </c>
      <c r="X277" s="1566"/>
      <c r="Y277" s="1566"/>
      <c r="Z277" s="1566"/>
      <c r="AA277" s="1566">
        <v>7804.97</v>
      </c>
      <c r="AB277" s="1566"/>
      <c r="AC277" s="1566"/>
      <c r="AD277" s="1566"/>
      <c r="AE277" s="1566"/>
      <c r="AF277" s="1566"/>
      <c r="AG277" s="1566">
        <v>0</v>
      </c>
      <c r="AH277" s="1566"/>
      <c r="AI277" s="1566"/>
      <c r="AJ277" s="1566"/>
      <c r="AK277" s="1566"/>
    </row>
    <row r="278" spans="2:37" ht="9.4" customHeight="1">
      <c r="B278" s="1568" t="s">
        <v>1326</v>
      </c>
      <c r="C278" s="1568"/>
      <c r="D278" s="1568"/>
      <c r="E278" s="1568" t="s">
        <v>1502</v>
      </c>
      <c r="F278" s="1568"/>
      <c r="G278" s="1568"/>
      <c r="H278" s="1568"/>
      <c r="J278" s="1568" t="s">
        <v>2112</v>
      </c>
      <c r="K278" s="1568"/>
      <c r="L278" s="1568"/>
      <c r="M278" s="1566">
        <v>0</v>
      </c>
      <c r="N278" s="1566"/>
      <c r="O278" s="1566"/>
      <c r="P278" s="1566">
        <v>0</v>
      </c>
      <c r="Q278" s="1566"/>
      <c r="R278" s="1566"/>
      <c r="S278" s="1566">
        <v>1314.4</v>
      </c>
      <c r="T278" s="1566"/>
      <c r="U278" s="1566"/>
      <c r="V278" s="1566"/>
      <c r="W278" s="1566">
        <v>1314.4</v>
      </c>
      <c r="X278" s="1566"/>
      <c r="Y278" s="1566"/>
      <c r="Z278" s="1566"/>
      <c r="AA278" s="1566">
        <v>0</v>
      </c>
      <c r="AB278" s="1566"/>
      <c r="AC278" s="1566"/>
      <c r="AD278" s="1566"/>
      <c r="AE278" s="1566"/>
      <c r="AF278" s="1566"/>
      <c r="AG278" s="1566">
        <v>0</v>
      </c>
      <c r="AH278" s="1566"/>
      <c r="AI278" s="1566"/>
      <c r="AJ278" s="1566"/>
      <c r="AK278" s="1566"/>
    </row>
    <row r="279" spans="2:37" ht="9.4" customHeight="1">
      <c r="B279" s="1568" t="s">
        <v>1326</v>
      </c>
      <c r="C279" s="1568"/>
      <c r="D279" s="1568"/>
      <c r="E279" s="1568" t="s">
        <v>1503</v>
      </c>
      <c r="F279" s="1568"/>
      <c r="G279" s="1568"/>
      <c r="H279" s="1568"/>
      <c r="J279" s="1568" t="s">
        <v>2113</v>
      </c>
      <c r="K279" s="1568"/>
      <c r="L279" s="1568"/>
      <c r="M279" s="1566">
        <v>38703.51</v>
      </c>
      <c r="N279" s="1566"/>
      <c r="O279" s="1566"/>
      <c r="P279" s="1566">
        <v>0</v>
      </c>
      <c r="Q279" s="1566"/>
      <c r="R279" s="1566"/>
      <c r="S279" s="1566">
        <v>0</v>
      </c>
      <c r="T279" s="1566"/>
      <c r="U279" s="1566"/>
      <c r="V279" s="1566"/>
      <c r="W279" s="1566">
        <v>0</v>
      </c>
      <c r="X279" s="1566"/>
      <c r="Y279" s="1566"/>
      <c r="Z279" s="1566"/>
      <c r="AA279" s="1566">
        <v>38703.51</v>
      </c>
      <c r="AB279" s="1566"/>
      <c r="AC279" s="1566"/>
      <c r="AD279" s="1566"/>
      <c r="AE279" s="1566"/>
      <c r="AF279" s="1566"/>
      <c r="AG279" s="1566">
        <v>0</v>
      </c>
      <c r="AH279" s="1566"/>
      <c r="AI279" s="1566"/>
      <c r="AJ279" s="1566"/>
      <c r="AK279" s="1566"/>
    </row>
    <row r="280" spans="2:37" ht="9.4" customHeight="1">
      <c r="B280" s="1568" t="s">
        <v>1326</v>
      </c>
      <c r="C280" s="1568"/>
      <c r="D280" s="1568"/>
      <c r="E280" s="1568" t="s">
        <v>1504</v>
      </c>
      <c r="F280" s="1568"/>
      <c r="G280" s="1568"/>
      <c r="H280" s="1568"/>
      <c r="J280" s="1568" t="s">
        <v>2114</v>
      </c>
      <c r="K280" s="1568"/>
      <c r="L280" s="1568"/>
      <c r="M280" s="1566">
        <v>25069.599999999999</v>
      </c>
      <c r="N280" s="1566"/>
      <c r="O280" s="1566"/>
      <c r="P280" s="1566">
        <v>0</v>
      </c>
      <c r="Q280" s="1566"/>
      <c r="R280" s="1566"/>
      <c r="S280" s="1566">
        <v>0</v>
      </c>
      <c r="T280" s="1566"/>
      <c r="U280" s="1566"/>
      <c r="V280" s="1566"/>
      <c r="W280" s="1566">
        <v>0</v>
      </c>
      <c r="X280" s="1566"/>
      <c r="Y280" s="1566"/>
      <c r="Z280" s="1566"/>
      <c r="AA280" s="1566">
        <v>25069.599999999999</v>
      </c>
      <c r="AB280" s="1566"/>
      <c r="AC280" s="1566"/>
      <c r="AD280" s="1566"/>
      <c r="AE280" s="1566"/>
      <c r="AF280" s="1566"/>
      <c r="AG280" s="1566">
        <v>0</v>
      </c>
      <c r="AH280" s="1566"/>
      <c r="AI280" s="1566"/>
      <c r="AJ280" s="1566"/>
      <c r="AK280" s="1566"/>
    </row>
    <row r="281" spans="2:37" ht="9.4" customHeight="1">
      <c r="B281" s="1568" t="s">
        <v>1326</v>
      </c>
      <c r="C281" s="1568"/>
      <c r="D281" s="1568"/>
      <c r="E281" s="1568" t="s">
        <v>1505</v>
      </c>
      <c r="F281" s="1568"/>
      <c r="G281" s="1568"/>
      <c r="H281" s="1568"/>
      <c r="J281" s="1568" t="s">
        <v>2115</v>
      </c>
      <c r="K281" s="1568"/>
      <c r="L281" s="1568"/>
      <c r="M281" s="1566">
        <v>0</v>
      </c>
      <c r="N281" s="1566"/>
      <c r="O281" s="1566"/>
      <c r="P281" s="1566">
        <v>0</v>
      </c>
      <c r="Q281" s="1566"/>
      <c r="R281" s="1566"/>
      <c r="S281" s="1566">
        <v>9342.6200000000008</v>
      </c>
      <c r="T281" s="1566"/>
      <c r="U281" s="1566"/>
      <c r="V281" s="1566"/>
      <c r="W281" s="1566">
        <v>0</v>
      </c>
      <c r="X281" s="1566"/>
      <c r="Y281" s="1566"/>
      <c r="Z281" s="1566"/>
      <c r="AA281" s="1566">
        <v>9342.6200000000008</v>
      </c>
      <c r="AB281" s="1566"/>
      <c r="AC281" s="1566"/>
      <c r="AD281" s="1566"/>
      <c r="AE281" s="1566"/>
      <c r="AF281" s="1566"/>
      <c r="AG281" s="1566">
        <v>0</v>
      </c>
      <c r="AH281" s="1566"/>
      <c r="AI281" s="1566"/>
      <c r="AJ281" s="1566"/>
      <c r="AK281" s="1566"/>
    </row>
    <row r="282" spans="2:37" ht="9.4" customHeight="1">
      <c r="B282" s="1568" t="s">
        <v>1326</v>
      </c>
      <c r="C282" s="1568"/>
      <c r="D282" s="1568"/>
      <c r="E282" s="1568" t="s">
        <v>1506</v>
      </c>
      <c r="F282" s="1568"/>
      <c r="G282" s="1568"/>
      <c r="H282" s="1568"/>
      <c r="J282" s="1568" t="s">
        <v>2116</v>
      </c>
      <c r="K282" s="1568"/>
      <c r="L282" s="1568"/>
      <c r="M282" s="1566">
        <v>0</v>
      </c>
      <c r="N282" s="1566"/>
      <c r="O282" s="1566"/>
      <c r="P282" s="1566">
        <v>0</v>
      </c>
      <c r="Q282" s="1566"/>
      <c r="R282" s="1566"/>
      <c r="S282" s="1566">
        <v>1213.96</v>
      </c>
      <c r="T282" s="1566"/>
      <c r="U282" s="1566"/>
      <c r="V282" s="1566"/>
      <c r="W282" s="1566">
        <v>0</v>
      </c>
      <c r="X282" s="1566"/>
      <c r="Y282" s="1566"/>
      <c r="Z282" s="1566"/>
      <c r="AA282" s="1566">
        <v>1213.96</v>
      </c>
      <c r="AB282" s="1566"/>
      <c r="AC282" s="1566"/>
      <c r="AD282" s="1566"/>
      <c r="AE282" s="1566"/>
      <c r="AF282" s="1566"/>
      <c r="AG282" s="1566">
        <v>0</v>
      </c>
      <c r="AH282" s="1566"/>
      <c r="AI282" s="1566"/>
      <c r="AJ282" s="1566"/>
      <c r="AK282" s="1566"/>
    </row>
    <row r="283" spans="2:37" ht="9.4" customHeight="1">
      <c r="B283" s="1568" t="s">
        <v>1326</v>
      </c>
      <c r="C283" s="1568"/>
      <c r="D283" s="1568"/>
      <c r="E283" s="1568" t="s">
        <v>1783</v>
      </c>
      <c r="F283" s="1568"/>
      <c r="G283" s="1568"/>
      <c r="H283" s="1568"/>
      <c r="J283" s="1568" t="s">
        <v>2117</v>
      </c>
      <c r="K283" s="1568"/>
      <c r="L283" s="1568"/>
      <c r="M283" s="1566">
        <v>0</v>
      </c>
      <c r="N283" s="1566"/>
      <c r="O283" s="1566"/>
      <c r="P283" s="1566">
        <v>0</v>
      </c>
      <c r="Q283" s="1566"/>
      <c r="R283" s="1566"/>
      <c r="S283" s="1566">
        <v>1164.04</v>
      </c>
      <c r="T283" s="1566"/>
      <c r="U283" s="1566"/>
      <c r="V283" s="1566"/>
      <c r="W283" s="1566">
        <v>1164.04</v>
      </c>
      <c r="X283" s="1566"/>
      <c r="Y283" s="1566"/>
      <c r="Z283" s="1566"/>
      <c r="AA283" s="1566">
        <v>0</v>
      </c>
      <c r="AB283" s="1566"/>
      <c r="AC283" s="1566"/>
      <c r="AD283" s="1566"/>
      <c r="AE283" s="1566"/>
      <c r="AF283" s="1566"/>
      <c r="AG283" s="1566">
        <v>0</v>
      </c>
      <c r="AH283" s="1566"/>
      <c r="AI283" s="1566"/>
      <c r="AJ283" s="1566"/>
      <c r="AK283" s="1566"/>
    </row>
    <row r="284" spans="2:37" ht="9.4" customHeight="1">
      <c r="B284" s="1568" t="s">
        <v>1326</v>
      </c>
      <c r="C284" s="1568"/>
      <c r="D284" s="1568"/>
      <c r="E284" s="1568" t="s">
        <v>2118</v>
      </c>
      <c r="F284" s="1568"/>
      <c r="G284" s="1568"/>
      <c r="H284" s="1568"/>
      <c r="J284" s="1568" t="s">
        <v>2119</v>
      </c>
      <c r="K284" s="1568"/>
      <c r="L284" s="1568"/>
      <c r="M284" s="1566">
        <v>2459.4499999999998</v>
      </c>
      <c r="N284" s="1566"/>
      <c r="O284" s="1566"/>
      <c r="P284" s="1566">
        <v>0</v>
      </c>
      <c r="Q284" s="1566"/>
      <c r="R284" s="1566"/>
      <c r="S284" s="1566">
        <v>2614.42</v>
      </c>
      <c r="T284" s="1566"/>
      <c r="U284" s="1566"/>
      <c r="V284" s="1566"/>
      <c r="W284" s="1566">
        <v>2459.4499999999998</v>
      </c>
      <c r="X284" s="1566"/>
      <c r="Y284" s="1566"/>
      <c r="Z284" s="1566"/>
      <c r="AA284" s="1566">
        <v>2614.42</v>
      </c>
      <c r="AB284" s="1566"/>
      <c r="AC284" s="1566"/>
      <c r="AD284" s="1566"/>
      <c r="AE284" s="1566"/>
      <c r="AF284" s="1566"/>
      <c r="AG284" s="1566">
        <v>0</v>
      </c>
      <c r="AH284" s="1566"/>
      <c r="AI284" s="1566"/>
      <c r="AJ284" s="1566"/>
      <c r="AK284" s="1566"/>
    </row>
    <row r="285" spans="2:37" ht="9.1999999999999993" customHeight="1">
      <c r="J285" s="1568"/>
      <c r="K285" s="1568"/>
      <c r="L285" s="1568"/>
    </row>
    <row r="286" spans="2:37" ht="8.4499999999999993" customHeight="1">
      <c r="B286" s="1568" t="s">
        <v>1326</v>
      </c>
      <c r="C286" s="1568"/>
      <c r="D286" s="1568"/>
      <c r="E286" s="1568" t="s">
        <v>1507</v>
      </c>
      <c r="F286" s="1568"/>
      <c r="G286" s="1568"/>
      <c r="H286" s="1568"/>
      <c r="J286" s="1568" t="s">
        <v>2120</v>
      </c>
      <c r="K286" s="1568"/>
      <c r="L286" s="1568"/>
      <c r="M286" s="1566">
        <v>5502.34</v>
      </c>
      <c r="N286" s="1566"/>
      <c r="O286" s="1566"/>
      <c r="P286" s="1566">
        <v>0</v>
      </c>
      <c r="Q286" s="1566"/>
      <c r="R286" s="1566"/>
      <c r="S286" s="1566">
        <v>3104.53</v>
      </c>
      <c r="T286" s="1566"/>
      <c r="U286" s="1566"/>
      <c r="V286" s="1566"/>
      <c r="W286" s="1566">
        <v>2544.86</v>
      </c>
      <c r="X286" s="1566"/>
      <c r="Y286" s="1566"/>
      <c r="Z286" s="1566"/>
      <c r="AA286" s="1566">
        <v>6062.01</v>
      </c>
      <c r="AB286" s="1566"/>
      <c r="AC286" s="1566"/>
      <c r="AD286" s="1566"/>
      <c r="AE286" s="1566"/>
      <c r="AF286" s="1566"/>
      <c r="AG286" s="1566">
        <v>0</v>
      </c>
      <c r="AH286" s="1566"/>
      <c r="AI286" s="1566"/>
      <c r="AJ286" s="1566"/>
      <c r="AK286" s="1566"/>
    </row>
    <row r="287" spans="2:37" ht="9.4" customHeight="1">
      <c r="B287" s="1568" t="s">
        <v>1326</v>
      </c>
      <c r="C287" s="1568"/>
      <c r="D287" s="1568"/>
      <c r="E287" s="1568" t="s">
        <v>1508</v>
      </c>
      <c r="F287" s="1568"/>
      <c r="G287" s="1568"/>
      <c r="H287" s="1568"/>
      <c r="J287" s="1568" t="s">
        <v>2121</v>
      </c>
      <c r="K287" s="1568"/>
      <c r="L287" s="1568"/>
      <c r="M287" s="1566">
        <v>0</v>
      </c>
      <c r="N287" s="1566"/>
      <c r="O287" s="1566"/>
      <c r="P287" s="1566">
        <v>0</v>
      </c>
      <c r="Q287" s="1566"/>
      <c r="R287" s="1566"/>
      <c r="S287" s="1566">
        <v>2595.86</v>
      </c>
      <c r="T287" s="1566"/>
      <c r="U287" s="1566"/>
      <c r="V287" s="1566"/>
      <c r="W287" s="1566">
        <v>2595.86</v>
      </c>
      <c r="X287" s="1566"/>
      <c r="Y287" s="1566"/>
      <c r="Z287" s="1566"/>
      <c r="AA287" s="1566">
        <v>0</v>
      </c>
      <c r="AB287" s="1566"/>
      <c r="AC287" s="1566"/>
      <c r="AD287" s="1566"/>
      <c r="AE287" s="1566"/>
      <c r="AF287" s="1566"/>
      <c r="AG287" s="1566">
        <v>0</v>
      </c>
      <c r="AH287" s="1566"/>
      <c r="AI287" s="1566"/>
      <c r="AJ287" s="1566"/>
      <c r="AK287" s="1566"/>
    </row>
    <row r="288" spans="2:37" ht="9.4" customHeight="1">
      <c r="B288" s="1568" t="s">
        <v>1326</v>
      </c>
      <c r="C288" s="1568"/>
      <c r="D288" s="1568"/>
      <c r="E288" s="1568" t="s">
        <v>1509</v>
      </c>
      <c r="F288" s="1568"/>
      <c r="G288" s="1568"/>
      <c r="H288" s="1568"/>
      <c r="J288" s="1568" t="s">
        <v>2122</v>
      </c>
      <c r="K288" s="1568"/>
      <c r="L288" s="1568"/>
      <c r="M288" s="1566">
        <v>0</v>
      </c>
      <c r="N288" s="1566"/>
      <c r="O288" s="1566"/>
      <c r="P288" s="1566">
        <v>0</v>
      </c>
      <c r="Q288" s="1566"/>
      <c r="R288" s="1566"/>
      <c r="S288" s="1566">
        <v>89496.23</v>
      </c>
      <c r="T288" s="1566"/>
      <c r="U288" s="1566"/>
      <c r="V288" s="1566"/>
      <c r="W288" s="1566">
        <v>0</v>
      </c>
      <c r="X288" s="1566"/>
      <c r="Y288" s="1566"/>
      <c r="Z288" s="1566"/>
      <c r="AA288" s="1566">
        <v>89496.23</v>
      </c>
      <c r="AB288" s="1566"/>
      <c r="AC288" s="1566"/>
      <c r="AD288" s="1566"/>
      <c r="AE288" s="1566"/>
      <c r="AF288" s="1566"/>
      <c r="AG288" s="1566">
        <v>0</v>
      </c>
      <c r="AH288" s="1566"/>
      <c r="AI288" s="1566"/>
      <c r="AJ288" s="1566"/>
      <c r="AK288" s="1566"/>
    </row>
    <row r="289" spans="1:38" ht="9.4" customHeight="1">
      <c r="B289" s="1568" t="s">
        <v>1326</v>
      </c>
      <c r="C289" s="1568"/>
      <c r="D289" s="1568"/>
      <c r="E289" s="1568" t="s">
        <v>1510</v>
      </c>
      <c r="F289" s="1568"/>
      <c r="G289" s="1568"/>
      <c r="H289" s="1568"/>
      <c r="J289" s="1568" t="s">
        <v>2123</v>
      </c>
      <c r="K289" s="1568"/>
      <c r="L289" s="1568"/>
      <c r="M289" s="1566">
        <v>0</v>
      </c>
      <c r="N289" s="1566"/>
      <c r="O289" s="1566"/>
      <c r="P289" s="1566">
        <v>0</v>
      </c>
      <c r="Q289" s="1566"/>
      <c r="R289" s="1566"/>
      <c r="S289" s="1566">
        <v>3908.15</v>
      </c>
      <c r="T289" s="1566"/>
      <c r="U289" s="1566"/>
      <c r="V289" s="1566"/>
      <c r="W289" s="1566">
        <v>3908.15</v>
      </c>
      <c r="X289" s="1566"/>
      <c r="Y289" s="1566"/>
      <c r="Z289" s="1566"/>
      <c r="AA289" s="1566">
        <v>0</v>
      </c>
      <c r="AB289" s="1566"/>
      <c r="AC289" s="1566"/>
      <c r="AD289" s="1566"/>
      <c r="AE289" s="1566"/>
      <c r="AF289" s="1566"/>
      <c r="AG289" s="1566">
        <v>0</v>
      </c>
      <c r="AH289" s="1566"/>
      <c r="AI289" s="1566"/>
      <c r="AJ289" s="1566"/>
      <c r="AK289" s="1566"/>
    </row>
    <row r="290" spans="1:38" ht="9.4" customHeight="1">
      <c r="B290" s="1568" t="s">
        <v>1326</v>
      </c>
      <c r="C290" s="1568"/>
      <c r="D290" s="1568"/>
      <c r="E290" s="1568" t="s">
        <v>2873</v>
      </c>
      <c r="F290" s="1568"/>
      <c r="G290" s="1568"/>
      <c r="H290" s="1568"/>
      <c r="J290" s="1568" t="s">
        <v>2874</v>
      </c>
      <c r="K290" s="1568"/>
      <c r="L290" s="1568"/>
      <c r="M290" s="1566">
        <v>0</v>
      </c>
      <c r="N290" s="1566"/>
      <c r="O290" s="1566"/>
      <c r="P290" s="1566">
        <v>0</v>
      </c>
      <c r="Q290" s="1566"/>
      <c r="R290" s="1566"/>
      <c r="S290" s="1566">
        <v>7943.3</v>
      </c>
      <c r="T290" s="1566"/>
      <c r="U290" s="1566"/>
      <c r="V290" s="1566"/>
      <c r="W290" s="1566">
        <v>7943.3</v>
      </c>
      <c r="X290" s="1566"/>
      <c r="Y290" s="1566"/>
      <c r="Z290" s="1566"/>
      <c r="AA290" s="1566">
        <v>0</v>
      </c>
      <c r="AB290" s="1566"/>
      <c r="AC290" s="1566"/>
      <c r="AD290" s="1566"/>
      <c r="AE290" s="1566"/>
      <c r="AF290" s="1566"/>
      <c r="AG290" s="1566">
        <v>0</v>
      </c>
      <c r="AH290" s="1566"/>
      <c r="AI290" s="1566"/>
      <c r="AJ290" s="1566"/>
      <c r="AK290" s="1566"/>
    </row>
    <row r="291" spans="1:38" ht="9.4" customHeight="1">
      <c r="B291" s="1568" t="s">
        <v>1326</v>
      </c>
      <c r="C291" s="1568"/>
      <c r="D291" s="1568"/>
      <c r="E291" s="1568" t="s">
        <v>1708</v>
      </c>
      <c r="F291" s="1568"/>
      <c r="G291" s="1568"/>
      <c r="H291" s="1568"/>
      <c r="J291" s="1568" t="s">
        <v>2124</v>
      </c>
      <c r="K291" s="1568"/>
      <c r="L291" s="1568"/>
      <c r="M291" s="1566">
        <v>0</v>
      </c>
      <c r="N291" s="1566"/>
      <c r="O291" s="1566"/>
      <c r="P291" s="1566">
        <v>0</v>
      </c>
      <c r="Q291" s="1566"/>
      <c r="R291" s="1566"/>
      <c r="S291" s="1566">
        <v>82.46</v>
      </c>
      <c r="T291" s="1566"/>
      <c r="U291" s="1566"/>
      <c r="V291" s="1566"/>
      <c r="W291" s="1566">
        <v>82.46</v>
      </c>
      <c r="X291" s="1566"/>
      <c r="Y291" s="1566"/>
      <c r="Z291" s="1566"/>
      <c r="AA291" s="1566">
        <v>0</v>
      </c>
      <c r="AB291" s="1566"/>
      <c r="AC291" s="1566"/>
      <c r="AD291" s="1566"/>
      <c r="AE291" s="1566"/>
      <c r="AF291" s="1566"/>
      <c r="AG291" s="1566">
        <v>0</v>
      </c>
      <c r="AH291" s="1566"/>
      <c r="AI291" s="1566"/>
      <c r="AJ291" s="1566"/>
      <c r="AK291" s="1566"/>
    </row>
    <row r="292" spans="1:38" ht="9.4" customHeight="1">
      <c r="B292" s="1568" t="s">
        <v>1326</v>
      </c>
      <c r="C292" s="1568"/>
      <c r="D292" s="1568"/>
      <c r="E292" s="1568" t="s">
        <v>1511</v>
      </c>
      <c r="F292" s="1568"/>
      <c r="G292" s="1568"/>
      <c r="H292" s="1568"/>
      <c r="J292" s="1568" t="s">
        <v>2125</v>
      </c>
      <c r="K292" s="1568"/>
      <c r="L292" s="1568"/>
      <c r="M292" s="1566">
        <v>0</v>
      </c>
      <c r="N292" s="1566"/>
      <c r="O292" s="1566"/>
      <c r="P292" s="1566">
        <v>0</v>
      </c>
      <c r="Q292" s="1566"/>
      <c r="R292" s="1566"/>
      <c r="S292" s="1566">
        <v>105309.24</v>
      </c>
      <c r="T292" s="1566"/>
      <c r="U292" s="1566"/>
      <c r="V292" s="1566"/>
      <c r="W292" s="1566">
        <v>105309.24</v>
      </c>
      <c r="X292" s="1566"/>
      <c r="Y292" s="1566"/>
      <c r="Z292" s="1566"/>
      <c r="AA292" s="1566">
        <v>0</v>
      </c>
      <c r="AB292" s="1566"/>
      <c r="AC292" s="1566"/>
      <c r="AD292" s="1566"/>
      <c r="AE292" s="1566"/>
      <c r="AF292" s="1566"/>
      <c r="AG292" s="1566">
        <v>0</v>
      </c>
      <c r="AH292" s="1566"/>
      <c r="AI292" s="1566"/>
      <c r="AJ292" s="1566"/>
      <c r="AK292" s="1566"/>
    </row>
    <row r="293" spans="1:38" ht="9.4" customHeight="1">
      <c r="B293" s="1568" t="s">
        <v>1326</v>
      </c>
      <c r="C293" s="1568"/>
      <c r="D293" s="1568"/>
      <c r="E293" s="1568" t="s">
        <v>1784</v>
      </c>
      <c r="F293" s="1568"/>
      <c r="G293" s="1568"/>
      <c r="H293" s="1568"/>
      <c r="J293" s="1568" t="s">
        <v>2126</v>
      </c>
      <c r="K293" s="1568"/>
      <c r="L293" s="1568"/>
      <c r="M293" s="1566">
        <v>4437.51</v>
      </c>
      <c r="N293" s="1566"/>
      <c r="O293" s="1566"/>
      <c r="P293" s="1566">
        <v>0</v>
      </c>
      <c r="Q293" s="1566"/>
      <c r="R293" s="1566"/>
      <c r="S293" s="1566">
        <v>4278.1099999999997</v>
      </c>
      <c r="T293" s="1566"/>
      <c r="U293" s="1566"/>
      <c r="V293" s="1566"/>
      <c r="W293" s="1566">
        <v>4278.1099999999997</v>
      </c>
      <c r="X293" s="1566"/>
      <c r="Y293" s="1566"/>
      <c r="Z293" s="1566"/>
      <c r="AA293" s="1566">
        <v>4437.51</v>
      </c>
      <c r="AB293" s="1566"/>
      <c r="AC293" s="1566"/>
      <c r="AD293" s="1566"/>
      <c r="AE293" s="1566"/>
      <c r="AF293" s="1566"/>
      <c r="AG293" s="1566">
        <v>0</v>
      </c>
      <c r="AH293" s="1566"/>
      <c r="AI293" s="1566"/>
      <c r="AJ293" s="1566"/>
      <c r="AK293" s="1566"/>
    </row>
    <row r="294" spans="1:38" ht="9.4" customHeight="1">
      <c r="B294" s="1568" t="s">
        <v>1326</v>
      </c>
      <c r="C294" s="1568"/>
      <c r="D294" s="1568"/>
      <c r="E294" s="1568" t="s">
        <v>3103</v>
      </c>
      <c r="F294" s="1568"/>
      <c r="G294" s="1568"/>
      <c r="H294" s="1568"/>
      <c r="J294" s="1568" t="s">
        <v>3104</v>
      </c>
      <c r="K294" s="1568"/>
      <c r="L294" s="1568"/>
      <c r="M294" s="1566">
        <v>9954.19</v>
      </c>
      <c r="N294" s="1566"/>
      <c r="O294" s="1566"/>
      <c r="P294" s="1566">
        <v>0</v>
      </c>
      <c r="Q294" s="1566"/>
      <c r="R294" s="1566"/>
      <c r="S294" s="1566">
        <v>12380.39</v>
      </c>
      <c r="T294" s="1566"/>
      <c r="U294" s="1566"/>
      <c r="V294" s="1566"/>
      <c r="W294" s="1566">
        <v>22334.58</v>
      </c>
      <c r="X294" s="1566"/>
      <c r="Y294" s="1566"/>
      <c r="Z294" s="1566"/>
      <c r="AA294" s="1566">
        <v>0</v>
      </c>
      <c r="AB294" s="1566"/>
      <c r="AC294" s="1566"/>
      <c r="AD294" s="1566"/>
      <c r="AE294" s="1566"/>
      <c r="AF294" s="1566"/>
      <c r="AG294" s="1566">
        <v>0</v>
      </c>
      <c r="AH294" s="1566"/>
      <c r="AI294" s="1566"/>
      <c r="AJ294" s="1566"/>
      <c r="AK294" s="1566"/>
    </row>
    <row r="295" spans="1:38" ht="9.4" customHeight="1">
      <c r="B295" s="1568" t="s">
        <v>1326</v>
      </c>
      <c r="C295" s="1568"/>
      <c r="D295" s="1568"/>
      <c r="E295" s="1568" t="s">
        <v>1767</v>
      </c>
      <c r="F295" s="1568"/>
      <c r="G295" s="1568"/>
      <c r="H295" s="1568"/>
      <c r="J295" s="1568" t="s">
        <v>2128</v>
      </c>
      <c r="K295" s="1568"/>
      <c r="L295" s="1568"/>
      <c r="M295" s="1566">
        <v>1770.32</v>
      </c>
      <c r="N295" s="1566"/>
      <c r="O295" s="1566"/>
      <c r="P295" s="1566">
        <v>0</v>
      </c>
      <c r="Q295" s="1566"/>
      <c r="R295" s="1566"/>
      <c r="S295" s="1566">
        <v>2809.6</v>
      </c>
      <c r="T295" s="1566"/>
      <c r="U295" s="1566"/>
      <c r="V295" s="1566"/>
      <c r="W295" s="1566">
        <v>3402.82</v>
      </c>
      <c r="X295" s="1566"/>
      <c r="Y295" s="1566"/>
      <c r="Z295" s="1566"/>
      <c r="AA295" s="1566">
        <v>1177.0999999999999</v>
      </c>
      <c r="AB295" s="1566"/>
      <c r="AC295" s="1566"/>
      <c r="AD295" s="1566"/>
      <c r="AE295" s="1566"/>
      <c r="AF295" s="1566"/>
      <c r="AG295" s="1566">
        <v>0</v>
      </c>
      <c r="AH295" s="1566"/>
      <c r="AI295" s="1566"/>
      <c r="AJ295" s="1566"/>
      <c r="AK295" s="1566"/>
    </row>
    <row r="296" spans="1:38" ht="9.4" customHeight="1">
      <c r="B296" s="1568" t="s">
        <v>1326</v>
      </c>
      <c r="C296" s="1568"/>
      <c r="D296" s="1568"/>
      <c r="E296" s="1568" t="s">
        <v>2850</v>
      </c>
      <c r="F296" s="1568"/>
      <c r="G296" s="1568"/>
      <c r="H296" s="1568"/>
      <c r="J296" s="1568" t="s">
        <v>2851</v>
      </c>
      <c r="K296" s="1568"/>
      <c r="L296" s="1568"/>
      <c r="M296" s="1566">
        <v>0</v>
      </c>
      <c r="N296" s="1566"/>
      <c r="O296" s="1566"/>
      <c r="P296" s="1566">
        <v>0</v>
      </c>
      <c r="Q296" s="1566"/>
      <c r="R296" s="1566"/>
      <c r="S296" s="1566">
        <v>13015.2</v>
      </c>
      <c r="T296" s="1566"/>
      <c r="U296" s="1566"/>
      <c r="V296" s="1566"/>
      <c r="W296" s="1566">
        <v>13015.2</v>
      </c>
      <c r="X296" s="1566"/>
      <c r="Y296" s="1566"/>
      <c r="Z296" s="1566"/>
      <c r="AA296" s="1566">
        <v>0</v>
      </c>
      <c r="AB296" s="1566"/>
      <c r="AC296" s="1566"/>
      <c r="AD296" s="1566"/>
      <c r="AE296" s="1566"/>
      <c r="AF296" s="1566"/>
      <c r="AG296" s="1566">
        <v>0</v>
      </c>
      <c r="AH296" s="1566"/>
      <c r="AI296" s="1566"/>
      <c r="AJ296" s="1566"/>
      <c r="AK296" s="1566"/>
    </row>
    <row r="297" spans="1:38" ht="9.1999999999999993" customHeight="1">
      <c r="J297" s="1568"/>
      <c r="K297" s="1568"/>
      <c r="L297" s="1568"/>
    </row>
    <row r="298" spans="1:38" ht="6.2" customHeight="1"/>
    <row r="299" spans="1:38" ht="14.1" customHeight="1">
      <c r="AG299" s="1565" t="s">
        <v>2102</v>
      </c>
      <c r="AH299" s="1565"/>
      <c r="AI299" s="1565"/>
      <c r="AJ299" s="1565"/>
      <c r="AK299" s="1565"/>
      <c r="AL299" s="1565"/>
    </row>
    <row r="300" spans="1:38" ht="7.15" customHeight="1">
      <c r="D300" s="1578" t="s">
        <v>2992</v>
      </c>
      <c r="E300" s="1578"/>
      <c r="F300" s="1578"/>
      <c r="G300" s="1578"/>
      <c r="H300" s="1578"/>
      <c r="I300" s="1578"/>
      <c r="J300" s="1578"/>
      <c r="K300" s="1578"/>
      <c r="L300" s="1578"/>
      <c r="M300" s="1578"/>
      <c r="N300" s="1578"/>
      <c r="O300" s="1578"/>
      <c r="P300" s="1578"/>
      <c r="Q300" s="1578"/>
      <c r="R300" s="1578"/>
      <c r="S300" s="1578"/>
      <c r="T300" s="1578"/>
      <c r="U300" s="1578"/>
      <c r="V300" s="1578"/>
      <c r="W300" s="1578"/>
      <c r="X300" s="1578"/>
      <c r="Y300" s="1578"/>
      <c r="Z300" s="1578"/>
      <c r="AA300" s="1578"/>
      <c r="AB300" s="1578"/>
      <c r="AC300" s="1578"/>
      <c r="AD300" s="1578"/>
      <c r="AE300" s="1578"/>
      <c r="AF300" s="1578"/>
      <c r="AG300" s="1578"/>
      <c r="AH300" s="1578"/>
    </row>
    <row r="301" spans="1:38" ht="9.6" customHeight="1">
      <c r="A301" s="1579"/>
      <c r="B301" s="1579"/>
      <c r="C301" s="1579"/>
      <c r="D301" s="1579"/>
      <c r="E301" s="1579"/>
      <c r="F301" s="1579"/>
      <c r="G301" s="1579"/>
      <c r="H301" s="1579"/>
      <c r="I301" s="1579"/>
      <c r="J301" s="1578"/>
      <c r="K301" s="1578"/>
      <c r="L301" s="1578"/>
      <c r="M301" s="1578"/>
      <c r="N301" s="1578"/>
      <c r="O301" s="1578"/>
      <c r="P301" s="1578"/>
      <c r="Q301" s="1578"/>
      <c r="R301" s="1578"/>
      <c r="S301" s="1578"/>
      <c r="T301" s="1578"/>
      <c r="U301" s="1578"/>
      <c r="V301" s="1578"/>
      <c r="W301" s="1578"/>
      <c r="X301" s="1578"/>
      <c r="Y301" s="1578"/>
      <c r="Z301" s="1578"/>
      <c r="AA301" s="1578"/>
      <c r="AB301" s="1578"/>
      <c r="AC301" s="1578"/>
      <c r="AD301" s="1578"/>
      <c r="AE301" s="1578"/>
      <c r="AF301" s="1578"/>
      <c r="AG301" s="1578"/>
      <c r="AH301" s="1578"/>
    </row>
    <row r="302" spans="1:38" ht="13.35" customHeight="1">
      <c r="A302" s="1579"/>
      <c r="B302" s="1579"/>
      <c r="C302" s="1579"/>
      <c r="D302" s="1579"/>
      <c r="E302" s="1579"/>
      <c r="F302" s="1579"/>
      <c r="G302" s="1579"/>
      <c r="H302" s="1579"/>
      <c r="I302" s="1579"/>
      <c r="J302" s="1580" t="s">
        <v>79</v>
      </c>
      <c r="K302" s="1580"/>
      <c r="L302" s="1580"/>
      <c r="M302" s="1580"/>
      <c r="N302" s="1580"/>
      <c r="O302" s="1580"/>
      <c r="P302" s="1580"/>
      <c r="Q302" s="1580"/>
      <c r="R302" s="1580"/>
      <c r="S302" s="1580"/>
      <c r="T302" s="1580"/>
      <c r="U302" s="1580"/>
      <c r="V302" s="1580"/>
      <c r="W302" s="1580"/>
      <c r="X302" s="1580"/>
      <c r="Y302" s="1580"/>
      <c r="Z302" s="1580"/>
      <c r="AA302" s="1580"/>
      <c r="AB302" s="1580"/>
      <c r="AC302" s="1580"/>
      <c r="AD302" s="1580"/>
      <c r="AE302" s="1580"/>
      <c r="AF302" s="1580"/>
    </row>
    <row r="303" spans="1:38" ht="5.25" customHeight="1">
      <c r="A303" s="1579"/>
      <c r="B303" s="1579"/>
      <c r="C303" s="1579"/>
      <c r="D303" s="1579"/>
      <c r="E303" s="1579"/>
      <c r="F303" s="1579"/>
      <c r="G303" s="1579"/>
      <c r="H303" s="1579"/>
      <c r="I303" s="1579"/>
      <c r="J303" s="1573" t="s">
        <v>6760</v>
      </c>
      <c r="K303" s="1573"/>
      <c r="L303" s="1573"/>
      <c r="M303" s="1573"/>
      <c r="N303" s="1573"/>
      <c r="O303" s="1573"/>
      <c r="P303" s="1573"/>
      <c r="Q303" s="1573"/>
      <c r="R303" s="1573"/>
      <c r="S303" s="1573"/>
      <c r="T303" s="1573"/>
      <c r="U303" s="1573"/>
      <c r="V303" s="1573"/>
      <c r="W303" s="1573"/>
      <c r="X303" s="1573"/>
      <c r="Y303" s="1573"/>
      <c r="Z303" s="1573"/>
      <c r="AA303" s="1573"/>
      <c r="AB303" s="1573"/>
      <c r="AC303" s="1573"/>
      <c r="AD303" s="1573"/>
      <c r="AE303" s="1573"/>
    </row>
    <row r="304" spans="1:38" ht="8.1" customHeight="1">
      <c r="C304" s="1572" t="s">
        <v>1920</v>
      </c>
      <c r="D304" s="1572"/>
      <c r="E304" s="1572"/>
      <c r="F304" s="1572"/>
      <c r="G304" s="1572"/>
      <c r="H304" s="1572"/>
      <c r="I304" s="1572"/>
      <c r="J304" s="1572"/>
      <c r="K304" s="1573"/>
      <c r="L304" s="1573"/>
      <c r="M304" s="1573"/>
      <c r="N304" s="1573"/>
      <c r="O304" s="1573"/>
      <c r="P304" s="1573"/>
      <c r="Q304" s="1573"/>
      <c r="R304" s="1573"/>
      <c r="S304" s="1573"/>
      <c r="T304" s="1573"/>
      <c r="U304" s="1573"/>
      <c r="V304" s="1573"/>
      <c r="W304" s="1573"/>
      <c r="X304" s="1573"/>
      <c r="Y304" s="1574" t="s">
        <v>5920</v>
      </c>
      <c r="Z304" s="1574"/>
      <c r="AA304" s="1574"/>
      <c r="AB304" s="1574"/>
      <c r="AC304" s="1574"/>
      <c r="AD304" s="1574"/>
      <c r="AE304" s="1574"/>
      <c r="AF304" s="1574"/>
      <c r="AG304" s="1574"/>
      <c r="AH304" s="1575" t="s">
        <v>6761</v>
      </c>
      <c r="AI304" s="1575"/>
      <c r="AJ304" s="1575"/>
      <c r="AK304" s="1575"/>
      <c r="AL304" s="1575"/>
    </row>
    <row r="305" spans="2:38" ht="6" customHeight="1">
      <c r="C305" s="1572"/>
      <c r="D305" s="1572"/>
      <c r="E305" s="1572"/>
      <c r="F305" s="1572"/>
      <c r="G305" s="1572"/>
      <c r="H305" s="1572"/>
      <c r="I305" s="1572"/>
      <c r="J305" s="1572"/>
      <c r="K305" s="1576" t="s">
        <v>1999</v>
      </c>
      <c r="L305" s="1576"/>
      <c r="M305" s="1576"/>
      <c r="N305" s="1576"/>
      <c r="O305" s="1576"/>
      <c r="P305" s="1576"/>
      <c r="Q305" s="1576"/>
      <c r="R305" s="1576"/>
      <c r="S305" s="1576"/>
      <c r="T305" s="1576"/>
      <c r="U305" s="1576"/>
      <c r="V305" s="1576"/>
      <c r="W305" s="1576"/>
      <c r="X305" s="1576"/>
      <c r="Y305" s="1574"/>
      <c r="Z305" s="1574"/>
      <c r="AA305" s="1574"/>
      <c r="AB305" s="1574"/>
      <c r="AC305" s="1574"/>
      <c r="AD305" s="1574"/>
      <c r="AE305" s="1574"/>
      <c r="AF305" s="1574"/>
      <c r="AG305" s="1574"/>
      <c r="AH305" s="1575"/>
      <c r="AI305" s="1575"/>
      <c r="AJ305" s="1575"/>
      <c r="AK305" s="1575"/>
      <c r="AL305" s="1575"/>
    </row>
    <row r="306" spans="2:38" ht="7.35" customHeight="1">
      <c r="C306" s="1572" t="s">
        <v>1998</v>
      </c>
      <c r="D306" s="1572"/>
      <c r="E306" s="1572"/>
      <c r="F306" s="1572"/>
      <c r="G306" s="1577"/>
      <c r="H306" s="1577"/>
      <c r="I306" s="1577"/>
      <c r="J306" s="1577"/>
      <c r="K306" s="1577"/>
      <c r="L306" s="1577"/>
      <c r="M306" s="1577"/>
      <c r="N306" s="1577"/>
      <c r="O306" s="1577"/>
      <c r="P306" s="1577"/>
      <c r="Q306" s="1577"/>
      <c r="R306" s="1577"/>
      <c r="S306" s="1577"/>
      <c r="T306" s="1577"/>
      <c r="U306" s="1577"/>
      <c r="V306" s="1577"/>
      <c r="W306" s="1577"/>
      <c r="X306" s="1577"/>
      <c r="Y306" s="1577"/>
      <c r="Z306" s="1577"/>
      <c r="AA306" s="1577"/>
      <c r="AB306" s="1577"/>
      <c r="AC306" s="1577"/>
      <c r="AD306" s="1577"/>
      <c r="AE306" s="1577"/>
      <c r="AF306" s="1574"/>
      <c r="AG306" s="1574"/>
      <c r="AH306" s="1574" t="s">
        <v>6762</v>
      </c>
      <c r="AI306" s="1574"/>
    </row>
    <row r="307" spans="2:38" ht="6.75" customHeight="1">
      <c r="G307" s="1577"/>
      <c r="H307" s="1577"/>
      <c r="I307" s="1577"/>
      <c r="J307" s="1577"/>
      <c r="K307" s="1577"/>
      <c r="L307" s="1577"/>
      <c r="M307" s="1577"/>
      <c r="N307" s="1577"/>
      <c r="O307" s="1577"/>
      <c r="P307" s="1577"/>
      <c r="Q307" s="1577"/>
      <c r="R307" s="1577"/>
      <c r="S307" s="1577"/>
      <c r="T307" s="1577"/>
      <c r="U307" s="1577"/>
      <c r="V307" s="1577"/>
      <c r="W307" s="1577"/>
      <c r="X307" s="1577"/>
      <c r="Y307" s="1577"/>
      <c r="Z307" s="1577"/>
      <c r="AA307" s="1577"/>
      <c r="AB307" s="1577"/>
      <c r="AC307" s="1577"/>
      <c r="AD307" s="1577"/>
      <c r="AE307" s="1577"/>
      <c r="AF307" s="1574"/>
      <c r="AG307" s="1574"/>
      <c r="AH307" s="1574"/>
      <c r="AI307" s="1574"/>
    </row>
    <row r="308" spans="2:38" ht="11.25" customHeight="1">
      <c r="O308" s="1570" t="s">
        <v>1318</v>
      </c>
      <c r="P308" s="1570"/>
      <c r="Q308" s="1570"/>
      <c r="V308" s="1570" t="s">
        <v>1319</v>
      </c>
      <c r="W308" s="1570"/>
      <c r="X308" s="1570"/>
      <c r="Y308" s="1570"/>
      <c r="AD308" s="1570" t="s">
        <v>1320</v>
      </c>
      <c r="AE308" s="1570"/>
      <c r="AF308" s="1570"/>
      <c r="AG308" s="1570"/>
      <c r="AH308" s="1570"/>
      <c r="AI308" s="1570"/>
      <c r="AJ308" s="1570"/>
    </row>
    <row r="309" spans="2:38" ht="8.4499999999999993" customHeight="1">
      <c r="B309" s="1571" t="s">
        <v>1321</v>
      </c>
      <c r="C309" s="1571"/>
      <c r="D309" s="1571"/>
      <c r="E309" s="1571" t="s">
        <v>1322</v>
      </c>
      <c r="F309" s="1571"/>
      <c r="G309" s="1571"/>
      <c r="J309" s="1571" t="s">
        <v>1323</v>
      </c>
      <c r="K309" s="1571"/>
      <c r="L309" s="1571"/>
      <c r="M309" s="1571"/>
      <c r="N309" s="1571"/>
      <c r="O309" s="1402" t="s">
        <v>1324</v>
      </c>
      <c r="Q309" s="1569" t="s">
        <v>1325</v>
      </c>
      <c r="R309" s="1569"/>
      <c r="U309" s="1569" t="s">
        <v>1324</v>
      </c>
      <c r="V309" s="1569"/>
      <c r="X309" s="1569" t="s">
        <v>1325</v>
      </c>
      <c r="Y309" s="1569"/>
      <c r="Z309" s="1569"/>
      <c r="AC309" s="1569" t="s">
        <v>1324</v>
      </c>
      <c r="AD309" s="1569"/>
      <c r="AE309" s="1569"/>
      <c r="AF309" s="1569"/>
      <c r="AH309" s="1569" t="s">
        <v>1325</v>
      </c>
      <c r="AI309" s="1569"/>
      <c r="AJ309" s="1569"/>
      <c r="AK309" s="1569"/>
    </row>
    <row r="310" spans="2:38" ht="9.9499999999999993" customHeight="1">
      <c r="B310" s="1568" t="s">
        <v>1326</v>
      </c>
      <c r="C310" s="1568"/>
      <c r="D310" s="1568"/>
      <c r="E310" s="1568" t="s">
        <v>1789</v>
      </c>
      <c r="F310" s="1568"/>
      <c r="G310" s="1568"/>
      <c r="H310" s="1568"/>
      <c r="J310" s="1568" t="s">
        <v>2129</v>
      </c>
      <c r="K310" s="1568"/>
      <c r="L310" s="1568"/>
      <c r="M310" s="1566">
        <v>0</v>
      </c>
      <c r="N310" s="1566"/>
      <c r="O310" s="1566"/>
      <c r="P310" s="1566">
        <v>0</v>
      </c>
      <c r="Q310" s="1566"/>
      <c r="R310" s="1566"/>
      <c r="S310" s="1566">
        <v>103.72</v>
      </c>
      <c r="T310" s="1566"/>
      <c r="U310" s="1566"/>
      <c r="V310" s="1566"/>
      <c r="W310" s="1566">
        <v>0</v>
      </c>
      <c r="X310" s="1566"/>
      <c r="Y310" s="1566"/>
      <c r="Z310" s="1566"/>
      <c r="AA310" s="1566">
        <v>103.72</v>
      </c>
      <c r="AB310" s="1566"/>
      <c r="AC310" s="1566"/>
      <c r="AD310" s="1566"/>
      <c r="AE310" s="1566"/>
      <c r="AF310" s="1566"/>
      <c r="AG310" s="1566">
        <v>0</v>
      </c>
      <c r="AH310" s="1566"/>
      <c r="AI310" s="1566"/>
      <c r="AJ310" s="1566"/>
      <c r="AK310" s="1566"/>
    </row>
    <row r="311" spans="2:38" ht="9.4" customHeight="1">
      <c r="B311" s="1568" t="s">
        <v>1326</v>
      </c>
      <c r="C311" s="1568"/>
      <c r="D311" s="1568"/>
      <c r="E311" s="1568" t="s">
        <v>1790</v>
      </c>
      <c r="F311" s="1568"/>
      <c r="G311" s="1568"/>
      <c r="H311" s="1568"/>
      <c r="J311" s="1568" t="s">
        <v>2130</v>
      </c>
      <c r="K311" s="1568"/>
      <c r="L311" s="1568"/>
      <c r="M311" s="1566">
        <v>22536.89</v>
      </c>
      <c r="N311" s="1566"/>
      <c r="O311" s="1566"/>
      <c r="P311" s="1566">
        <v>0</v>
      </c>
      <c r="Q311" s="1566"/>
      <c r="R311" s="1566"/>
      <c r="S311" s="1566">
        <v>7089.52</v>
      </c>
      <c r="T311" s="1566"/>
      <c r="U311" s="1566"/>
      <c r="V311" s="1566"/>
      <c r="W311" s="1566">
        <v>12651.24</v>
      </c>
      <c r="X311" s="1566"/>
      <c r="Y311" s="1566"/>
      <c r="Z311" s="1566"/>
      <c r="AA311" s="1566">
        <v>16975.169999999998</v>
      </c>
      <c r="AB311" s="1566"/>
      <c r="AC311" s="1566"/>
      <c r="AD311" s="1566"/>
      <c r="AE311" s="1566"/>
      <c r="AF311" s="1566"/>
      <c r="AG311" s="1566">
        <v>0</v>
      </c>
      <c r="AH311" s="1566"/>
      <c r="AI311" s="1566"/>
      <c r="AJ311" s="1566"/>
      <c r="AK311" s="1566"/>
    </row>
    <row r="312" spans="2:38" ht="9.4" customHeight="1">
      <c r="B312" s="1568" t="s">
        <v>1326</v>
      </c>
      <c r="C312" s="1568"/>
      <c r="D312" s="1568"/>
      <c r="E312" s="1568" t="s">
        <v>1785</v>
      </c>
      <c r="F312" s="1568"/>
      <c r="G312" s="1568"/>
      <c r="H312" s="1568"/>
      <c r="J312" s="1568" t="s">
        <v>2131</v>
      </c>
      <c r="K312" s="1568"/>
      <c r="L312" s="1568"/>
      <c r="M312" s="1566">
        <v>0</v>
      </c>
      <c r="N312" s="1566"/>
      <c r="O312" s="1566"/>
      <c r="P312" s="1566">
        <v>0</v>
      </c>
      <c r="Q312" s="1566"/>
      <c r="R312" s="1566"/>
      <c r="S312" s="1566">
        <v>2528.73</v>
      </c>
      <c r="T312" s="1566"/>
      <c r="U312" s="1566"/>
      <c r="V312" s="1566"/>
      <c r="W312" s="1566">
        <v>2528.73</v>
      </c>
      <c r="X312" s="1566"/>
      <c r="Y312" s="1566"/>
      <c r="Z312" s="1566"/>
      <c r="AA312" s="1566">
        <v>0</v>
      </c>
      <c r="AB312" s="1566"/>
      <c r="AC312" s="1566"/>
      <c r="AD312" s="1566"/>
      <c r="AE312" s="1566"/>
      <c r="AF312" s="1566"/>
      <c r="AG312" s="1566">
        <v>0</v>
      </c>
      <c r="AH312" s="1566"/>
      <c r="AI312" s="1566"/>
      <c r="AJ312" s="1566"/>
      <c r="AK312" s="1566"/>
    </row>
    <row r="313" spans="2:38" ht="9.4" customHeight="1">
      <c r="B313" s="1568" t="s">
        <v>1326</v>
      </c>
      <c r="C313" s="1568"/>
      <c r="D313" s="1568"/>
      <c r="E313" s="1568" t="s">
        <v>1791</v>
      </c>
      <c r="F313" s="1568"/>
      <c r="G313" s="1568"/>
      <c r="H313" s="1568"/>
      <c r="J313" s="1568" t="s">
        <v>2132</v>
      </c>
      <c r="K313" s="1568"/>
      <c r="L313" s="1568"/>
      <c r="M313" s="1566">
        <v>0</v>
      </c>
      <c r="N313" s="1566"/>
      <c r="O313" s="1566"/>
      <c r="P313" s="1566">
        <v>0</v>
      </c>
      <c r="Q313" s="1566"/>
      <c r="R313" s="1566"/>
      <c r="S313" s="1566">
        <v>1545.06</v>
      </c>
      <c r="T313" s="1566"/>
      <c r="U313" s="1566"/>
      <c r="V313" s="1566"/>
      <c r="W313" s="1566">
        <v>1545.06</v>
      </c>
      <c r="X313" s="1566"/>
      <c r="Y313" s="1566"/>
      <c r="Z313" s="1566"/>
      <c r="AA313" s="1566">
        <v>0</v>
      </c>
      <c r="AB313" s="1566"/>
      <c r="AC313" s="1566"/>
      <c r="AD313" s="1566"/>
      <c r="AE313" s="1566"/>
      <c r="AF313" s="1566"/>
      <c r="AG313" s="1566">
        <v>0</v>
      </c>
      <c r="AH313" s="1566"/>
      <c r="AI313" s="1566"/>
      <c r="AJ313" s="1566"/>
      <c r="AK313" s="1566"/>
    </row>
    <row r="314" spans="2:38" ht="9.4" customHeight="1">
      <c r="B314" s="1568" t="s">
        <v>1326</v>
      </c>
      <c r="C314" s="1568"/>
      <c r="D314" s="1568"/>
      <c r="E314" s="1568" t="s">
        <v>1792</v>
      </c>
      <c r="F314" s="1568"/>
      <c r="G314" s="1568"/>
      <c r="H314" s="1568"/>
      <c r="J314" s="1568" t="s">
        <v>2133</v>
      </c>
      <c r="K314" s="1568"/>
      <c r="L314" s="1568"/>
      <c r="M314" s="1566">
        <v>462.24</v>
      </c>
      <c r="N314" s="1566"/>
      <c r="O314" s="1566"/>
      <c r="P314" s="1566">
        <v>0</v>
      </c>
      <c r="Q314" s="1566"/>
      <c r="R314" s="1566"/>
      <c r="S314" s="1566">
        <v>0</v>
      </c>
      <c r="T314" s="1566"/>
      <c r="U314" s="1566"/>
      <c r="V314" s="1566"/>
      <c r="W314" s="1566">
        <v>0</v>
      </c>
      <c r="X314" s="1566"/>
      <c r="Y314" s="1566"/>
      <c r="Z314" s="1566"/>
      <c r="AA314" s="1566">
        <v>462.24</v>
      </c>
      <c r="AB314" s="1566"/>
      <c r="AC314" s="1566"/>
      <c r="AD314" s="1566"/>
      <c r="AE314" s="1566"/>
      <c r="AF314" s="1566"/>
      <c r="AG314" s="1566">
        <v>0</v>
      </c>
      <c r="AH314" s="1566"/>
      <c r="AI314" s="1566"/>
      <c r="AJ314" s="1566"/>
      <c r="AK314" s="1566"/>
    </row>
    <row r="315" spans="2:38" ht="9.4" customHeight="1">
      <c r="B315" s="1568" t="s">
        <v>1326</v>
      </c>
      <c r="C315" s="1568"/>
      <c r="D315" s="1568"/>
      <c r="E315" s="1568" t="s">
        <v>3126</v>
      </c>
      <c r="F315" s="1568"/>
      <c r="G315" s="1568"/>
      <c r="H315" s="1568"/>
      <c r="J315" s="1568" t="s">
        <v>3127</v>
      </c>
      <c r="K315" s="1568"/>
      <c r="L315" s="1568"/>
      <c r="M315" s="1566">
        <v>11271.83</v>
      </c>
      <c r="N315" s="1566"/>
      <c r="O315" s="1566"/>
      <c r="P315" s="1566">
        <v>0</v>
      </c>
      <c r="Q315" s="1566"/>
      <c r="R315" s="1566"/>
      <c r="S315" s="1566">
        <v>2086.0700000000002</v>
      </c>
      <c r="T315" s="1566"/>
      <c r="U315" s="1566"/>
      <c r="V315" s="1566"/>
      <c r="W315" s="1566">
        <v>0</v>
      </c>
      <c r="X315" s="1566"/>
      <c r="Y315" s="1566"/>
      <c r="Z315" s="1566"/>
      <c r="AA315" s="1566">
        <v>13357.9</v>
      </c>
      <c r="AB315" s="1566"/>
      <c r="AC315" s="1566"/>
      <c r="AD315" s="1566"/>
      <c r="AE315" s="1566"/>
      <c r="AF315" s="1566"/>
      <c r="AG315" s="1566">
        <v>0</v>
      </c>
      <c r="AH315" s="1566"/>
      <c r="AI315" s="1566"/>
      <c r="AJ315" s="1566"/>
      <c r="AK315" s="1566"/>
    </row>
    <row r="316" spans="2:38" ht="9.4" customHeight="1">
      <c r="B316" s="1568" t="s">
        <v>1326</v>
      </c>
      <c r="C316" s="1568"/>
      <c r="D316" s="1568"/>
      <c r="E316" s="1568" t="s">
        <v>1800</v>
      </c>
      <c r="F316" s="1568"/>
      <c r="G316" s="1568"/>
      <c r="H316" s="1568"/>
      <c r="J316" s="1568" t="s">
        <v>2134</v>
      </c>
      <c r="K316" s="1568"/>
      <c r="L316" s="1568"/>
      <c r="M316" s="1566">
        <v>57087.37</v>
      </c>
      <c r="N316" s="1566"/>
      <c r="O316" s="1566"/>
      <c r="P316" s="1566">
        <v>0</v>
      </c>
      <c r="Q316" s="1566"/>
      <c r="R316" s="1566"/>
      <c r="S316" s="1566">
        <v>7024.85</v>
      </c>
      <c r="T316" s="1566"/>
      <c r="U316" s="1566"/>
      <c r="V316" s="1566"/>
      <c r="W316" s="1566">
        <v>0</v>
      </c>
      <c r="X316" s="1566"/>
      <c r="Y316" s="1566"/>
      <c r="Z316" s="1566"/>
      <c r="AA316" s="1566">
        <v>64112.22</v>
      </c>
      <c r="AB316" s="1566"/>
      <c r="AC316" s="1566"/>
      <c r="AD316" s="1566"/>
      <c r="AE316" s="1566"/>
      <c r="AF316" s="1566"/>
      <c r="AG316" s="1566">
        <v>0</v>
      </c>
      <c r="AH316" s="1566"/>
      <c r="AI316" s="1566"/>
      <c r="AJ316" s="1566"/>
      <c r="AK316" s="1566"/>
    </row>
    <row r="317" spans="2:38" ht="9.4" customHeight="1">
      <c r="B317" s="1568" t="s">
        <v>1326</v>
      </c>
      <c r="C317" s="1568"/>
      <c r="D317" s="1568"/>
      <c r="E317" s="1568" t="s">
        <v>1801</v>
      </c>
      <c r="F317" s="1568"/>
      <c r="G317" s="1568"/>
      <c r="H317" s="1568"/>
      <c r="J317" s="1568" t="s">
        <v>2135</v>
      </c>
      <c r="K317" s="1568"/>
      <c r="L317" s="1568"/>
      <c r="M317" s="1566">
        <v>1513.94</v>
      </c>
      <c r="N317" s="1566"/>
      <c r="O317" s="1566"/>
      <c r="P317" s="1566">
        <v>0</v>
      </c>
      <c r="Q317" s="1566"/>
      <c r="R317" s="1566"/>
      <c r="S317" s="1566">
        <v>1382.87</v>
      </c>
      <c r="T317" s="1566"/>
      <c r="U317" s="1566"/>
      <c r="V317" s="1566"/>
      <c r="W317" s="1566">
        <v>2896.81</v>
      </c>
      <c r="X317" s="1566"/>
      <c r="Y317" s="1566"/>
      <c r="Z317" s="1566"/>
      <c r="AA317" s="1566">
        <v>0</v>
      </c>
      <c r="AB317" s="1566"/>
      <c r="AC317" s="1566"/>
      <c r="AD317" s="1566"/>
      <c r="AE317" s="1566"/>
      <c r="AF317" s="1566"/>
      <c r="AG317" s="1566">
        <v>0</v>
      </c>
      <c r="AH317" s="1566"/>
      <c r="AI317" s="1566"/>
      <c r="AJ317" s="1566"/>
      <c r="AK317" s="1566"/>
    </row>
    <row r="318" spans="2:38" ht="9.4" customHeight="1">
      <c r="B318" s="1568" t="s">
        <v>1326</v>
      </c>
      <c r="C318" s="1568"/>
      <c r="D318" s="1568"/>
      <c r="E318" s="1568" t="s">
        <v>1793</v>
      </c>
      <c r="F318" s="1568"/>
      <c r="G318" s="1568"/>
      <c r="H318" s="1568"/>
      <c r="J318" s="1568" t="s">
        <v>2136</v>
      </c>
      <c r="K318" s="1568"/>
      <c r="L318" s="1568"/>
      <c r="M318" s="1566">
        <v>2883.37</v>
      </c>
      <c r="N318" s="1566"/>
      <c r="O318" s="1566"/>
      <c r="P318" s="1566">
        <v>0</v>
      </c>
      <c r="Q318" s="1566"/>
      <c r="R318" s="1566"/>
      <c r="S318" s="1566">
        <v>4943.1099999999997</v>
      </c>
      <c r="T318" s="1566"/>
      <c r="U318" s="1566"/>
      <c r="V318" s="1566"/>
      <c r="W318" s="1566">
        <v>4943.1099999999997</v>
      </c>
      <c r="X318" s="1566"/>
      <c r="Y318" s="1566"/>
      <c r="Z318" s="1566"/>
      <c r="AA318" s="1566">
        <v>2883.37</v>
      </c>
      <c r="AB318" s="1566"/>
      <c r="AC318" s="1566"/>
      <c r="AD318" s="1566"/>
      <c r="AE318" s="1566"/>
      <c r="AF318" s="1566"/>
      <c r="AG318" s="1566">
        <v>0</v>
      </c>
      <c r="AH318" s="1566"/>
      <c r="AI318" s="1566"/>
      <c r="AJ318" s="1566"/>
      <c r="AK318" s="1566"/>
    </row>
    <row r="319" spans="2:38" ht="9.4" customHeight="1">
      <c r="B319" s="1568" t="s">
        <v>1326</v>
      </c>
      <c r="C319" s="1568"/>
      <c r="D319" s="1568"/>
      <c r="E319" s="1568" t="s">
        <v>1794</v>
      </c>
      <c r="F319" s="1568"/>
      <c r="G319" s="1568"/>
      <c r="H319" s="1568"/>
      <c r="J319" s="1568" t="s">
        <v>2137</v>
      </c>
      <c r="K319" s="1568"/>
      <c r="L319" s="1568"/>
      <c r="M319" s="1566">
        <v>0</v>
      </c>
      <c r="N319" s="1566"/>
      <c r="O319" s="1566"/>
      <c r="P319" s="1566">
        <v>0</v>
      </c>
      <c r="Q319" s="1566"/>
      <c r="R319" s="1566"/>
      <c r="S319" s="1566">
        <v>2103.96</v>
      </c>
      <c r="T319" s="1566"/>
      <c r="U319" s="1566"/>
      <c r="V319" s="1566"/>
      <c r="W319" s="1566">
        <v>2103.96</v>
      </c>
      <c r="X319" s="1566"/>
      <c r="Y319" s="1566"/>
      <c r="Z319" s="1566"/>
      <c r="AA319" s="1566">
        <v>0</v>
      </c>
      <c r="AB319" s="1566"/>
      <c r="AC319" s="1566"/>
      <c r="AD319" s="1566"/>
      <c r="AE319" s="1566"/>
      <c r="AF319" s="1566"/>
      <c r="AG319" s="1566">
        <v>0</v>
      </c>
      <c r="AH319" s="1566"/>
      <c r="AI319" s="1566"/>
      <c r="AJ319" s="1566"/>
      <c r="AK319" s="1566"/>
    </row>
    <row r="320" spans="2:38" ht="9.4" customHeight="1">
      <c r="B320" s="1568" t="s">
        <v>1326</v>
      </c>
      <c r="C320" s="1568"/>
      <c r="D320" s="1568"/>
      <c r="E320" s="1568" t="s">
        <v>1802</v>
      </c>
      <c r="F320" s="1568"/>
      <c r="G320" s="1568"/>
      <c r="H320" s="1568"/>
      <c r="J320" s="1568" t="s">
        <v>2138</v>
      </c>
      <c r="K320" s="1568"/>
      <c r="L320" s="1568"/>
      <c r="M320" s="1566">
        <v>116.93</v>
      </c>
      <c r="N320" s="1566"/>
      <c r="O320" s="1566"/>
      <c r="P320" s="1566">
        <v>0</v>
      </c>
      <c r="Q320" s="1566"/>
      <c r="R320" s="1566"/>
      <c r="S320" s="1566">
        <v>161.72999999999999</v>
      </c>
      <c r="T320" s="1566"/>
      <c r="U320" s="1566"/>
      <c r="V320" s="1566"/>
      <c r="W320" s="1566">
        <v>278.66000000000003</v>
      </c>
      <c r="X320" s="1566"/>
      <c r="Y320" s="1566"/>
      <c r="Z320" s="1566"/>
      <c r="AA320" s="1566">
        <v>0</v>
      </c>
      <c r="AB320" s="1566"/>
      <c r="AC320" s="1566"/>
      <c r="AD320" s="1566"/>
      <c r="AE320" s="1566"/>
      <c r="AF320" s="1566"/>
      <c r="AG320" s="1566">
        <v>0</v>
      </c>
      <c r="AH320" s="1566"/>
      <c r="AI320" s="1566"/>
      <c r="AJ320" s="1566"/>
      <c r="AK320" s="1566"/>
    </row>
    <row r="321" spans="2:37" ht="9.4" customHeight="1">
      <c r="B321" s="1568" t="s">
        <v>1326</v>
      </c>
      <c r="C321" s="1568"/>
      <c r="D321" s="1568"/>
      <c r="E321" s="1568" t="s">
        <v>1795</v>
      </c>
      <c r="F321" s="1568"/>
      <c r="G321" s="1568"/>
      <c r="H321" s="1568"/>
      <c r="J321" s="1568" t="s">
        <v>2139</v>
      </c>
      <c r="K321" s="1568"/>
      <c r="L321" s="1568"/>
      <c r="M321" s="1566">
        <v>521.66</v>
      </c>
      <c r="N321" s="1566"/>
      <c r="O321" s="1566"/>
      <c r="P321" s="1566">
        <v>0</v>
      </c>
      <c r="Q321" s="1566"/>
      <c r="R321" s="1566"/>
      <c r="S321" s="1566">
        <v>716.66</v>
      </c>
      <c r="T321" s="1566"/>
      <c r="U321" s="1566"/>
      <c r="V321" s="1566"/>
      <c r="W321" s="1566">
        <v>0</v>
      </c>
      <c r="X321" s="1566"/>
      <c r="Y321" s="1566"/>
      <c r="Z321" s="1566"/>
      <c r="AA321" s="1566">
        <v>1238.32</v>
      </c>
      <c r="AB321" s="1566"/>
      <c r="AC321" s="1566"/>
      <c r="AD321" s="1566"/>
      <c r="AE321" s="1566"/>
      <c r="AF321" s="1566"/>
      <c r="AG321" s="1566">
        <v>0</v>
      </c>
      <c r="AH321" s="1566"/>
      <c r="AI321" s="1566"/>
      <c r="AJ321" s="1566"/>
      <c r="AK321" s="1566"/>
    </row>
    <row r="322" spans="2:37" ht="9.4" customHeight="1">
      <c r="B322" s="1568" t="s">
        <v>1326</v>
      </c>
      <c r="C322" s="1568"/>
      <c r="D322" s="1568"/>
      <c r="E322" s="1568" t="s">
        <v>1803</v>
      </c>
      <c r="F322" s="1568"/>
      <c r="G322" s="1568"/>
      <c r="H322" s="1568"/>
      <c r="J322" s="1568" t="s">
        <v>2140</v>
      </c>
      <c r="K322" s="1568"/>
      <c r="L322" s="1568"/>
      <c r="M322" s="1566">
        <v>0</v>
      </c>
      <c r="N322" s="1566"/>
      <c r="O322" s="1566"/>
      <c r="P322" s="1566">
        <v>0</v>
      </c>
      <c r="Q322" s="1566"/>
      <c r="R322" s="1566"/>
      <c r="S322" s="1566">
        <v>4845.43</v>
      </c>
      <c r="T322" s="1566"/>
      <c r="U322" s="1566"/>
      <c r="V322" s="1566"/>
      <c r="W322" s="1566">
        <v>4845.43</v>
      </c>
      <c r="X322" s="1566"/>
      <c r="Y322" s="1566"/>
      <c r="Z322" s="1566"/>
      <c r="AA322" s="1566">
        <v>0</v>
      </c>
      <c r="AB322" s="1566"/>
      <c r="AC322" s="1566"/>
      <c r="AD322" s="1566"/>
      <c r="AE322" s="1566"/>
      <c r="AF322" s="1566"/>
      <c r="AG322" s="1566">
        <v>0</v>
      </c>
      <c r="AH322" s="1566"/>
      <c r="AI322" s="1566"/>
      <c r="AJ322" s="1566"/>
      <c r="AK322" s="1566"/>
    </row>
    <row r="323" spans="2:37" ht="9.4" customHeight="1">
      <c r="B323" s="1568" t="s">
        <v>1326</v>
      </c>
      <c r="C323" s="1568"/>
      <c r="D323" s="1568"/>
      <c r="E323" s="1568" t="s">
        <v>1804</v>
      </c>
      <c r="F323" s="1568"/>
      <c r="G323" s="1568"/>
      <c r="H323" s="1568"/>
      <c r="J323" s="1568" t="s">
        <v>2141</v>
      </c>
      <c r="K323" s="1568"/>
      <c r="L323" s="1568"/>
      <c r="M323" s="1566">
        <v>649.9</v>
      </c>
      <c r="N323" s="1566"/>
      <c r="O323" s="1566"/>
      <c r="P323" s="1566">
        <v>0</v>
      </c>
      <c r="Q323" s="1566"/>
      <c r="R323" s="1566"/>
      <c r="S323" s="1566">
        <v>179.57</v>
      </c>
      <c r="T323" s="1566"/>
      <c r="U323" s="1566"/>
      <c r="V323" s="1566"/>
      <c r="W323" s="1566">
        <v>179.57</v>
      </c>
      <c r="X323" s="1566"/>
      <c r="Y323" s="1566"/>
      <c r="Z323" s="1566"/>
      <c r="AA323" s="1566">
        <v>649.9</v>
      </c>
      <c r="AB323" s="1566"/>
      <c r="AC323" s="1566"/>
      <c r="AD323" s="1566"/>
      <c r="AE323" s="1566"/>
      <c r="AF323" s="1566"/>
      <c r="AG323" s="1566">
        <v>0</v>
      </c>
      <c r="AH323" s="1566"/>
      <c r="AI323" s="1566"/>
      <c r="AJ323" s="1566"/>
      <c r="AK323" s="1566"/>
    </row>
    <row r="324" spans="2:37" ht="9.4" customHeight="1">
      <c r="B324" s="1568" t="s">
        <v>1326</v>
      </c>
      <c r="C324" s="1568"/>
      <c r="D324" s="1568"/>
      <c r="E324" s="1568" t="s">
        <v>6204</v>
      </c>
      <c r="F324" s="1568"/>
      <c r="G324" s="1568"/>
      <c r="H324" s="1568"/>
      <c r="J324" s="1568" t="s">
        <v>6205</v>
      </c>
      <c r="K324" s="1568"/>
      <c r="L324" s="1568"/>
      <c r="M324" s="1566">
        <v>0</v>
      </c>
      <c r="N324" s="1566"/>
      <c r="O324" s="1566"/>
      <c r="P324" s="1566">
        <v>0</v>
      </c>
      <c r="Q324" s="1566"/>
      <c r="R324" s="1566"/>
      <c r="S324" s="1566">
        <v>1796.29</v>
      </c>
      <c r="T324" s="1566"/>
      <c r="U324" s="1566"/>
      <c r="V324" s="1566"/>
      <c r="W324" s="1566">
        <v>1796.29</v>
      </c>
      <c r="X324" s="1566"/>
      <c r="Y324" s="1566"/>
      <c r="Z324" s="1566"/>
      <c r="AA324" s="1566">
        <v>0</v>
      </c>
      <c r="AB324" s="1566"/>
      <c r="AC324" s="1566"/>
      <c r="AD324" s="1566"/>
      <c r="AE324" s="1566"/>
      <c r="AF324" s="1566"/>
      <c r="AG324" s="1566">
        <v>0</v>
      </c>
      <c r="AH324" s="1566"/>
      <c r="AI324" s="1566"/>
      <c r="AJ324" s="1566"/>
      <c r="AK324" s="1566"/>
    </row>
    <row r="325" spans="2:37" ht="9.4" customHeight="1">
      <c r="B325" s="1568" t="s">
        <v>1326</v>
      </c>
      <c r="C325" s="1568"/>
      <c r="D325" s="1568"/>
      <c r="E325" s="1568" t="s">
        <v>2956</v>
      </c>
      <c r="F325" s="1568"/>
      <c r="G325" s="1568"/>
      <c r="H325" s="1568"/>
      <c r="J325" s="1568" t="s">
        <v>2244</v>
      </c>
      <c r="K325" s="1568"/>
      <c r="L325" s="1568"/>
      <c r="M325" s="1566">
        <v>0</v>
      </c>
      <c r="N325" s="1566"/>
      <c r="O325" s="1566"/>
      <c r="P325" s="1566">
        <v>0</v>
      </c>
      <c r="Q325" s="1566"/>
      <c r="R325" s="1566"/>
      <c r="S325" s="1566">
        <v>2176.88</v>
      </c>
      <c r="T325" s="1566"/>
      <c r="U325" s="1566"/>
      <c r="V325" s="1566"/>
      <c r="W325" s="1566">
        <v>2176.88</v>
      </c>
      <c r="X325" s="1566"/>
      <c r="Y325" s="1566"/>
      <c r="Z325" s="1566"/>
      <c r="AA325" s="1566">
        <v>0</v>
      </c>
      <c r="AB325" s="1566"/>
      <c r="AC325" s="1566"/>
      <c r="AD325" s="1566"/>
      <c r="AE325" s="1566"/>
      <c r="AF325" s="1566"/>
      <c r="AG325" s="1566">
        <v>0</v>
      </c>
      <c r="AH325" s="1566"/>
      <c r="AI325" s="1566"/>
      <c r="AJ325" s="1566"/>
      <c r="AK325" s="1566"/>
    </row>
    <row r="326" spans="2:37" ht="9.4" customHeight="1">
      <c r="B326" s="1568" t="s">
        <v>1326</v>
      </c>
      <c r="C326" s="1568"/>
      <c r="D326" s="1568"/>
      <c r="E326" s="1568" t="s">
        <v>2142</v>
      </c>
      <c r="F326" s="1568"/>
      <c r="G326" s="1568"/>
      <c r="H326" s="1568"/>
      <c r="J326" s="1568" t="s">
        <v>2143</v>
      </c>
      <c r="K326" s="1568"/>
      <c r="L326" s="1568"/>
      <c r="M326" s="1566">
        <v>314895.28999999998</v>
      </c>
      <c r="N326" s="1566"/>
      <c r="O326" s="1566"/>
      <c r="P326" s="1566">
        <v>0</v>
      </c>
      <c r="Q326" s="1566"/>
      <c r="R326" s="1566"/>
      <c r="S326" s="1566">
        <v>168616.81</v>
      </c>
      <c r="T326" s="1566"/>
      <c r="U326" s="1566"/>
      <c r="V326" s="1566"/>
      <c r="W326" s="1566">
        <v>314895.28999999998</v>
      </c>
      <c r="X326" s="1566"/>
      <c r="Y326" s="1566"/>
      <c r="Z326" s="1566"/>
      <c r="AA326" s="1566">
        <v>168616.81</v>
      </c>
      <c r="AB326" s="1566"/>
      <c r="AC326" s="1566"/>
      <c r="AD326" s="1566"/>
      <c r="AE326" s="1566"/>
      <c r="AF326" s="1566"/>
      <c r="AG326" s="1566">
        <v>0</v>
      </c>
      <c r="AH326" s="1566"/>
      <c r="AI326" s="1566"/>
      <c r="AJ326" s="1566"/>
      <c r="AK326" s="1566"/>
    </row>
    <row r="327" spans="2:37" ht="9.4" customHeight="1">
      <c r="B327" s="1568" t="s">
        <v>1326</v>
      </c>
      <c r="C327" s="1568"/>
      <c r="D327" s="1568"/>
      <c r="E327" s="1568" t="s">
        <v>2852</v>
      </c>
      <c r="F327" s="1568"/>
      <c r="G327" s="1568"/>
      <c r="H327" s="1568"/>
      <c r="J327" s="1568" t="s">
        <v>2853</v>
      </c>
      <c r="K327" s="1568"/>
      <c r="L327" s="1568"/>
      <c r="M327" s="1566">
        <v>623.76</v>
      </c>
      <c r="N327" s="1566"/>
      <c r="O327" s="1566"/>
      <c r="P327" s="1566">
        <v>0</v>
      </c>
      <c r="Q327" s="1566"/>
      <c r="R327" s="1566"/>
      <c r="S327" s="1566">
        <v>8610.7000000000007</v>
      </c>
      <c r="T327" s="1566"/>
      <c r="U327" s="1566"/>
      <c r="V327" s="1566"/>
      <c r="W327" s="1566">
        <v>9234.4599999999991</v>
      </c>
      <c r="X327" s="1566"/>
      <c r="Y327" s="1566"/>
      <c r="Z327" s="1566"/>
      <c r="AA327" s="1566">
        <v>0</v>
      </c>
      <c r="AB327" s="1566"/>
      <c r="AC327" s="1566"/>
      <c r="AD327" s="1566"/>
      <c r="AE327" s="1566"/>
      <c r="AF327" s="1566"/>
      <c r="AG327" s="1566">
        <v>0</v>
      </c>
      <c r="AH327" s="1566"/>
      <c r="AI327" s="1566"/>
      <c r="AJ327" s="1566"/>
      <c r="AK327" s="1566"/>
    </row>
    <row r="328" spans="2:37" ht="9.4" customHeight="1">
      <c r="B328" s="1568" t="s">
        <v>1326</v>
      </c>
      <c r="C328" s="1568"/>
      <c r="D328" s="1568"/>
      <c r="E328" s="1568" t="s">
        <v>2144</v>
      </c>
      <c r="F328" s="1568"/>
      <c r="G328" s="1568"/>
      <c r="H328" s="1568"/>
      <c r="J328" s="1568" t="s">
        <v>2145</v>
      </c>
      <c r="K328" s="1568"/>
      <c r="L328" s="1568"/>
      <c r="M328" s="1566">
        <v>15029.11</v>
      </c>
      <c r="N328" s="1566"/>
      <c r="O328" s="1566"/>
      <c r="P328" s="1566">
        <v>0</v>
      </c>
      <c r="Q328" s="1566"/>
      <c r="R328" s="1566"/>
      <c r="S328" s="1566">
        <v>14278.75</v>
      </c>
      <c r="T328" s="1566"/>
      <c r="U328" s="1566"/>
      <c r="V328" s="1566"/>
      <c r="W328" s="1566">
        <v>14278.75</v>
      </c>
      <c r="X328" s="1566"/>
      <c r="Y328" s="1566"/>
      <c r="Z328" s="1566"/>
      <c r="AA328" s="1566">
        <v>15029.11</v>
      </c>
      <c r="AB328" s="1566"/>
      <c r="AC328" s="1566"/>
      <c r="AD328" s="1566"/>
      <c r="AE328" s="1566"/>
      <c r="AF328" s="1566"/>
      <c r="AG328" s="1566">
        <v>0</v>
      </c>
      <c r="AH328" s="1566"/>
      <c r="AI328" s="1566"/>
      <c r="AJ328" s="1566"/>
      <c r="AK328" s="1566"/>
    </row>
    <row r="329" spans="2:37" ht="9.4" customHeight="1">
      <c r="B329" s="1568" t="s">
        <v>1326</v>
      </c>
      <c r="C329" s="1568"/>
      <c r="D329" s="1568"/>
      <c r="E329" s="1568" t="s">
        <v>2875</v>
      </c>
      <c r="F329" s="1568"/>
      <c r="G329" s="1568"/>
      <c r="H329" s="1568"/>
      <c r="J329" s="1568" t="s">
        <v>2876</v>
      </c>
      <c r="K329" s="1568"/>
      <c r="L329" s="1568"/>
      <c r="M329" s="1566">
        <v>0</v>
      </c>
      <c r="N329" s="1566"/>
      <c r="O329" s="1566"/>
      <c r="P329" s="1566">
        <v>0</v>
      </c>
      <c r="Q329" s="1566"/>
      <c r="R329" s="1566"/>
      <c r="S329" s="1566">
        <v>2511.2399999999998</v>
      </c>
      <c r="T329" s="1566"/>
      <c r="U329" s="1566"/>
      <c r="V329" s="1566"/>
      <c r="W329" s="1566">
        <v>2511.2399999999998</v>
      </c>
      <c r="X329" s="1566"/>
      <c r="Y329" s="1566"/>
      <c r="Z329" s="1566"/>
      <c r="AA329" s="1566">
        <v>0</v>
      </c>
      <c r="AB329" s="1566"/>
      <c r="AC329" s="1566"/>
      <c r="AD329" s="1566"/>
      <c r="AE329" s="1566"/>
      <c r="AF329" s="1566"/>
      <c r="AG329" s="1566">
        <v>0</v>
      </c>
      <c r="AH329" s="1566"/>
      <c r="AI329" s="1566"/>
      <c r="AJ329" s="1566"/>
      <c r="AK329" s="1566"/>
    </row>
    <row r="330" spans="2:37" ht="9.4" customHeight="1">
      <c r="B330" s="1568" t="s">
        <v>1326</v>
      </c>
      <c r="C330" s="1568"/>
      <c r="D330" s="1568"/>
      <c r="E330" s="1568" t="s">
        <v>2854</v>
      </c>
      <c r="F330" s="1568"/>
      <c r="G330" s="1568"/>
      <c r="H330" s="1568"/>
      <c r="J330" s="1568" t="s">
        <v>2855</v>
      </c>
      <c r="K330" s="1568"/>
      <c r="L330" s="1568"/>
      <c r="M330" s="1566">
        <v>3603.65</v>
      </c>
      <c r="N330" s="1566"/>
      <c r="O330" s="1566"/>
      <c r="P330" s="1566">
        <v>0</v>
      </c>
      <c r="Q330" s="1566"/>
      <c r="R330" s="1566"/>
      <c r="S330" s="1566">
        <v>4918.74</v>
      </c>
      <c r="T330" s="1566"/>
      <c r="U330" s="1566"/>
      <c r="V330" s="1566"/>
      <c r="W330" s="1566">
        <v>3603.65</v>
      </c>
      <c r="X330" s="1566"/>
      <c r="Y330" s="1566"/>
      <c r="Z330" s="1566"/>
      <c r="AA330" s="1566">
        <v>4918.74</v>
      </c>
      <c r="AB330" s="1566"/>
      <c r="AC330" s="1566"/>
      <c r="AD330" s="1566"/>
      <c r="AE330" s="1566"/>
      <c r="AF330" s="1566"/>
      <c r="AG330" s="1566">
        <v>0</v>
      </c>
      <c r="AH330" s="1566"/>
      <c r="AI330" s="1566"/>
      <c r="AJ330" s="1566"/>
      <c r="AK330" s="1566"/>
    </row>
    <row r="331" spans="2:37" ht="9.4" customHeight="1">
      <c r="B331" s="1568" t="s">
        <v>1326</v>
      </c>
      <c r="C331" s="1568"/>
      <c r="D331" s="1568"/>
      <c r="E331" s="1568" t="s">
        <v>2856</v>
      </c>
      <c r="F331" s="1568"/>
      <c r="G331" s="1568"/>
      <c r="H331" s="1568"/>
      <c r="J331" s="1568" t="s">
        <v>2857</v>
      </c>
      <c r="K331" s="1568"/>
      <c r="L331" s="1568"/>
      <c r="M331" s="1566">
        <v>50454.559999999998</v>
      </c>
      <c r="N331" s="1566"/>
      <c r="O331" s="1566"/>
      <c r="P331" s="1566">
        <v>0</v>
      </c>
      <c r="Q331" s="1566"/>
      <c r="R331" s="1566"/>
      <c r="S331" s="1566">
        <v>0</v>
      </c>
      <c r="T331" s="1566"/>
      <c r="U331" s="1566"/>
      <c r="V331" s="1566"/>
      <c r="W331" s="1566">
        <v>0</v>
      </c>
      <c r="X331" s="1566"/>
      <c r="Y331" s="1566"/>
      <c r="Z331" s="1566"/>
      <c r="AA331" s="1566">
        <v>50454.559999999998</v>
      </c>
      <c r="AB331" s="1566"/>
      <c r="AC331" s="1566"/>
      <c r="AD331" s="1566"/>
      <c r="AE331" s="1566"/>
      <c r="AF331" s="1566"/>
      <c r="AG331" s="1566">
        <v>0</v>
      </c>
      <c r="AH331" s="1566"/>
      <c r="AI331" s="1566"/>
      <c r="AJ331" s="1566"/>
      <c r="AK331" s="1566"/>
    </row>
    <row r="332" spans="2:37" ht="9.4" customHeight="1">
      <c r="B332" s="1568" t="s">
        <v>1326</v>
      </c>
      <c r="C332" s="1568"/>
      <c r="D332" s="1568"/>
      <c r="E332" s="1568" t="s">
        <v>2877</v>
      </c>
      <c r="F332" s="1568"/>
      <c r="G332" s="1568"/>
      <c r="H332" s="1568"/>
      <c r="J332" s="1568" t="s">
        <v>2878</v>
      </c>
      <c r="K332" s="1568"/>
      <c r="L332" s="1568"/>
      <c r="M332" s="1566">
        <v>10768.67</v>
      </c>
      <c r="N332" s="1566"/>
      <c r="O332" s="1566"/>
      <c r="P332" s="1566">
        <v>0</v>
      </c>
      <c r="Q332" s="1566"/>
      <c r="R332" s="1566"/>
      <c r="S332" s="1566">
        <v>0</v>
      </c>
      <c r="T332" s="1566"/>
      <c r="U332" s="1566"/>
      <c r="V332" s="1566"/>
      <c r="W332" s="1566">
        <v>0</v>
      </c>
      <c r="X332" s="1566"/>
      <c r="Y332" s="1566"/>
      <c r="Z332" s="1566"/>
      <c r="AA332" s="1566">
        <v>10768.67</v>
      </c>
      <c r="AB332" s="1566"/>
      <c r="AC332" s="1566"/>
      <c r="AD332" s="1566"/>
      <c r="AE332" s="1566"/>
      <c r="AF332" s="1566"/>
      <c r="AG332" s="1566">
        <v>0</v>
      </c>
      <c r="AH332" s="1566"/>
      <c r="AI332" s="1566"/>
      <c r="AJ332" s="1566"/>
      <c r="AK332" s="1566"/>
    </row>
    <row r="333" spans="2:37" ht="9.4" customHeight="1">
      <c r="B333" s="1568" t="s">
        <v>1326</v>
      </c>
      <c r="C333" s="1568"/>
      <c r="D333" s="1568"/>
      <c r="E333" s="1568" t="s">
        <v>2993</v>
      </c>
      <c r="F333" s="1568"/>
      <c r="G333" s="1568"/>
      <c r="H333" s="1568"/>
      <c r="J333" s="1568" t="s">
        <v>2994</v>
      </c>
      <c r="K333" s="1568"/>
      <c r="L333" s="1568"/>
      <c r="M333" s="1566">
        <v>56183</v>
      </c>
      <c r="N333" s="1566"/>
      <c r="O333" s="1566"/>
      <c r="P333" s="1566">
        <v>0</v>
      </c>
      <c r="Q333" s="1566"/>
      <c r="R333" s="1566"/>
      <c r="S333" s="1566">
        <v>4639.66</v>
      </c>
      <c r="T333" s="1566"/>
      <c r="U333" s="1566"/>
      <c r="V333" s="1566"/>
      <c r="W333" s="1566">
        <v>3923</v>
      </c>
      <c r="X333" s="1566"/>
      <c r="Y333" s="1566"/>
      <c r="Z333" s="1566"/>
      <c r="AA333" s="1566">
        <v>56899.66</v>
      </c>
      <c r="AB333" s="1566"/>
      <c r="AC333" s="1566"/>
      <c r="AD333" s="1566"/>
      <c r="AE333" s="1566"/>
      <c r="AF333" s="1566"/>
      <c r="AG333" s="1566">
        <v>0</v>
      </c>
      <c r="AH333" s="1566"/>
      <c r="AI333" s="1566"/>
      <c r="AJ333" s="1566"/>
      <c r="AK333" s="1566"/>
    </row>
    <row r="334" spans="2:37" ht="9.4" customHeight="1">
      <c r="B334" s="1568" t="s">
        <v>1326</v>
      </c>
      <c r="C334" s="1568"/>
      <c r="D334" s="1568"/>
      <c r="E334" s="1568" t="s">
        <v>3357</v>
      </c>
      <c r="F334" s="1568"/>
      <c r="G334" s="1568"/>
      <c r="H334" s="1568"/>
      <c r="J334" s="1568" t="s">
        <v>3358</v>
      </c>
      <c r="K334" s="1568"/>
      <c r="L334" s="1568"/>
      <c r="M334" s="1566">
        <v>0</v>
      </c>
      <c r="N334" s="1566"/>
      <c r="O334" s="1566"/>
      <c r="P334" s="1566">
        <v>0</v>
      </c>
      <c r="Q334" s="1566"/>
      <c r="R334" s="1566"/>
      <c r="S334" s="1566">
        <v>0</v>
      </c>
      <c r="T334" s="1566"/>
      <c r="U334" s="1566"/>
      <c r="V334" s="1566"/>
      <c r="W334" s="1566">
        <v>0</v>
      </c>
      <c r="X334" s="1566"/>
      <c r="Y334" s="1566"/>
      <c r="Z334" s="1566"/>
      <c r="AA334" s="1566">
        <v>0</v>
      </c>
      <c r="AB334" s="1566"/>
      <c r="AC334" s="1566"/>
      <c r="AD334" s="1566"/>
      <c r="AE334" s="1566"/>
      <c r="AF334" s="1566"/>
      <c r="AG334" s="1566">
        <v>0</v>
      </c>
      <c r="AH334" s="1566"/>
      <c r="AI334" s="1566"/>
      <c r="AJ334" s="1566"/>
      <c r="AK334" s="1566"/>
    </row>
    <row r="335" spans="2:37" ht="9.4" customHeight="1">
      <c r="B335" s="1568" t="s">
        <v>1326</v>
      </c>
      <c r="C335" s="1568"/>
      <c r="D335" s="1568"/>
      <c r="E335" s="1568" t="s">
        <v>2957</v>
      </c>
      <c r="F335" s="1568"/>
      <c r="G335" s="1568"/>
      <c r="H335" s="1568"/>
      <c r="J335" s="1568" t="s">
        <v>2958</v>
      </c>
      <c r="K335" s="1568"/>
      <c r="L335" s="1568"/>
      <c r="M335" s="1566">
        <v>0</v>
      </c>
      <c r="N335" s="1566"/>
      <c r="O335" s="1566"/>
      <c r="P335" s="1566">
        <v>0</v>
      </c>
      <c r="Q335" s="1566"/>
      <c r="R335" s="1566"/>
      <c r="S335" s="1566">
        <v>1358.31</v>
      </c>
      <c r="T335" s="1566"/>
      <c r="U335" s="1566"/>
      <c r="V335" s="1566"/>
      <c r="W335" s="1566">
        <v>1358.31</v>
      </c>
      <c r="X335" s="1566"/>
      <c r="Y335" s="1566"/>
      <c r="Z335" s="1566"/>
      <c r="AA335" s="1566">
        <v>0</v>
      </c>
      <c r="AB335" s="1566"/>
      <c r="AC335" s="1566"/>
      <c r="AD335" s="1566"/>
      <c r="AE335" s="1566"/>
      <c r="AF335" s="1566"/>
      <c r="AG335" s="1566">
        <v>0</v>
      </c>
      <c r="AH335" s="1566"/>
      <c r="AI335" s="1566"/>
      <c r="AJ335" s="1566"/>
      <c r="AK335" s="1566"/>
    </row>
    <row r="336" spans="2:37" ht="9.4" customHeight="1">
      <c r="B336" s="1568" t="s">
        <v>1326</v>
      </c>
      <c r="C336" s="1568"/>
      <c r="D336" s="1568"/>
      <c r="E336" s="1568" t="s">
        <v>3134</v>
      </c>
      <c r="F336" s="1568"/>
      <c r="G336" s="1568"/>
      <c r="H336" s="1568"/>
      <c r="J336" s="1568" t="s">
        <v>3135</v>
      </c>
      <c r="K336" s="1568"/>
      <c r="L336" s="1568"/>
      <c r="M336" s="1566">
        <v>1405.2</v>
      </c>
      <c r="N336" s="1566"/>
      <c r="O336" s="1566"/>
      <c r="P336" s="1566">
        <v>0</v>
      </c>
      <c r="Q336" s="1566"/>
      <c r="R336" s="1566"/>
      <c r="S336" s="1566">
        <v>1101.57</v>
      </c>
      <c r="T336" s="1566"/>
      <c r="U336" s="1566"/>
      <c r="V336" s="1566"/>
      <c r="W336" s="1566">
        <v>0</v>
      </c>
      <c r="X336" s="1566"/>
      <c r="Y336" s="1566"/>
      <c r="Z336" s="1566"/>
      <c r="AA336" s="1566">
        <v>2506.77</v>
      </c>
      <c r="AB336" s="1566"/>
      <c r="AC336" s="1566"/>
      <c r="AD336" s="1566"/>
      <c r="AE336" s="1566"/>
      <c r="AF336" s="1566"/>
      <c r="AG336" s="1566">
        <v>0</v>
      </c>
      <c r="AH336" s="1566"/>
      <c r="AI336" s="1566"/>
      <c r="AJ336" s="1566"/>
      <c r="AK336" s="1566"/>
    </row>
    <row r="337" spans="2:37" ht="9.4" customHeight="1">
      <c r="B337" s="1568" t="s">
        <v>1326</v>
      </c>
      <c r="C337" s="1568"/>
      <c r="D337" s="1568"/>
      <c r="E337" s="1568" t="s">
        <v>2959</v>
      </c>
      <c r="F337" s="1568"/>
      <c r="G337" s="1568"/>
      <c r="H337" s="1568"/>
      <c r="J337" s="1568" t="s">
        <v>2960</v>
      </c>
      <c r="K337" s="1568"/>
      <c r="L337" s="1568"/>
      <c r="M337" s="1566">
        <v>0</v>
      </c>
      <c r="N337" s="1566"/>
      <c r="O337" s="1566"/>
      <c r="P337" s="1566">
        <v>0</v>
      </c>
      <c r="Q337" s="1566"/>
      <c r="R337" s="1566"/>
      <c r="S337" s="1566">
        <v>9204.16</v>
      </c>
      <c r="T337" s="1566"/>
      <c r="U337" s="1566"/>
      <c r="V337" s="1566"/>
      <c r="W337" s="1566">
        <v>9204.16</v>
      </c>
      <c r="X337" s="1566"/>
      <c r="Y337" s="1566"/>
      <c r="Z337" s="1566"/>
      <c r="AA337" s="1566">
        <v>0</v>
      </c>
      <c r="AB337" s="1566"/>
      <c r="AC337" s="1566"/>
      <c r="AD337" s="1566"/>
      <c r="AE337" s="1566"/>
      <c r="AF337" s="1566"/>
      <c r="AG337" s="1566">
        <v>0</v>
      </c>
      <c r="AH337" s="1566"/>
      <c r="AI337" s="1566"/>
      <c r="AJ337" s="1566"/>
      <c r="AK337" s="1566"/>
    </row>
    <row r="338" spans="2:37" ht="9.4" customHeight="1">
      <c r="B338" s="1568" t="s">
        <v>1326</v>
      </c>
      <c r="C338" s="1568"/>
      <c r="D338" s="1568"/>
      <c r="E338" s="1568" t="s">
        <v>2903</v>
      </c>
      <c r="F338" s="1568"/>
      <c r="G338" s="1568"/>
      <c r="H338" s="1568"/>
      <c r="J338" s="1568" t="s">
        <v>2904</v>
      </c>
      <c r="K338" s="1568"/>
      <c r="L338" s="1568"/>
      <c r="M338" s="1566">
        <v>8524.81</v>
      </c>
      <c r="N338" s="1566"/>
      <c r="O338" s="1566"/>
      <c r="P338" s="1566">
        <v>0</v>
      </c>
      <c r="Q338" s="1566"/>
      <c r="R338" s="1566"/>
      <c r="S338" s="1566">
        <v>3352.26</v>
      </c>
      <c r="T338" s="1566"/>
      <c r="U338" s="1566"/>
      <c r="V338" s="1566"/>
      <c r="W338" s="1566">
        <v>2698.64</v>
      </c>
      <c r="X338" s="1566"/>
      <c r="Y338" s="1566"/>
      <c r="Z338" s="1566"/>
      <c r="AA338" s="1566">
        <v>9178.43</v>
      </c>
      <c r="AB338" s="1566"/>
      <c r="AC338" s="1566"/>
      <c r="AD338" s="1566"/>
      <c r="AE338" s="1566"/>
      <c r="AF338" s="1566"/>
      <c r="AG338" s="1566">
        <v>0</v>
      </c>
      <c r="AH338" s="1566"/>
      <c r="AI338" s="1566"/>
      <c r="AJ338" s="1566"/>
      <c r="AK338" s="1566"/>
    </row>
    <row r="339" spans="2:37" ht="9.4" customHeight="1">
      <c r="B339" s="1568" t="s">
        <v>1326</v>
      </c>
      <c r="C339" s="1568"/>
      <c r="D339" s="1568"/>
      <c r="E339" s="1568" t="s">
        <v>2961</v>
      </c>
      <c r="F339" s="1568"/>
      <c r="G339" s="1568"/>
      <c r="H339" s="1568"/>
      <c r="J339" s="1568" t="s">
        <v>2962</v>
      </c>
      <c r="K339" s="1568"/>
      <c r="L339" s="1568"/>
      <c r="M339" s="1566">
        <v>14454.8</v>
      </c>
      <c r="N339" s="1566"/>
      <c r="O339" s="1566"/>
      <c r="P339" s="1566">
        <v>0</v>
      </c>
      <c r="Q339" s="1566"/>
      <c r="R339" s="1566"/>
      <c r="S339" s="1566">
        <v>2378.96</v>
      </c>
      <c r="T339" s="1566"/>
      <c r="U339" s="1566"/>
      <c r="V339" s="1566"/>
      <c r="W339" s="1566">
        <v>2378.96</v>
      </c>
      <c r="X339" s="1566"/>
      <c r="Y339" s="1566"/>
      <c r="Z339" s="1566"/>
      <c r="AA339" s="1566">
        <v>14454.8</v>
      </c>
      <c r="AB339" s="1566"/>
      <c r="AC339" s="1566"/>
      <c r="AD339" s="1566"/>
      <c r="AE339" s="1566"/>
      <c r="AF339" s="1566"/>
      <c r="AG339" s="1566">
        <v>0</v>
      </c>
      <c r="AH339" s="1566"/>
      <c r="AI339" s="1566"/>
      <c r="AJ339" s="1566"/>
      <c r="AK339" s="1566"/>
    </row>
    <row r="340" spans="2:37" ht="9.1999999999999993" customHeight="1">
      <c r="J340" s="1568"/>
      <c r="K340" s="1568"/>
      <c r="L340" s="1568"/>
    </row>
    <row r="341" spans="2:37" ht="8.4499999999999993" customHeight="1">
      <c r="B341" s="1568" t="s">
        <v>1326</v>
      </c>
      <c r="C341" s="1568"/>
      <c r="D341" s="1568"/>
      <c r="E341" s="1568" t="s">
        <v>3128</v>
      </c>
      <c r="F341" s="1568"/>
      <c r="G341" s="1568"/>
      <c r="H341" s="1568"/>
      <c r="J341" s="1568" t="s">
        <v>3129</v>
      </c>
      <c r="K341" s="1568"/>
      <c r="L341" s="1568"/>
      <c r="M341" s="1566">
        <v>894.43</v>
      </c>
      <c r="N341" s="1566"/>
      <c r="O341" s="1566"/>
      <c r="P341" s="1566">
        <v>0</v>
      </c>
      <c r="Q341" s="1566"/>
      <c r="R341" s="1566"/>
      <c r="S341" s="1566">
        <v>478.83</v>
      </c>
      <c r="T341" s="1566"/>
      <c r="U341" s="1566"/>
      <c r="V341" s="1566"/>
      <c r="W341" s="1566">
        <v>478.83</v>
      </c>
      <c r="X341" s="1566"/>
      <c r="Y341" s="1566"/>
      <c r="Z341" s="1566"/>
      <c r="AA341" s="1566">
        <v>894.43</v>
      </c>
      <c r="AB341" s="1566"/>
      <c r="AC341" s="1566"/>
      <c r="AD341" s="1566"/>
      <c r="AE341" s="1566"/>
      <c r="AF341" s="1566"/>
      <c r="AG341" s="1566">
        <v>0</v>
      </c>
      <c r="AH341" s="1566"/>
      <c r="AI341" s="1566"/>
      <c r="AJ341" s="1566"/>
      <c r="AK341" s="1566"/>
    </row>
    <row r="342" spans="2:37" ht="9.4" customHeight="1">
      <c r="B342" s="1568" t="s">
        <v>1326</v>
      </c>
      <c r="C342" s="1568"/>
      <c r="D342" s="1568"/>
      <c r="E342" s="1568" t="s">
        <v>2963</v>
      </c>
      <c r="F342" s="1568"/>
      <c r="G342" s="1568"/>
      <c r="H342" s="1568"/>
      <c r="J342" s="1568" t="s">
        <v>2964</v>
      </c>
      <c r="K342" s="1568"/>
      <c r="L342" s="1568"/>
      <c r="M342" s="1566">
        <v>0</v>
      </c>
      <c r="N342" s="1566"/>
      <c r="O342" s="1566"/>
      <c r="P342" s="1566">
        <v>0</v>
      </c>
      <c r="Q342" s="1566"/>
      <c r="R342" s="1566"/>
      <c r="S342" s="1566">
        <v>3745.68</v>
      </c>
      <c r="T342" s="1566"/>
      <c r="U342" s="1566"/>
      <c r="V342" s="1566"/>
      <c r="W342" s="1566">
        <v>0</v>
      </c>
      <c r="X342" s="1566"/>
      <c r="Y342" s="1566"/>
      <c r="Z342" s="1566"/>
      <c r="AA342" s="1566">
        <v>3745.68</v>
      </c>
      <c r="AB342" s="1566"/>
      <c r="AC342" s="1566"/>
      <c r="AD342" s="1566"/>
      <c r="AE342" s="1566"/>
      <c r="AF342" s="1566"/>
      <c r="AG342" s="1566">
        <v>0</v>
      </c>
      <c r="AH342" s="1566"/>
      <c r="AI342" s="1566"/>
      <c r="AJ342" s="1566"/>
      <c r="AK342" s="1566"/>
    </row>
    <row r="343" spans="2:37" ht="9.4" customHeight="1">
      <c r="B343" s="1568" t="s">
        <v>1326</v>
      </c>
      <c r="C343" s="1568"/>
      <c r="D343" s="1568"/>
      <c r="E343" s="1568" t="s">
        <v>2977</v>
      </c>
      <c r="F343" s="1568"/>
      <c r="G343" s="1568"/>
      <c r="H343" s="1568"/>
      <c r="J343" s="1568" t="s">
        <v>2978</v>
      </c>
      <c r="K343" s="1568"/>
      <c r="L343" s="1568"/>
      <c r="M343" s="1566">
        <v>10063.52</v>
      </c>
      <c r="N343" s="1566"/>
      <c r="O343" s="1566"/>
      <c r="P343" s="1566">
        <v>0</v>
      </c>
      <c r="Q343" s="1566"/>
      <c r="R343" s="1566"/>
      <c r="S343" s="1566">
        <v>2536.7800000000002</v>
      </c>
      <c r="T343" s="1566"/>
      <c r="U343" s="1566"/>
      <c r="V343" s="1566"/>
      <c r="W343" s="1566">
        <v>0</v>
      </c>
      <c r="X343" s="1566"/>
      <c r="Y343" s="1566"/>
      <c r="Z343" s="1566"/>
      <c r="AA343" s="1566">
        <v>12600.3</v>
      </c>
      <c r="AB343" s="1566"/>
      <c r="AC343" s="1566"/>
      <c r="AD343" s="1566"/>
      <c r="AE343" s="1566"/>
      <c r="AF343" s="1566"/>
      <c r="AG343" s="1566">
        <v>0</v>
      </c>
      <c r="AH343" s="1566"/>
      <c r="AI343" s="1566"/>
      <c r="AJ343" s="1566"/>
      <c r="AK343" s="1566"/>
    </row>
    <row r="344" spans="2:37" ht="9.1999999999999993" customHeight="1">
      <c r="J344" s="1568"/>
      <c r="K344" s="1568"/>
      <c r="L344" s="1568"/>
    </row>
    <row r="345" spans="2:37" ht="8.4499999999999993" customHeight="1">
      <c r="B345" s="1568" t="s">
        <v>1326</v>
      </c>
      <c r="C345" s="1568"/>
      <c r="D345" s="1568"/>
      <c r="E345" s="1568" t="s">
        <v>3182</v>
      </c>
      <c r="F345" s="1568"/>
      <c r="G345" s="1568"/>
      <c r="H345" s="1568"/>
      <c r="J345" s="1568" t="s">
        <v>3183</v>
      </c>
      <c r="K345" s="1568"/>
      <c r="L345" s="1568"/>
      <c r="M345" s="1566">
        <v>0</v>
      </c>
      <c r="N345" s="1566"/>
      <c r="O345" s="1566"/>
      <c r="P345" s="1566">
        <v>0</v>
      </c>
      <c r="Q345" s="1566"/>
      <c r="R345" s="1566"/>
      <c r="S345" s="1566">
        <v>1761.55</v>
      </c>
      <c r="T345" s="1566"/>
      <c r="U345" s="1566"/>
      <c r="V345" s="1566"/>
      <c r="W345" s="1566">
        <v>1761.55</v>
      </c>
      <c r="X345" s="1566"/>
      <c r="Y345" s="1566"/>
      <c r="Z345" s="1566"/>
      <c r="AA345" s="1566">
        <v>0</v>
      </c>
      <c r="AB345" s="1566"/>
      <c r="AC345" s="1566"/>
      <c r="AD345" s="1566"/>
      <c r="AE345" s="1566"/>
      <c r="AF345" s="1566"/>
      <c r="AG345" s="1566">
        <v>0</v>
      </c>
      <c r="AH345" s="1566"/>
      <c r="AI345" s="1566"/>
      <c r="AJ345" s="1566"/>
      <c r="AK345" s="1566"/>
    </row>
    <row r="346" spans="2:37" ht="9.4" customHeight="1">
      <c r="B346" s="1568" t="s">
        <v>1326</v>
      </c>
      <c r="C346" s="1568"/>
      <c r="D346" s="1568"/>
      <c r="E346" s="1568" t="s">
        <v>2980</v>
      </c>
      <c r="F346" s="1568"/>
      <c r="G346" s="1568"/>
      <c r="H346" s="1568"/>
      <c r="J346" s="1568" t="s">
        <v>2981</v>
      </c>
      <c r="K346" s="1568"/>
      <c r="L346" s="1568"/>
      <c r="M346" s="1566">
        <v>4213.66</v>
      </c>
      <c r="N346" s="1566"/>
      <c r="O346" s="1566"/>
      <c r="P346" s="1566">
        <v>0</v>
      </c>
      <c r="Q346" s="1566"/>
      <c r="R346" s="1566"/>
      <c r="S346" s="1566">
        <v>2320.5300000000002</v>
      </c>
      <c r="T346" s="1566"/>
      <c r="U346" s="1566"/>
      <c r="V346" s="1566"/>
      <c r="W346" s="1566">
        <v>1833.38</v>
      </c>
      <c r="X346" s="1566"/>
      <c r="Y346" s="1566"/>
      <c r="Z346" s="1566"/>
      <c r="AA346" s="1566">
        <v>4700.8100000000004</v>
      </c>
      <c r="AB346" s="1566"/>
      <c r="AC346" s="1566"/>
      <c r="AD346" s="1566"/>
      <c r="AE346" s="1566"/>
      <c r="AF346" s="1566"/>
      <c r="AG346" s="1566">
        <v>0</v>
      </c>
      <c r="AH346" s="1566"/>
      <c r="AI346" s="1566"/>
      <c r="AJ346" s="1566"/>
      <c r="AK346" s="1566"/>
    </row>
    <row r="347" spans="2:37" ht="9.4" customHeight="1">
      <c r="B347" s="1568" t="s">
        <v>1326</v>
      </c>
      <c r="C347" s="1568"/>
      <c r="D347" s="1568"/>
      <c r="E347" s="1568" t="s">
        <v>2982</v>
      </c>
      <c r="F347" s="1568"/>
      <c r="G347" s="1568"/>
      <c r="H347" s="1568"/>
      <c r="J347" s="1568" t="s">
        <v>2983</v>
      </c>
      <c r="K347" s="1568"/>
      <c r="L347" s="1568"/>
      <c r="M347" s="1566">
        <v>1311.71</v>
      </c>
      <c r="N347" s="1566"/>
      <c r="O347" s="1566"/>
      <c r="P347" s="1566">
        <v>0</v>
      </c>
      <c r="Q347" s="1566"/>
      <c r="R347" s="1566"/>
      <c r="S347" s="1566">
        <v>1628.47</v>
      </c>
      <c r="T347" s="1566"/>
      <c r="U347" s="1566"/>
      <c r="V347" s="1566"/>
      <c r="W347" s="1566">
        <v>1628.47</v>
      </c>
      <c r="X347" s="1566"/>
      <c r="Y347" s="1566"/>
      <c r="Z347" s="1566"/>
      <c r="AA347" s="1566">
        <v>1311.71</v>
      </c>
      <c r="AB347" s="1566"/>
      <c r="AC347" s="1566"/>
      <c r="AD347" s="1566"/>
      <c r="AE347" s="1566"/>
      <c r="AF347" s="1566"/>
      <c r="AG347" s="1566">
        <v>0</v>
      </c>
      <c r="AH347" s="1566"/>
      <c r="AI347" s="1566"/>
      <c r="AJ347" s="1566"/>
      <c r="AK347" s="1566"/>
    </row>
    <row r="348" spans="2:37" ht="9.4" customHeight="1">
      <c r="B348" s="1568" t="s">
        <v>1326</v>
      </c>
      <c r="C348" s="1568"/>
      <c r="D348" s="1568"/>
      <c r="E348" s="1568" t="s">
        <v>2984</v>
      </c>
      <c r="F348" s="1568"/>
      <c r="G348" s="1568"/>
      <c r="H348" s="1568"/>
      <c r="J348" s="1568" t="s">
        <v>2985</v>
      </c>
      <c r="K348" s="1568"/>
      <c r="L348" s="1568"/>
      <c r="M348" s="1566">
        <v>0</v>
      </c>
      <c r="N348" s="1566"/>
      <c r="O348" s="1566"/>
      <c r="P348" s="1566">
        <v>0</v>
      </c>
      <c r="Q348" s="1566"/>
      <c r="R348" s="1566"/>
      <c r="S348" s="1566">
        <v>858.97</v>
      </c>
      <c r="T348" s="1566"/>
      <c r="U348" s="1566"/>
      <c r="V348" s="1566"/>
      <c r="W348" s="1566">
        <v>858.97</v>
      </c>
      <c r="X348" s="1566"/>
      <c r="Y348" s="1566"/>
      <c r="Z348" s="1566"/>
      <c r="AA348" s="1566">
        <v>0</v>
      </c>
      <c r="AB348" s="1566"/>
      <c r="AC348" s="1566"/>
      <c r="AD348" s="1566"/>
      <c r="AE348" s="1566"/>
      <c r="AF348" s="1566"/>
      <c r="AG348" s="1566">
        <v>0</v>
      </c>
      <c r="AH348" s="1566"/>
      <c r="AI348" s="1566"/>
      <c r="AJ348" s="1566"/>
      <c r="AK348" s="1566"/>
    </row>
    <row r="349" spans="2:37" ht="9.4" customHeight="1">
      <c r="B349" s="1568" t="s">
        <v>1326</v>
      </c>
      <c r="C349" s="1568"/>
      <c r="D349" s="1568"/>
      <c r="E349" s="1568" t="s">
        <v>2987</v>
      </c>
      <c r="F349" s="1568"/>
      <c r="G349" s="1568"/>
      <c r="H349" s="1568"/>
      <c r="J349" s="1568" t="s">
        <v>2988</v>
      </c>
      <c r="K349" s="1568"/>
      <c r="L349" s="1568"/>
      <c r="M349" s="1566">
        <v>7436.92</v>
      </c>
      <c r="N349" s="1566"/>
      <c r="O349" s="1566"/>
      <c r="P349" s="1566">
        <v>0</v>
      </c>
      <c r="Q349" s="1566"/>
      <c r="R349" s="1566"/>
      <c r="S349" s="1566">
        <v>881.4</v>
      </c>
      <c r="T349" s="1566"/>
      <c r="U349" s="1566"/>
      <c r="V349" s="1566"/>
      <c r="W349" s="1566">
        <v>881.4</v>
      </c>
      <c r="X349" s="1566"/>
      <c r="Y349" s="1566"/>
      <c r="Z349" s="1566"/>
      <c r="AA349" s="1566">
        <v>7436.92</v>
      </c>
      <c r="AB349" s="1566"/>
      <c r="AC349" s="1566"/>
      <c r="AD349" s="1566"/>
      <c r="AE349" s="1566"/>
      <c r="AF349" s="1566"/>
      <c r="AG349" s="1566">
        <v>0</v>
      </c>
      <c r="AH349" s="1566"/>
      <c r="AI349" s="1566"/>
      <c r="AJ349" s="1566"/>
      <c r="AK349" s="1566"/>
    </row>
    <row r="350" spans="2:37" ht="9.4" customHeight="1">
      <c r="B350" s="1568" t="s">
        <v>1326</v>
      </c>
      <c r="C350" s="1568"/>
      <c r="D350" s="1568"/>
      <c r="E350" s="1568" t="s">
        <v>3136</v>
      </c>
      <c r="F350" s="1568"/>
      <c r="G350" s="1568"/>
      <c r="H350" s="1568"/>
      <c r="J350" s="1568" t="s">
        <v>3137</v>
      </c>
      <c r="K350" s="1568"/>
      <c r="L350" s="1568"/>
      <c r="M350" s="1566">
        <v>0</v>
      </c>
      <c r="N350" s="1566"/>
      <c r="O350" s="1566"/>
      <c r="P350" s="1566">
        <v>0</v>
      </c>
      <c r="Q350" s="1566"/>
      <c r="R350" s="1566"/>
      <c r="S350" s="1566">
        <v>429.66</v>
      </c>
      <c r="T350" s="1566"/>
      <c r="U350" s="1566"/>
      <c r="V350" s="1566"/>
      <c r="W350" s="1566">
        <v>429.66</v>
      </c>
      <c r="X350" s="1566"/>
      <c r="Y350" s="1566"/>
      <c r="Z350" s="1566"/>
      <c r="AA350" s="1566">
        <v>0</v>
      </c>
      <c r="AB350" s="1566"/>
      <c r="AC350" s="1566"/>
      <c r="AD350" s="1566"/>
      <c r="AE350" s="1566"/>
      <c r="AF350" s="1566"/>
      <c r="AG350" s="1566">
        <v>0</v>
      </c>
      <c r="AH350" s="1566"/>
      <c r="AI350" s="1566"/>
      <c r="AJ350" s="1566"/>
      <c r="AK350" s="1566"/>
    </row>
    <row r="351" spans="2:37" ht="9.4" customHeight="1">
      <c r="B351" s="1568" t="s">
        <v>1326</v>
      </c>
      <c r="C351" s="1568"/>
      <c r="D351" s="1568"/>
      <c r="E351" s="1568" t="s">
        <v>4066</v>
      </c>
      <c r="F351" s="1568"/>
      <c r="G351" s="1568"/>
      <c r="H351" s="1568"/>
      <c r="J351" s="1568" t="s">
        <v>4067</v>
      </c>
      <c r="K351" s="1568"/>
      <c r="L351" s="1568"/>
      <c r="M351" s="1566">
        <v>475.08</v>
      </c>
      <c r="N351" s="1566"/>
      <c r="O351" s="1566"/>
      <c r="P351" s="1566">
        <v>0</v>
      </c>
      <c r="Q351" s="1566"/>
      <c r="R351" s="1566"/>
      <c r="S351" s="1566">
        <v>0</v>
      </c>
      <c r="T351" s="1566"/>
      <c r="U351" s="1566"/>
      <c r="V351" s="1566"/>
      <c r="W351" s="1566">
        <v>0</v>
      </c>
      <c r="X351" s="1566"/>
      <c r="Y351" s="1566"/>
      <c r="Z351" s="1566"/>
      <c r="AA351" s="1566">
        <v>475.08</v>
      </c>
      <c r="AB351" s="1566"/>
      <c r="AC351" s="1566"/>
      <c r="AD351" s="1566"/>
      <c r="AE351" s="1566"/>
      <c r="AF351" s="1566"/>
      <c r="AG351" s="1566">
        <v>0</v>
      </c>
      <c r="AH351" s="1566"/>
      <c r="AI351" s="1566"/>
      <c r="AJ351" s="1566"/>
      <c r="AK351" s="1566"/>
    </row>
    <row r="352" spans="2:37" ht="9.4" customHeight="1">
      <c r="B352" s="1568" t="s">
        <v>1326</v>
      </c>
      <c r="C352" s="1568"/>
      <c r="D352" s="1568"/>
      <c r="E352" s="1568" t="s">
        <v>3105</v>
      </c>
      <c r="F352" s="1568"/>
      <c r="G352" s="1568"/>
      <c r="H352" s="1568"/>
      <c r="J352" s="1568" t="s">
        <v>3106</v>
      </c>
      <c r="K352" s="1568"/>
      <c r="L352" s="1568"/>
      <c r="M352" s="1566">
        <v>0</v>
      </c>
      <c r="N352" s="1566"/>
      <c r="O352" s="1566"/>
      <c r="P352" s="1566">
        <v>0</v>
      </c>
      <c r="Q352" s="1566"/>
      <c r="R352" s="1566"/>
      <c r="S352" s="1566">
        <v>917.48</v>
      </c>
      <c r="T352" s="1566"/>
      <c r="U352" s="1566"/>
      <c r="V352" s="1566"/>
      <c r="W352" s="1566">
        <v>0</v>
      </c>
      <c r="X352" s="1566"/>
      <c r="Y352" s="1566"/>
      <c r="Z352" s="1566"/>
      <c r="AA352" s="1566">
        <v>917.48</v>
      </c>
      <c r="AB352" s="1566"/>
      <c r="AC352" s="1566"/>
      <c r="AD352" s="1566"/>
      <c r="AE352" s="1566"/>
      <c r="AF352" s="1566"/>
      <c r="AG352" s="1566">
        <v>0</v>
      </c>
      <c r="AH352" s="1566"/>
      <c r="AI352" s="1566"/>
      <c r="AJ352" s="1566"/>
      <c r="AK352" s="1566"/>
    </row>
    <row r="353" spans="1:38" ht="9.4" customHeight="1">
      <c r="B353" s="1568" t="s">
        <v>1326</v>
      </c>
      <c r="C353" s="1568"/>
      <c r="D353" s="1568"/>
      <c r="E353" s="1568" t="s">
        <v>3107</v>
      </c>
      <c r="F353" s="1568"/>
      <c r="G353" s="1568"/>
      <c r="H353" s="1568"/>
      <c r="J353" s="1568" t="s">
        <v>3108</v>
      </c>
      <c r="K353" s="1568"/>
      <c r="L353" s="1568"/>
      <c r="M353" s="1566">
        <v>3157.08</v>
      </c>
      <c r="N353" s="1566"/>
      <c r="O353" s="1566"/>
      <c r="P353" s="1566">
        <v>0</v>
      </c>
      <c r="Q353" s="1566"/>
      <c r="R353" s="1566"/>
      <c r="S353" s="1566">
        <v>1670.69</v>
      </c>
      <c r="T353" s="1566"/>
      <c r="U353" s="1566"/>
      <c r="V353" s="1566"/>
      <c r="W353" s="1566">
        <v>1486.38</v>
      </c>
      <c r="X353" s="1566"/>
      <c r="Y353" s="1566"/>
      <c r="Z353" s="1566"/>
      <c r="AA353" s="1566">
        <v>3341.39</v>
      </c>
      <c r="AB353" s="1566"/>
      <c r="AC353" s="1566"/>
      <c r="AD353" s="1566"/>
      <c r="AE353" s="1566"/>
      <c r="AF353" s="1566"/>
      <c r="AG353" s="1566">
        <v>0</v>
      </c>
      <c r="AH353" s="1566"/>
      <c r="AI353" s="1566"/>
      <c r="AJ353" s="1566"/>
      <c r="AK353" s="1566"/>
    </row>
    <row r="354" spans="1:38" ht="9.4" customHeight="1">
      <c r="B354" s="1568" t="s">
        <v>1326</v>
      </c>
      <c r="C354" s="1568"/>
      <c r="D354" s="1568"/>
      <c r="E354" s="1568" t="s">
        <v>3138</v>
      </c>
      <c r="F354" s="1568"/>
      <c r="G354" s="1568"/>
      <c r="H354" s="1568"/>
      <c r="J354" s="1568" t="s">
        <v>3139</v>
      </c>
      <c r="K354" s="1568"/>
      <c r="L354" s="1568"/>
      <c r="M354" s="1566">
        <v>237.53</v>
      </c>
      <c r="N354" s="1566"/>
      <c r="O354" s="1566"/>
      <c r="P354" s="1566">
        <v>0</v>
      </c>
      <c r="Q354" s="1566"/>
      <c r="R354" s="1566"/>
      <c r="S354" s="1566">
        <v>0</v>
      </c>
      <c r="T354" s="1566"/>
      <c r="U354" s="1566"/>
      <c r="V354" s="1566"/>
      <c r="W354" s="1566">
        <v>0</v>
      </c>
      <c r="X354" s="1566"/>
      <c r="Y354" s="1566"/>
      <c r="Z354" s="1566"/>
      <c r="AA354" s="1566">
        <v>237.53</v>
      </c>
      <c r="AB354" s="1566"/>
      <c r="AC354" s="1566"/>
      <c r="AD354" s="1566"/>
      <c r="AE354" s="1566"/>
      <c r="AF354" s="1566"/>
      <c r="AG354" s="1566">
        <v>0</v>
      </c>
      <c r="AH354" s="1566"/>
      <c r="AI354" s="1566"/>
      <c r="AJ354" s="1566"/>
      <c r="AK354" s="1566"/>
    </row>
    <row r="355" spans="1:38" ht="9.4" customHeight="1">
      <c r="B355" s="1568" t="s">
        <v>1326</v>
      </c>
      <c r="C355" s="1568"/>
      <c r="D355" s="1568"/>
      <c r="E355" s="1568" t="s">
        <v>3109</v>
      </c>
      <c r="F355" s="1568"/>
      <c r="G355" s="1568"/>
      <c r="H355" s="1568"/>
      <c r="J355" s="1568" t="s">
        <v>3110</v>
      </c>
      <c r="K355" s="1568"/>
      <c r="L355" s="1568"/>
      <c r="M355" s="1566">
        <v>221.44</v>
      </c>
      <c r="N355" s="1566"/>
      <c r="O355" s="1566"/>
      <c r="P355" s="1566">
        <v>0</v>
      </c>
      <c r="Q355" s="1566"/>
      <c r="R355" s="1566"/>
      <c r="S355" s="1566">
        <v>113.76</v>
      </c>
      <c r="T355" s="1566"/>
      <c r="U355" s="1566"/>
      <c r="V355" s="1566"/>
      <c r="W355" s="1566">
        <v>113.76</v>
      </c>
      <c r="X355" s="1566"/>
      <c r="Y355" s="1566"/>
      <c r="Z355" s="1566"/>
      <c r="AA355" s="1566">
        <v>221.44</v>
      </c>
      <c r="AB355" s="1566"/>
      <c r="AC355" s="1566"/>
      <c r="AD355" s="1566"/>
      <c r="AE355" s="1566"/>
      <c r="AF355" s="1566"/>
      <c r="AG355" s="1566">
        <v>0</v>
      </c>
      <c r="AH355" s="1566"/>
      <c r="AI355" s="1566"/>
      <c r="AJ355" s="1566"/>
      <c r="AK355" s="1566"/>
    </row>
    <row r="356" spans="1:38" ht="9.4" customHeight="1">
      <c r="B356" s="1568" t="s">
        <v>1326</v>
      </c>
      <c r="C356" s="1568"/>
      <c r="D356" s="1568"/>
      <c r="E356" s="1568" t="s">
        <v>3144</v>
      </c>
      <c r="F356" s="1568"/>
      <c r="G356" s="1568"/>
      <c r="H356" s="1568"/>
      <c r="J356" s="1568" t="s">
        <v>3145</v>
      </c>
      <c r="K356" s="1568"/>
      <c r="L356" s="1568"/>
      <c r="M356" s="1566">
        <v>522.72</v>
      </c>
      <c r="N356" s="1566"/>
      <c r="O356" s="1566"/>
      <c r="P356" s="1566">
        <v>0</v>
      </c>
      <c r="Q356" s="1566"/>
      <c r="R356" s="1566"/>
      <c r="S356" s="1566">
        <v>153.54</v>
      </c>
      <c r="T356" s="1566"/>
      <c r="U356" s="1566"/>
      <c r="V356" s="1566"/>
      <c r="W356" s="1566">
        <v>153.54</v>
      </c>
      <c r="X356" s="1566"/>
      <c r="Y356" s="1566"/>
      <c r="Z356" s="1566"/>
      <c r="AA356" s="1566">
        <v>522.72</v>
      </c>
      <c r="AB356" s="1566"/>
      <c r="AC356" s="1566"/>
      <c r="AD356" s="1566"/>
      <c r="AE356" s="1566"/>
      <c r="AF356" s="1566"/>
      <c r="AG356" s="1566">
        <v>0</v>
      </c>
      <c r="AH356" s="1566"/>
      <c r="AI356" s="1566"/>
      <c r="AJ356" s="1566"/>
      <c r="AK356" s="1566"/>
    </row>
    <row r="357" spans="1:38" ht="9.4" customHeight="1">
      <c r="B357" s="1568" t="s">
        <v>1326</v>
      </c>
      <c r="C357" s="1568"/>
      <c r="D357" s="1568"/>
      <c r="E357" s="1568" t="s">
        <v>3130</v>
      </c>
      <c r="F357" s="1568"/>
      <c r="G357" s="1568"/>
      <c r="H357" s="1568"/>
      <c r="J357" s="1568" t="s">
        <v>3131</v>
      </c>
      <c r="K357" s="1568"/>
      <c r="L357" s="1568"/>
      <c r="M357" s="1566">
        <v>0</v>
      </c>
      <c r="N357" s="1566"/>
      <c r="O357" s="1566"/>
      <c r="P357" s="1566">
        <v>0</v>
      </c>
      <c r="Q357" s="1566"/>
      <c r="R357" s="1566"/>
      <c r="S357" s="1566">
        <v>0</v>
      </c>
      <c r="T357" s="1566"/>
      <c r="U357" s="1566"/>
      <c r="V357" s="1566"/>
      <c r="W357" s="1566">
        <v>0</v>
      </c>
      <c r="X357" s="1566"/>
      <c r="Y357" s="1566"/>
      <c r="Z357" s="1566"/>
      <c r="AA357" s="1566">
        <v>0</v>
      </c>
      <c r="AB357" s="1566"/>
      <c r="AC357" s="1566"/>
      <c r="AD357" s="1566"/>
      <c r="AE357" s="1566"/>
      <c r="AF357" s="1566"/>
      <c r="AG357" s="1566">
        <v>0</v>
      </c>
      <c r="AH357" s="1566"/>
      <c r="AI357" s="1566"/>
      <c r="AJ357" s="1566"/>
      <c r="AK357" s="1566"/>
    </row>
    <row r="358" spans="1:38" ht="6.2" customHeight="1"/>
    <row r="359" spans="1:38" ht="14.1" customHeight="1">
      <c r="AG359" s="1565" t="s">
        <v>2127</v>
      </c>
      <c r="AH359" s="1565"/>
      <c r="AI359" s="1565"/>
      <c r="AJ359" s="1565"/>
      <c r="AK359" s="1565"/>
      <c r="AL359" s="1565"/>
    </row>
    <row r="360" spans="1:38" ht="7.15" customHeight="1">
      <c r="D360" s="1578" t="s">
        <v>2992</v>
      </c>
      <c r="E360" s="1578"/>
      <c r="F360" s="1578"/>
      <c r="G360" s="1578"/>
      <c r="H360" s="1578"/>
      <c r="I360" s="1578"/>
      <c r="J360" s="1578"/>
      <c r="K360" s="1578"/>
      <c r="L360" s="1578"/>
      <c r="M360" s="1578"/>
      <c r="N360" s="1578"/>
      <c r="O360" s="1578"/>
      <c r="P360" s="1578"/>
      <c r="Q360" s="1578"/>
      <c r="R360" s="1578"/>
      <c r="S360" s="1578"/>
      <c r="T360" s="1578"/>
      <c r="U360" s="1578"/>
      <c r="V360" s="1578"/>
      <c r="W360" s="1578"/>
      <c r="X360" s="1578"/>
      <c r="Y360" s="1578"/>
      <c r="Z360" s="1578"/>
      <c r="AA360" s="1578"/>
      <c r="AB360" s="1578"/>
      <c r="AC360" s="1578"/>
      <c r="AD360" s="1578"/>
      <c r="AE360" s="1578"/>
      <c r="AF360" s="1578"/>
      <c r="AG360" s="1578"/>
      <c r="AH360" s="1578"/>
    </row>
    <row r="361" spans="1:38" ht="9.6" customHeight="1">
      <c r="A361" s="1579"/>
      <c r="B361" s="1579"/>
      <c r="C361" s="1579"/>
      <c r="D361" s="1579"/>
      <c r="E361" s="1579"/>
      <c r="F361" s="1579"/>
      <c r="G361" s="1579"/>
      <c r="H361" s="1579"/>
      <c r="I361" s="1579"/>
      <c r="J361" s="1578"/>
      <c r="K361" s="1578"/>
      <c r="L361" s="1578"/>
      <c r="M361" s="1578"/>
      <c r="N361" s="1578"/>
      <c r="O361" s="1578"/>
      <c r="P361" s="1578"/>
      <c r="Q361" s="1578"/>
      <c r="R361" s="1578"/>
      <c r="S361" s="1578"/>
      <c r="T361" s="1578"/>
      <c r="U361" s="1578"/>
      <c r="V361" s="1578"/>
      <c r="W361" s="1578"/>
      <c r="X361" s="1578"/>
      <c r="Y361" s="1578"/>
      <c r="Z361" s="1578"/>
      <c r="AA361" s="1578"/>
      <c r="AB361" s="1578"/>
      <c r="AC361" s="1578"/>
      <c r="AD361" s="1578"/>
      <c r="AE361" s="1578"/>
      <c r="AF361" s="1578"/>
      <c r="AG361" s="1578"/>
      <c r="AH361" s="1578"/>
    </row>
    <row r="362" spans="1:38" ht="13.35" customHeight="1">
      <c r="A362" s="1579"/>
      <c r="B362" s="1579"/>
      <c r="C362" s="1579"/>
      <c r="D362" s="1579"/>
      <c r="E362" s="1579"/>
      <c r="F362" s="1579"/>
      <c r="G362" s="1579"/>
      <c r="H362" s="1579"/>
      <c r="I362" s="1579"/>
      <c r="J362" s="1580" t="s">
        <v>79</v>
      </c>
      <c r="K362" s="1580"/>
      <c r="L362" s="1580"/>
      <c r="M362" s="1580"/>
      <c r="N362" s="1580"/>
      <c r="O362" s="1580"/>
      <c r="P362" s="1580"/>
      <c r="Q362" s="1580"/>
      <c r="R362" s="1580"/>
      <c r="S362" s="1580"/>
      <c r="T362" s="1580"/>
      <c r="U362" s="1580"/>
      <c r="V362" s="1580"/>
      <c r="W362" s="1580"/>
      <c r="X362" s="1580"/>
      <c r="Y362" s="1580"/>
      <c r="Z362" s="1580"/>
      <c r="AA362" s="1580"/>
      <c r="AB362" s="1580"/>
      <c r="AC362" s="1580"/>
      <c r="AD362" s="1580"/>
      <c r="AE362" s="1580"/>
      <c r="AF362" s="1580"/>
    </row>
    <row r="363" spans="1:38" ht="5.25" customHeight="1">
      <c r="A363" s="1579"/>
      <c r="B363" s="1579"/>
      <c r="C363" s="1579"/>
      <c r="D363" s="1579"/>
      <c r="E363" s="1579"/>
      <c r="F363" s="1579"/>
      <c r="G363" s="1579"/>
      <c r="H363" s="1579"/>
      <c r="I363" s="1579"/>
      <c r="J363" s="1573" t="s">
        <v>6760</v>
      </c>
      <c r="K363" s="1573"/>
      <c r="L363" s="1573"/>
      <c r="M363" s="1573"/>
      <c r="N363" s="1573"/>
      <c r="O363" s="1573"/>
      <c r="P363" s="1573"/>
      <c r="Q363" s="1573"/>
      <c r="R363" s="1573"/>
      <c r="S363" s="1573"/>
      <c r="T363" s="1573"/>
      <c r="U363" s="1573"/>
      <c r="V363" s="1573"/>
      <c r="W363" s="1573"/>
      <c r="X363" s="1573"/>
      <c r="Y363" s="1573"/>
      <c r="Z363" s="1573"/>
      <c r="AA363" s="1573"/>
      <c r="AB363" s="1573"/>
      <c r="AC363" s="1573"/>
      <c r="AD363" s="1573"/>
      <c r="AE363" s="1573"/>
    </row>
    <row r="364" spans="1:38" ht="8.1" customHeight="1">
      <c r="C364" s="1572" t="s">
        <v>1920</v>
      </c>
      <c r="D364" s="1572"/>
      <c r="E364" s="1572"/>
      <c r="F364" s="1572"/>
      <c r="G364" s="1572"/>
      <c r="H364" s="1572"/>
      <c r="I364" s="1572"/>
      <c r="J364" s="1572"/>
      <c r="K364" s="1573"/>
      <c r="L364" s="1573"/>
      <c r="M364" s="1573"/>
      <c r="N364" s="1573"/>
      <c r="O364" s="1573"/>
      <c r="P364" s="1573"/>
      <c r="Q364" s="1573"/>
      <c r="R364" s="1573"/>
      <c r="S364" s="1573"/>
      <c r="T364" s="1573"/>
      <c r="U364" s="1573"/>
      <c r="V364" s="1573"/>
      <c r="W364" s="1573"/>
      <c r="X364" s="1573"/>
      <c r="Y364" s="1574" t="s">
        <v>5920</v>
      </c>
      <c r="Z364" s="1574"/>
      <c r="AA364" s="1574"/>
      <c r="AB364" s="1574"/>
      <c r="AC364" s="1574"/>
      <c r="AD364" s="1574"/>
      <c r="AE364" s="1574"/>
      <c r="AF364" s="1574"/>
      <c r="AG364" s="1574"/>
      <c r="AH364" s="1575" t="s">
        <v>6761</v>
      </c>
      <c r="AI364" s="1575"/>
      <c r="AJ364" s="1575"/>
      <c r="AK364" s="1575"/>
      <c r="AL364" s="1575"/>
    </row>
    <row r="365" spans="1:38" ht="6" customHeight="1">
      <c r="C365" s="1572"/>
      <c r="D365" s="1572"/>
      <c r="E365" s="1572"/>
      <c r="F365" s="1572"/>
      <c r="G365" s="1572"/>
      <c r="H365" s="1572"/>
      <c r="I365" s="1572"/>
      <c r="J365" s="1572"/>
      <c r="K365" s="1576" t="s">
        <v>1999</v>
      </c>
      <c r="L365" s="1576"/>
      <c r="M365" s="1576"/>
      <c r="N365" s="1576"/>
      <c r="O365" s="1576"/>
      <c r="P365" s="1576"/>
      <c r="Q365" s="1576"/>
      <c r="R365" s="1576"/>
      <c r="S365" s="1576"/>
      <c r="T365" s="1576"/>
      <c r="U365" s="1576"/>
      <c r="V365" s="1576"/>
      <c r="W365" s="1576"/>
      <c r="X365" s="1576"/>
      <c r="Y365" s="1574"/>
      <c r="Z365" s="1574"/>
      <c r="AA365" s="1574"/>
      <c r="AB365" s="1574"/>
      <c r="AC365" s="1574"/>
      <c r="AD365" s="1574"/>
      <c r="AE365" s="1574"/>
      <c r="AF365" s="1574"/>
      <c r="AG365" s="1574"/>
      <c r="AH365" s="1575"/>
      <c r="AI365" s="1575"/>
      <c r="AJ365" s="1575"/>
      <c r="AK365" s="1575"/>
      <c r="AL365" s="1575"/>
    </row>
    <row r="366" spans="1:38" ht="7.35" customHeight="1">
      <c r="C366" s="1572" t="s">
        <v>1998</v>
      </c>
      <c r="D366" s="1572"/>
      <c r="E366" s="1572"/>
      <c r="F366" s="1572"/>
      <c r="G366" s="1577"/>
      <c r="H366" s="1577"/>
      <c r="I366" s="1577"/>
      <c r="J366" s="1577"/>
      <c r="K366" s="1577"/>
      <c r="L366" s="1577"/>
      <c r="M366" s="1577"/>
      <c r="N366" s="1577"/>
      <c r="O366" s="1577"/>
      <c r="P366" s="1577"/>
      <c r="Q366" s="1577"/>
      <c r="R366" s="1577"/>
      <c r="S366" s="1577"/>
      <c r="T366" s="1577"/>
      <c r="U366" s="1577"/>
      <c r="V366" s="1577"/>
      <c r="W366" s="1577"/>
      <c r="X366" s="1577"/>
      <c r="Y366" s="1577"/>
      <c r="Z366" s="1577"/>
      <c r="AA366" s="1577"/>
      <c r="AB366" s="1577"/>
      <c r="AC366" s="1577"/>
      <c r="AD366" s="1577"/>
      <c r="AE366" s="1577"/>
      <c r="AF366" s="1574"/>
      <c r="AG366" s="1574"/>
      <c r="AH366" s="1574" t="s">
        <v>6762</v>
      </c>
      <c r="AI366" s="1574"/>
    </row>
    <row r="367" spans="1:38" ht="6.75" customHeight="1">
      <c r="G367" s="1577"/>
      <c r="H367" s="1577"/>
      <c r="I367" s="1577"/>
      <c r="J367" s="1577"/>
      <c r="K367" s="1577"/>
      <c r="L367" s="1577"/>
      <c r="M367" s="1577"/>
      <c r="N367" s="1577"/>
      <c r="O367" s="1577"/>
      <c r="P367" s="1577"/>
      <c r="Q367" s="1577"/>
      <c r="R367" s="1577"/>
      <c r="S367" s="1577"/>
      <c r="T367" s="1577"/>
      <c r="U367" s="1577"/>
      <c r="V367" s="1577"/>
      <c r="W367" s="1577"/>
      <c r="X367" s="1577"/>
      <c r="Y367" s="1577"/>
      <c r="Z367" s="1577"/>
      <c r="AA367" s="1577"/>
      <c r="AB367" s="1577"/>
      <c r="AC367" s="1577"/>
      <c r="AD367" s="1577"/>
      <c r="AE367" s="1577"/>
      <c r="AF367" s="1574"/>
      <c r="AG367" s="1574"/>
      <c r="AH367" s="1574"/>
      <c r="AI367" s="1574"/>
    </row>
    <row r="368" spans="1:38" ht="11.25" customHeight="1">
      <c r="O368" s="1570" t="s">
        <v>1318</v>
      </c>
      <c r="P368" s="1570"/>
      <c r="Q368" s="1570"/>
      <c r="V368" s="1570" t="s">
        <v>1319</v>
      </c>
      <c r="W368" s="1570"/>
      <c r="X368" s="1570"/>
      <c r="Y368" s="1570"/>
      <c r="AD368" s="1570" t="s">
        <v>1320</v>
      </c>
      <c r="AE368" s="1570"/>
      <c r="AF368" s="1570"/>
      <c r="AG368" s="1570"/>
      <c r="AH368" s="1570"/>
      <c r="AI368" s="1570"/>
      <c r="AJ368" s="1570"/>
    </row>
    <row r="369" spans="2:37" ht="8.4499999999999993" customHeight="1">
      <c r="B369" s="1571" t="s">
        <v>1321</v>
      </c>
      <c r="C369" s="1571"/>
      <c r="D369" s="1571"/>
      <c r="E369" s="1571" t="s">
        <v>1322</v>
      </c>
      <c r="F369" s="1571"/>
      <c r="G369" s="1571"/>
      <c r="J369" s="1571" t="s">
        <v>1323</v>
      </c>
      <c r="K369" s="1571"/>
      <c r="L369" s="1571"/>
      <c r="M369" s="1571"/>
      <c r="N369" s="1571"/>
      <c r="O369" s="1402" t="s">
        <v>1324</v>
      </c>
      <c r="Q369" s="1569" t="s">
        <v>1325</v>
      </c>
      <c r="R369" s="1569"/>
      <c r="U369" s="1569" t="s">
        <v>1324</v>
      </c>
      <c r="V369" s="1569"/>
      <c r="X369" s="1569" t="s">
        <v>1325</v>
      </c>
      <c r="Y369" s="1569"/>
      <c r="Z369" s="1569"/>
      <c r="AC369" s="1569" t="s">
        <v>1324</v>
      </c>
      <c r="AD369" s="1569"/>
      <c r="AE369" s="1569"/>
      <c r="AF369" s="1569"/>
      <c r="AH369" s="1569" t="s">
        <v>1325</v>
      </c>
      <c r="AI369" s="1569"/>
      <c r="AJ369" s="1569"/>
      <c r="AK369" s="1569"/>
    </row>
    <row r="370" spans="2:37" ht="9.9499999999999993" customHeight="1">
      <c r="B370" s="1568" t="s">
        <v>1326</v>
      </c>
      <c r="C370" s="1568"/>
      <c r="D370" s="1568"/>
      <c r="E370" s="1568" t="s">
        <v>3140</v>
      </c>
      <c r="F370" s="1568"/>
      <c r="G370" s="1568"/>
      <c r="H370" s="1568"/>
      <c r="J370" s="1568" t="s">
        <v>3141</v>
      </c>
      <c r="K370" s="1568"/>
      <c r="L370" s="1568"/>
      <c r="M370" s="1566">
        <v>1510.6</v>
      </c>
      <c r="N370" s="1566"/>
      <c r="O370" s="1566"/>
      <c r="P370" s="1566">
        <v>0</v>
      </c>
      <c r="Q370" s="1566"/>
      <c r="R370" s="1566"/>
      <c r="S370" s="1566">
        <v>1153.8599999999999</v>
      </c>
      <c r="T370" s="1566"/>
      <c r="U370" s="1566"/>
      <c r="V370" s="1566"/>
      <c r="W370" s="1566">
        <v>0</v>
      </c>
      <c r="X370" s="1566"/>
      <c r="Y370" s="1566"/>
      <c r="Z370" s="1566"/>
      <c r="AA370" s="1566">
        <v>2664.46</v>
      </c>
      <c r="AB370" s="1566"/>
      <c r="AC370" s="1566"/>
      <c r="AD370" s="1566"/>
      <c r="AE370" s="1566"/>
      <c r="AF370" s="1566"/>
      <c r="AG370" s="1566">
        <v>0</v>
      </c>
      <c r="AH370" s="1566"/>
      <c r="AI370" s="1566"/>
      <c r="AJ370" s="1566"/>
      <c r="AK370" s="1566"/>
    </row>
    <row r="371" spans="2:37" ht="9.4" customHeight="1">
      <c r="B371" s="1568" t="s">
        <v>1326</v>
      </c>
      <c r="C371" s="1568"/>
      <c r="D371" s="1568"/>
      <c r="E371" s="1568" t="s">
        <v>3275</v>
      </c>
      <c r="F371" s="1568"/>
      <c r="G371" s="1568"/>
      <c r="H371" s="1568"/>
      <c r="J371" s="1568" t="s">
        <v>3276</v>
      </c>
      <c r="K371" s="1568"/>
      <c r="L371" s="1568"/>
      <c r="M371" s="1566">
        <v>2487.62</v>
      </c>
      <c r="N371" s="1566"/>
      <c r="O371" s="1566"/>
      <c r="P371" s="1566">
        <v>0</v>
      </c>
      <c r="Q371" s="1566"/>
      <c r="R371" s="1566"/>
      <c r="S371" s="1566">
        <v>0</v>
      </c>
      <c r="T371" s="1566"/>
      <c r="U371" s="1566"/>
      <c r="V371" s="1566"/>
      <c r="W371" s="1566">
        <v>0</v>
      </c>
      <c r="X371" s="1566"/>
      <c r="Y371" s="1566"/>
      <c r="Z371" s="1566"/>
      <c r="AA371" s="1566">
        <v>2487.62</v>
      </c>
      <c r="AB371" s="1566"/>
      <c r="AC371" s="1566"/>
      <c r="AD371" s="1566"/>
      <c r="AE371" s="1566"/>
      <c r="AF371" s="1566"/>
      <c r="AG371" s="1566">
        <v>0</v>
      </c>
      <c r="AH371" s="1566"/>
      <c r="AI371" s="1566"/>
      <c r="AJ371" s="1566"/>
      <c r="AK371" s="1566"/>
    </row>
    <row r="372" spans="2:37" ht="9.4" customHeight="1">
      <c r="B372" s="1568" t="s">
        <v>1326</v>
      </c>
      <c r="C372" s="1568"/>
      <c r="D372" s="1568"/>
      <c r="E372" s="1568" t="s">
        <v>3146</v>
      </c>
      <c r="F372" s="1568"/>
      <c r="G372" s="1568"/>
      <c r="H372" s="1568"/>
      <c r="J372" s="1568" t="s">
        <v>3147</v>
      </c>
      <c r="K372" s="1568"/>
      <c r="L372" s="1568"/>
      <c r="M372" s="1566">
        <v>57805.02</v>
      </c>
      <c r="N372" s="1566"/>
      <c r="O372" s="1566"/>
      <c r="P372" s="1566">
        <v>0</v>
      </c>
      <c r="Q372" s="1566"/>
      <c r="R372" s="1566"/>
      <c r="S372" s="1566">
        <v>0</v>
      </c>
      <c r="T372" s="1566"/>
      <c r="U372" s="1566"/>
      <c r="V372" s="1566"/>
      <c r="W372" s="1566">
        <v>0</v>
      </c>
      <c r="X372" s="1566"/>
      <c r="Y372" s="1566"/>
      <c r="Z372" s="1566"/>
      <c r="AA372" s="1566">
        <v>57805.02</v>
      </c>
      <c r="AB372" s="1566"/>
      <c r="AC372" s="1566"/>
      <c r="AD372" s="1566"/>
      <c r="AE372" s="1566"/>
      <c r="AF372" s="1566"/>
      <c r="AG372" s="1566">
        <v>0</v>
      </c>
      <c r="AH372" s="1566"/>
      <c r="AI372" s="1566"/>
      <c r="AJ372" s="1566"/>
      <c r="AK372" s="1566"/>
    </row>
    <row r="373" spans="2:37" ht="9.4" customHeight="1">
      <c r="B373" s="1568" t="s">
        <v>1326</v>
      </c>
      <c r="C373" s="1568"/>
      <c r="D373" s="1568"/>
      <c r="E373" s="1568" t="s">
        <v>3148</v>
      </c>
      <c r="F373" s="1568"/>
      <c r="G373" s="1568"/>
      <c r="H373" s="1568"/>
      <c r="J373" s="1568" t="s">
        <v>3149</v>
      </c>
      <c r="K373" s="1568"/>
      <c r="L373" s="1568"/>
      <c r="M373" s="1566">
        <v>10976.45</v>
      </c>
      <c r="N373" s="1566"/>
      <c r="O373" s="1566"/>
      <c r="P373" s="1566">
        <v>0</v>
      </c>
      <c r="Q373" s="1566"/>
      <c r="R373" s="1566"/>
      <c r="S373" s="1566">
        <v>0</v>
      </c>
      <c r="T373" s="1566"/>
      <c r="U373" s="1566"/>
      <c r="V373" s="1566"/>
      <c r="W373" s="1566">
        <v>0</v>
      </c>
      <c r="X373" s="1566"/>
      <c r="Y373" s="1566"/>
      <c r="Z373" s="1566"/>
      <c r="AA373" s="1566">
        <v>10976.45</v>
      </c>
      <c r="AB373" s="1566"/>
      <c r="AC373" s="1566"/>
      <c r="AD373" s="1566"/>
      <c r="AE373" s="1566"/>
      <c r="AF373" s="1566"/>
      <c r="AG373" s="1566">
        <v>0</v>
      </c>
      <c r="AH373" s="1566"/>
      <c r="AI373" s="1566"/>
      <c r="AJ373" s="1566"/>
      <c r="AK373" s="1566"/>
    </row>
    <row r="374" spans="2:37" ht="9.4" customHeight="1">
      <c r="B374" s="1568" t="s">
        <v>1326</v>
      </c>
      <c r="C374" s="1568"/>
      <c r="D374" s="1568"/>
      <c r="E374" s="1568" t="s">
        <v>3150</v>
      </c>
      <c r="F374" s="1568"/>
      <c r="G374" s="1568"/>
      <c r="H374" s="1568"/>
      <c r="J374" s="1568" t="s">
        <v>3151</v>
      </c>
      <c r="K374" s="1568"/>
      <c r="L374" s="1568"/>
      <c r="M374" s="1566">
        <v>17638.43</v>
      </c>
      <c r="N374" s="1566"/>
      <c r="O374" s="1566"/>
      <c r="P374" s="1566">
        <v>0</v>
      </c>
      <c r="Q374" s="1566"/>
      <c r="R374" s="1566"/>
      <c r="S374" s="1566">
        <v>4974.78</v>
      </c>
      <c r="T374" s="1566"/>
      <c r="U374" s="1566"/>
      <c r="V374" s="1566"/>
      <c r="W374" s="1566">
        <v>0</v>
      </c>
      <c r="X374" s="1566"/>
      <c r="Y374" s="1566"/>
      <c r="Z374" s="1566"/>
      <c r="AA374" s="1566">
        <v>22613.21</v>
      </c>
      <c r="AB374" s="1566"/>
      <c r="AC374" s="1566"/>
      <c r="AD374" s="1566"/>
      <c r="AE374" s="1566"/>
      <c r="AF374" s="1566"/>
      <c r="AG374" s="1566">
        <v>0</v>
      </c>
      <c r="AH374" s="1566"/>
      <c r="AI374" s="1566"/>
      <c r="AJ374" s="1566"/>
      <c r="AK374" s="1566"/>
    </row>
    <row r="375" spans="2:37" ht="9.4" customHeight="1">
      <c r="B375" s="1568" t="s">
        <v>1326</v>
      </c>
      <c r="C375" s="1568"/>
      <c r="D375" s="1568"/>
      <c r="E375" s="1568" t="s">
        <v>3158</v>
      </c>
      <c r="F375" s="1568"/>
      <c r="G375" s="1568"/>
      <c r="H375" s="1568"/>
      <c r="J375" s="1568" t="s">
        <v>3159</v>
      </c>
      <c r="K375" s="1568"/>
      <c r="L375" s="1568"/>
      <c r="M375" s="1566">
        <v>76350.41</v>
      </c>
      <c r="N375" s="1566"/>
      <c r="O375" s="1566"/>
      <c r="P375" s="1566">
        <v>0</v>
      </c>
      <c r="Q375" s="1566"/>
      <c r="R375" s="1566"/>
      <c r="S375" s="1566">
        <v>0</v>
      </c>
      <c r="T375" s="1566"/>
      <c r="U375" s="1566"/>
      <c r="V375" s="1566"/>
      <c r="W375" s="1566">
        <v>0</v>
      </c>
      <c r="X375" s="1566"/>
      <c r="Y375" s="1566"/>
      <c r="Z375" s="1566"/>
      <c r="AA375" s="1566">
        <v>76350.41</v>
      </c>
      <c r="AB375" s="1566"/>
      <c r="AC375" s="1566"/>
      <c r="AD375" s="1566"/>
      <c r="AE375" s="1566"/>
      <c r="AF375" s="1566"/>
      <c r="AG375" s="1566">
        <v>0</v>
      </c>
      <c r="AH375" s="1566"/>
      <c r="AI375" s="1566"/>
      <c r="AJ375" s="1566"/>
      <c r="AK375" s="1566"/>
    </row>
    <row r="376" spans="2:37" ht="9.4" customHeight="1">
      <c r="B376" s="1568" t="s">
        <v>1326</v>
      </c>
      <c r="C376" s="1568"/>
      <c r="D376" s="1568"/>
      <c r="E376" s="1568" t="s">
        <v>3160</v>
      </c>
      <c r="F376" s="1568"/>
      <c r="G376" s="1568"/>
      <c r="H376" s="1568"/>
      <c r="J376" s="1568" t="s">
        <v>3161</v>
      </c>
      <c r="K376" s="1568"/>
      <c r="L376" s="1568"/>
      <c r="M376" s="1566">
        <v>5921.56</v>
      </c>
      <c r="N376" s="1566"/>
      <c r="O376" s="1566"/>
      <c r="P376" s="1566">
        <v>0</v>
      </c>
      <c r="Q376" s="1566"/>
      <c r="R376" s="1566"/>
      <c r="S376" s="1566">
        <v>19174.2</v>
      </c>
      <c r="T376" s="1566"/>
      <c r="U376" s="1566"/>
      <c r="V376" s="1566"/>
      <c r="W376" s="1566">
        <v>7242.21</v>
      </c>
      <c r="X376" s="1566"/>
      <c r="Y376" s="1566"/>
      <c r="Z376" s="1566"/>
      <c r="AA376" s="1566">
        <v>17853.55</v>
      </c>
      <c r="AB376" s="1566"/>
      <c r="AC376" s="1566"/>
      <c r="AD376" s="1566"/>
      <c r="AE376" s="1566"/>
      <c r="AF376" s="1566"/>
      <c r="AG376" s="1566">
        <v>0</v>
      </c>
      <c r="AH376" s="1566"/>
      <c r="AI376" s="1566"/>
      <c r="AJ376" s="1566"/>
      <c r="AK376" s="1566"/>
    </row>
    <row r="377" spans="2:37" ht="9.4" customHeight="1">
      <c r="B377" s="1568" t="s">
        <v>1326</v>
      </c>
      <c r="C377" s="1568"/>
      <c r="D377" s="1568"/>
      <c r="E377" s="1568" t="s">
        <v>3162</v>
      </c>
      <c r="F377" s="1568"/>
      <c r="G377" s="1568"/>
      <c r="H377" s="1568"/>
      <c r="J377" s="1568" t="s">
        <v>3163</v>
      </c>
      <c r="K377" s="1568"/>
      <c r="L377" s="1568"/>
      <c r="M377" s="1566">
        <v>9851.2000000000007</v>
      </c>
      <c r="N377" s="1566"/>
      <c r="O377" s="1566"/>
      <c r="P377" s="1566">
        <v>0</v>
      </c>
      <c r="Q377" s="1566"/>
      <c r="R377" s="1566"/>
      <c r="S377" s="1566">
        <v>0</v>
      </c>
      <c r="T377" s="1566"/>
      <c r="U377" s="1566"/>
      <c r="V377" s="1566"/>
      <c r="W377" s="1566">
        <v>0</v>
      </c>
      <c r="X377" s="1566"/>
      <c r="Y377" s="1566"/>
      <c r="Z377" s="1566"/>
      <c r="AA377" s="1566">
        <v>9851.2000000000007</v>
      </c>
      <c r="AB377" s="1566"/>
      <c r="AC377" s="1566"/>
      <c r="AD377" s="1566"/>
      <c r="AE377" s="1566"/>
      <c r="AF377" s="1566"/>
      <c r="AG377" s="1566">
        <v>0</v>
      </c>
      <c r="AH377" s="1566"/>
      <c r="AI377" s="1566"/>
      <c r="AJ377" s="1566"/>
      <c r="AK377" s="1566"/>
    </row>
    <row r="378" spans="2:37" ht="9.4" customHeight="1">
      <c r="B378" s="1568" t="s">
        <v>1326</v>
      </c>
      <c r="C378" s="1568"/>
      <c r="D378" s="1568"/>
      <c r="E378" s="1568" t="s">
        <v>3237</v>
      </c>
      <c r="F378" s="1568"/>
      <c r="G378" s="1568"/>
      <c r="H378" s="1568"/>
      <c r="J378" s="1568" t="s">
        <v>3238</v>
      </c>
      <c r="K378" s="1568"/>
      <c r="L378" s="1568"/>
      <c r="M378" s="1566">
        <v>0</v>
      </c>
      <c r="N378" s="1566"/>
      <c r="O378" s="1566"/>
      <c r="P378" s="1566">
        <v>0</v>
      </c>
      <c r="Q378" s="1566"/>
      <c r="R378" s="1566"/>
      <c r="S378" s="1566">
        <v>787.57</v>
      </c>
      <c r="T378" s="1566"/>
      <c r="U378" s="1566"/>
      <c r="V378" s="1566"/>
      <c r="W378" s="1566">
        <v>787.57</v>
      </c>
      <c r="X378" s="1566"/>
      <c r="Y378" s="1566"/>
      <c r="Z378" s="1566"/>
      <c r="AA378" s="1566">
        <v>0</v>
      </c>
      <c r="AB378" s="1566"/>
      <c r="AC378" s="1566"/>
      <c r="AD378" s="1566"/>
      <c r="AE378" s="1566"/>
      <c r="AF378" s="1566"/>
      <c r="AG378" s="1566">
        <v>0</v>
      </c>
      <c r="AH378" s="1566"/>
      <c r="AI378" s="1566"/>
      <c r="AJ378" s="1566"/>
      <c r="AK378" s="1566"/>
    </row>
    <row r="379" spans="2:37" ht="9.4" customHeight="1">
      <c r="B379" s="1568" t="s">
        <v>1326</v>
      </c>
      <c r="C379" s="1568"/>
      <c r="D379" s="1568"/>
      <c r="E379" s="1568" t="s">
        <v>3359</v>
      </c>
      <c r="F379" s="1568"/>
      <c r="G379" s="1568"/>
      <c r="H379" s="1568"/>
      <c r="J379" s="1568" t="s">
        <v>3360</v>
      </c>
      <c r="K379" s="1568"/>
      <c r="L379" s="1568"/>
      <c r="M379" s="1566">
        <v>0</v>
      </c>
      <c r="N379" s="1566"/>
      <c r="O379" s="1566"/>
      <c r="P379" s="1566">
        <v>0</v>
      </c>
      <c r="Q379" s="1566"/>
      <c r="R379" s="1566"/>
      <c r="S379" s="1566">
        <v>1222.73</v>
      </c>
      <c r="T379" s="1566"/>
      <c r="U379" s="1566"/>
      <c r="V379" s="1566"/>
      <c r="W379" s="1566">
        <v>0</v>
      </c>
      <c r="X379" s="1566"/>
      <c r="Y379" s="1566"/>
      <c r="Z379" s="1566"/>
      <c r="AA379" s="1566">
        <v>1222.73</v>
      </c>
      <c r="AB379" s="1566"/>
      <c r="AC379" s="1566"/>
      <c r="AD379" s="1566"/>
      <c r="AE379" s="1566"/>
      <c r="AF379" s="1566"/>
      <c r="AG379" s="1566">
        <v>0</v>
      </c>
      <c r="AH379" s="1566"/>
      <c r="AI379" s="1566"/>
      <c r="AJ379" s="1566"/>
      <c r="AK379" s="1566"/>
    </row>
    <row r="380" spans="2:37" ht="9.4" customHeight="1">
      <c r="B380" s="1568" t="s">
        <v>1326</v>
      </c>
      <c r="C380" s="1568"/>
      <c r="D380" s="1568"/>
      <c r="E380" s="1568" t="s">
        <v>6206</v>
      </c>
      <c r="F380" s="1568"/>
      <c r="G380" s="1568"/>
      <c r="H380" s="1568"/>
      <c r="J380" s="1568" t="s">
        <v>6207</v>
      </c>
      <c r="K380" s="1568"/>
      <c r="L380" s="1568"/>
      <c r="M380" s="1566">
        <v>0</v>
      </c>
      <c r="N380" s="1566"/>
      <c r="O380" s="1566"/>
      <c r="P380" s="1566">
        <v>0</v>
      </c>
      <c r="Q380" s="1566"/>
      <c r="R380" s="1566"/>
      <c r="S380" s="1566">
        <v>0</v>
      </c>
      <c r="T380" s="1566"/>
      <c r="U380" s="1566"/>
      <c r="V380" s="1566"/>
      <c r="W380" s="1566">
        <v>0</v>
      </c>
      <c r="X380" s="1566"/>
      <c r="Y380" s="1566"/>
      <c r="Z380" s="1566"/>
      <c r="AA380" s="1566">
        <v>0</v>
      </c>
      <c r="AB380" s="1566"/>
      <c r="AC380" s="1566"/>
      <c r="AD380" s="1566"/>
      <c r="AE380" s="1566"/>
      <c r="AF380" s="1566"/>
      <c r="AG380" s="1566">
        <v>0</v>
      </c>
      <c r="AH380" s="1566"/>
      <c r="AI380" s="1566"/>
      <c r="AJ380" s="1566"/>
      <c r="AK380" s="1566"/>
    </row>
    <row r="381" spans="2:37" ht="9.4" customHeight="1">
      <c r="B381" s="1568" t="s">
        <v>1326</v>
      </c>
      <c r="C381" s="1568"/>
      <c r="D381" s="1568"/>
      <c r="E381" s="1568" t="s">
        <v>3226</v>
      </c>
      <c r="F381" s="1568"/>
      <c r="G381" s="1568"/>
      <c r="H381" s="1568"/>
      <c r="J381" s="1568" t="s">
        <v>3227</v>
      </c>
      <c r="K381" s="1568"/>
      <c r="L381" s="1568"/>
      <c r="M381" s="1566">
        <v>6142.58</v>
      </c>
      <c r="N381" s="1566"/>
      <c r="O381" s="1566"/>
      <c r="P381" s="1566">
        <v>0</v>
      </c>
      <c r="Q381" s="1566"/>
      <c r="R381" s="1566"/>
      <c r="S381" s="1566">
        <v>1566.78</v>
      </c>
      <c r="T381" s="1566"/>
      <c r="U381" s="1566"/>
      <c r="V381" s="1566"/>
      <c r="W381" s="1566">
        <v>0</v>
      </c>
      <c r="X381" s="1566"/>
      <c r="Y381" s="1566"/>
      <c r="Z381" s="1566"/>
      <c r="AA381" s="1566">
        <v>7709.36</v>
      </c>
      <c r="AB381" s="1566"/>
      <c r="AC381" s="1566"/>
      <c r="AD381" s="1566"/>
      <c r="AE381" s="1566"/>
      <c r="AF381" s="1566"/>
      <c r="AG381" s="1566">
        <v>0</v>
      </c>
      <c r="AH381" s="1566"/>
      <c r="AI381" s="1566"/>
      <c r="AJ381" s="1566"/>
      <c r="AK381" s="1566"/>
    </row>
    <row r="382" spans="2:37" ht="9.4" customHeight="1">
      <c r="B382" s="1568" t="s">
        <v>1326</v>
      </c>
      <c r="C382" s="1568"/>
      <c r="D382" s="1568"/>
      <c r="E382" s="1568" t="s">
        <v>3361</v>
      </c>
      <c r="F382" s="1568"/>
      <c r="G382" s="1568"/>
      <c r="H382" s="1568"/>
      <c r="J382" s="1568" t="s">
        <v>3362</v>
      </c>
      <c r="K382" s="1568"/>
      <c r="L382" s="1568"/>
      <c r="M382" s="1566">
        <v>56518.93</v>
      </c>
      <c r="N382" s="1566"/>
      <c r="O382" s="1566"/>
      <c r="P382" s="1566">
        <v>0</v>
      </c>
      <c r="Q382" s="1566"/>
      <c r="R382" s="1566"/>
      <c r="S382" s="1566">
        <v>4600.63</v>
      </c>
      <c r="T382" s="1566"/>
      <c r="U382" s="1566"/>
      <c r="V382" s="1566"/>
      <c r="W382" s="1566">
        <v>0</v>
      </c>
      <c r="X382" s="1566"/>
      <c r="Y382" s="1566"/>
      <c r="Z382" s="1566"/>
      <c r="AA382" s="1566">
        <v>61119.56</v>
      </c>
      <c r="AB382" s="1566"/>
      <c r="AC382" s="1566"/>
      <c r="AD382" s="1566"/>
      <c r="AE382" s="1566"/>
      <c r="AF382" s="1566"/>
      <c r="AG382" s="1566">
        <v>0</v>
      </c>
      <c r="AH382" s="1566"/>
      <c r="AI382" s="1566"/>
      <c r="AJ382" s="1566"/>
      <c r="AK382" s="1566"/>
    </row>
    <row r="383" spans="2:37" ht="9.4" customHeight="1">
      <c r="B383" s="1568" t="s">
        <v>1326</v>
      </c>
      <c r="C383" s="1568"/>
      <c r="D383" s="1568"/>
      <c r="E383" s="1568" t="s">
        <v>3249</v>
      </c>
      <c r="F383" s="1568"/>
      <c r="G383" s="1568"/>
      <c r="H383" s="1568"/>
      <c r="J383" s="1568" t="s">
        <v>3250</v>
      </c>
      <c r="K383" s="1568"/>
      <c r="L383" s="1568"/>
      <c r="M383" s="1566">
        <v>5843</v>
      </c>
      <c r="N383" s="1566"/>
      <c r="O383" s="1566"/>
      <c r="P383" s="1566">
        <v>0</v>
      </c>
      <c r="Q383" s="1566"/>
      <c r="R383" s="1566"/>
      <c r="S383" s="1566">
        <v>0</v>
      </c>
      <c r="T383" s="1566"/>
      <c r="U383" s="1566"/>
      <c r="V383" s="1566"/>
      <c r="W383" s="1566">
        <v>5843</v>
      </c>
      <c r="X383" s="1566"/>
      <c r="Y383" s="1566"/>
      <c r="Z383" s="1566"/>
      <c r="AA383" s="1566">
        <v>0</v>
      </c>
      <c r="AB383" s="1566"/>
      <c r="AC383" s="1566"/>
      <c r="AD383" s="1566"/>
      <c r="AE383" s="1566"/>
      <c r="AF383" s="1566"/>
      <c r="AG383" s="1566">
        <v>0</v>
      </c>
      <c r="AH383" s="1566"/>
      <c r="AI383" s="1566"/>
      <c r="AJ383" s="1566"/>
      <c r="AK383" s="1566"/>
    </row>
    <row r="384" spans="2:37" ht="9.4" customHeight="1">
      <c r="B384" s="1568" t="s">
        <v>1326</v>
      </c>
      <c r="C384" s="1568"/>
      <c r="D384" s="1568"/>
      <c r="E384" s="1568" t="s">
        <v>3228</v>
      </c>
      <c r="F384" s="1568"/>
      <c r="G384" s="1568"/>
      <c r="H384" s="1568"/>
      <c r="J384" s="1568" t="s">
        <v>3229</v>
      </c>
      <c r="K384" s="1568"/>
      <c r="L384" s="1568"/>
      <c r="M384" s="1566">
        <v>3992.29</v>
      </c>
      <c r="N384" s="1566"/>
      <c r="O384" s="1566"/>
      <c r="P384" s="1566">
        <v>0</v>
      </c>
      <c r="Q384" s="1566"/>
      <c r="R384" s="1566"/>
      <c r="S384" s="1566">
        <v>0</v>
      </c>
      <c r="T384" s="1566"/>
      <c r="U384" s="1566"/>
      <c r="V384" s="1566"/>
      <c r="W384" s="1566">
        <v>0</v>
      </c>
      <c r="X384" s="1566"/>
      <c r="Y384" s="1566"/>
      <c r="Z384" s="1566"/>
      <c r="AA384" s="1566">
        <v>3992.29</v>
      </c>
      <c r="AB384" s="1566"/>
      <c r="AC384" s="1566"/>
      <c r="AD384" s="1566"/>
      <c r="AE384" s="1566"/>
      <c r="AF384" s="1566"/>
      <c r="AG384" s="1566">
        <v>0</v>
      </c>
      <c r="AH384" s="1566"/>
      <c r="AI384" s="1566"/>
      <c r="AJ384" s="1566"/>
      <c r="AK384" s="1566"/>
    </row>
    <row r="385" spans="2:37" ht="9.4" customHeight="1">
      <c r="B385" s="1568" t="s">
        <v>1326</v>
      </c>
      <c r="C385" s="1568"/>
      <c r="D385" s="1568"/>
      <c r="E385" s="1568" t="s">
        <v>3363</v>
      </c>
      <c r="F385" s="1568"/>
      <c r="G385" s="1568"/>
      <c r="H385" s="1568"/>
      <c r="J385" s="1568" t="s">
        <v>3364</v>
      </c>
      <c r="K385" s="1568"/>
      <c r="L385" s="1568"/>
      <c r="M385" s="1566">
        <v>528.17999999999995</v>
      </c>
      <c r="N385" s="1566"/>
      <c r="O385" s="1566"/>
      <c r="P385" s="1566">
        <v>0</v>
      </c>
      <c r="Q385" s="1566"/>
      <c r="R385" s="1566"/>
      <c r="S385" s="1566">
        <v>0</v>
      </c>
      <c r="T385" s="1566"/>
      <c r="U385" s="1566"/>
      <c r="V385" s="1566"/>
      <c r="W385" s="1566">
        <v>0</v>
      </c>
      <c r="X385" s="1566"/>
      <c r="Y385" s="1566"/>
      <c r="Z385" s="1566"/>
      <c r="AA385" s="1566">
        <v>528.17999999999995</v>
      </c>
      <c r="AB385" s="1566"/>
      <c r="AC385" s="1566"/>
      <c r="AD385" s="1566"/>
      <c r="AE385" s="1566"/>
      <c r="AF385" s="1566"/>
      <c r="AG385" s="1566">
        <v>0</v>
      </c>
      <c r="AH385" s="1566"/>
      <c r="AI385" s="1566"/>
      <c r="AJ385" s="1566"/>
      <c r="AK385" s="1566"/>
    </row>
    <row r="386" spans="2:37" ht="9.4" customHeight="1">
      <c r="B386" s="1568" t="s">
        <v>1326</v>
      </c>
      <c r="C386" s="1568"/>
      <c r="D386" s="1568"/>
      <c r="E386" s="1568" t="s">
        <v>3230</v>
      </c>
      <c r="F386" s="1568"/>
      <c r="G386" s="1568"/>
      <c r="H386" s="1568"/>
      <c r="J386" s="1568" t="s">
        <v>3231</v>
      </c>
      <c r="K386" s="1568"/>
      <c r="L386" s="1568"/>
      <c r="M386" s="1566">
        <v>26787.94</v>
      </c>
      <c r="N386" s="1566"/>
      <c r="O386" s="1566"/>
      <c r="P386" s="1566">
        <v>0</v>
      </c>
      <c r="Q386" s="1566"/>
      <c r="R386" s="1566"/>
      <c r="S386" s="1566">
        <v>4448.8500000000004</v>
      </c>
      <c r="T386" s="1566"/>
      <c r="U386" s="1566"/>
      <c r="V386" s="1566"/>
      <c r="W386" s="1566">
        <v>4448.8500000000004</v>
      </c>
      <c r="X386" s="1566"/>
      <c r="Y386" s="1566"/>
      <c r="Z386" s="1566"/>
      <c r="AA386" s="1566">
        <v>26787.94</v>
      </c>
      <c r="AB386" s="1566"/>
      <c r="AC386" s="1566"/>
      <c r="AD386" s="1566"/>
      <c r="AE386" s="1566"/>
      <c r="AF386" s="1566"/>
      <c r="AG386" s="1566">
        <v>0</v>
      </c>
      <c r="AH386" s="1566"/>
      <c r="AI386" s="1566"/>
      <c r="AJ386" s="1566"/>
      <c r="AK386" s="1566"/>
    </row>
    <row r="387" spans="2:37" ht="9.4" customHeight="1">
      <c r="B387" s="1568" t="s">
        <v>1326</v>
      </c>
      <c r="C387" s="1568"/>
      <c r="D387" s="1568"/>
      <c r="E387" s="1568" t="s">
        <v>3300</v>
      </c>
      <c r="F387" s="1568"/>
      <c r="G387" s="1568"/>
      <c r="H387" s="1568"/>
      <c r="J387" s="1568" t="s">
        <v>3301</v>
      </c>
      <c r="K387" s="1568"/>
      <c r="L387" s="1568"/>
      <c r="M387" s="1566">
        <v>1690.09</v>
      </c>
      <c r="N387" s="1566"/>
      <c r="O387" s="1566"/>
      <c r="P387" s="1566">
        <v>0</v>
      </c>
      <c r="Q387" s="1566"/>
      <c r="R387" s="1566"/>
      <c r="S387" s="1566">
        <v>533.79999999999995</v>
      </c>
      <c r="T387" s="1566"/>
      <c r="U387" s="1566"/>
      <c r="V387" s="1566"/>
      <c r="W387" s="1566">
        <v>0</v>
      </c>
      <c r="X387" s="1566"/>
      <c r="Y387" s="1566"/>
      <c r="Z387" s="1566"/>
      <c r="AA387" s="1566">
        <v>2223.89</v>
      </c>
      <c r="AB387" s="1566"/>
      <c r="AC387" s="1566"/>
      <c r="AD387" s="1566"/>
      <c r="AE387" s="1566"/>
      <c r="AF387" s="1566"/>
      <c r="AG387" s="1566">
        <v>0</v>
      </c>
      <c r="AH387" s="1566"/>
      <c r="AI387" s="1566"/>
      <c r="AJ387" s="1566"/>
      <c r="AK387" s="1566"/>
    </row>
    <row r="388" spans="2:37" ht="9.4" customHeight="1">
      <c r="B388" s="1568" t="s">
        <v>1326</v>
      </c>
      <c r="C388" s="1568"/>
      <c r="D388" s="1568"/>
      <c r="E388" s="1568" t="s">
        <v>3239</v>
      </c>
      <c r="F388" s="1568"/>
      <c r="G388" s="1568"/>
      <c r="H388" s="1568"/>
      <c r="J388" s="1568" t="s">
        <v>3240</v>
      </c>
      <c r="K388" s="1568"/>
      <c r="L388" s="1568"/>
      <c r="M388" s="1566">
        <v>135.65</v>
      </c>
      <c r="N388" s="1566"/>
      <c r="O388" s="1566"/>
      <c r="P388" s="1566">
        <v>0</v>
      </c>
      <c r="Q388" s="1566"/>
      <c r="R388" s="1566"/>
      <c r="S388" s="1566">
        <v>145.46</v>
      </c>
      <c r="T388" s="1566"/>
      <c r="U388" s="1566"/>
      <c r="V388" s="1566"/>
      <c r="W388" s="1566">
        <v>281.11</v>
      </c>
      <c r="X388" s="1566"/>
      <c r="Y388" s="1566"/>
      <c r="Z388" s="1566"/>
      <c r="AA388" s="1566">
        <v>0</v>
      </c>
      <c r="AB388" s="1566"/>
      <c r="AC388" s="1566"/>
      <c r="AD388" s="1566"/>
      <c r="AE388" s="1566"/>
      <c r="AF388" s="1566"/>
      <c r="AG388" s="1566">
        <v>0</v>
      </c>
      <c r="AH388" s="1566"/>
      <c r="AI388" s="1566"/>
      <c r="AJ388" s="1566"/>
      <c r="AK388" s="1566"/>
    </row>
    <row r="389" spans="2:37" ht="9.4" customHeight="1">
      <c r="B389" s="1568" t="s">
        <v>1326</v>
      </c>
      <c r="C389" s="1568"/>
      <c r="D389" s="1568"/>
      <c r="E389" s="1568" t="s">
        <v>3251</v>
      </c>
      <c r="F389" s="1568"/>
      <c r="G389" s="1568"/>
      <c r="H389" s="1568"/>
      <c r="J389" s="1568" t="s">
        <v>3252</v>
      </c>
      <c r="K389" s="1568"/>
      <c r="L389" s="1568"/>
      <c r="M389" s="1566">
        <v>538.79999999999995</v>
      </c>
      <c r="N389" s="1566"/>
      <c r="O389" s="1566"/>
      <c r="P389" s="1566">
        <v>0</v>
      </c>
      <c r="Q389" s="1566"/>
      <c r="R389" s="1566"/>
      <c r="S389" s="1566">
        <v>137.43</v>
      </c>
      <c r="T389" s="1566"/>
      <c r="U389" s="1566"/>
      <c r="V389" s="1566"/>
      <c r="W389" s="1566">
        <v>0</v>
      </c>
      <c r="X389" s="1566"/>
      <c r="Y389" s="1566"/>
      <c r="Z389" s="1566"/>
      <c r="AA389" s="1566">
        <v>676.23</v>
      </c>
      <c r="AB389" s="1566"/>
      <c r="AC389" s="1566"/>
      <c r="AD389" s="1566"/>
      <c r="AE389" s="1566"/>
      <c r="AF389" s="1566"/>
      <c r="AG389" s="1566">
        <v>0</v>
      </c>
      <c r="AH389" s="1566"/>
      <c r="AI389" s="1566"/>
      <c r="AJ389" s="1566"/>
      <c r="AK389" s="1566"/>
    </row>
    <row r="390" spans="2:37" ht="9.4" customHeight="1">
      <c r="B390" s="1568" t="s">
        <v>1326</v>
      </c>
      <c r="C390" s="1568"/>
      <c r="D390" s="1568"/>
      <c r="E390" s="1568" t="s">
        <v>3241</v>
      </c>
      <c r="F390" s="1568"/>
      <c r="G390" s="1568"/>
      <c r="H390" s="1568"/>
      <c r="J390" s="1568" t="s">
        <v>3242</v>
      </c>
      <c r="K390" s="1568"/>
      <c r="L390" s="1568"/>
      <c r="M390" s="1566">
        <v>39304.9</v>
      </c>
      <c r="N390" s="1566"/>
      <c r="O390" s="1566"/>
      <c r="P390" s="1566">
        <v>0</v>
      </c>
      <c r="Q390" s="1566"/>
      <c r="R390" s="1566"/>
      <c r="S390" s="1566">
        <v>20536.96</v>
      </c>
      <c r="T390" s="1566"/>
      <c r="U390" s="1566"/>
      <c r="V390" s="1566"/>
      <c r="W390" s="1566">
        <v>36748.57</v>
      </c>
      <c r="X390" s="1566"/>
      <c r="Y390" s="1566"/>
      <c r="Z390" s="1566"/>
      <c r="AA390" s="1566">
        <v>23093.29</v>
      </c>
      <c r="AB390" s="1566"/>
      <c r="AC390" s="1566"/>
      <c r="AD390" s="1566"/>
      <c r="AE390" s="1566"/>
      <c r="AF390" s="1566"/>
      <c r="AG390" s="1566">
        <v>0</v>
      </c>
      <c r="AH390" s="1566"/>
      <c r="AI390" s="1566"/>
      <c r="AJ390" s="1566"/>
      <c r="AK390" s="1566"/>
    </row>
    <row r="391" spans="2:37" ht="9.4" customHeight="1">
      <c r="B391" s="1568" t="s">
        <v>1326</v>
      </c>
      <c r="C391" s="1568"/>
      <c r="D391" s="1568"/>
      <c r="E391" s="1568" t="s">
        <v>3243</v>
      </c>
      <c r="F391" s="1568"/>
      <c r="G391" s="1568"/>
      <c r="H391" s="1568"/>
      <c r="J391" s="1568" t="s">
        <v>3244</v>
      </c>
      <c r="K391" s="1568"/>
      <c r="L391" s="1568"/>
      <c r="M391" s="1566">
        <v>42915.31</v>
      </c>
      <c r="N391" s="1566"/>
      <c r="O391" s="1566"/>
      <c r="P391" s="1566">
        <v>0</v>
      </c>
      <c r="Q391" s="1566"/>
      <c r="R391" s="1566"/>
      <c r="S391" s="1566">
        <v>4535.41</v>
      </c>
      <c r="T391" s="1566"/>
      <c r="U391" s="1566"/>
      <c r="V391" s="1566"/>
      <c r="W391" s="1566">
        <v>47450.720000000001</v>
      </c>
      <c r="X391" s="1566"/>
      <c r="Y391" s="1566"/>
      <c r="Z391" s="1566"/>
      <c r="AA391" s="1566">
        <v>0</v>
      </c>
      <c r="AB391" s="1566"/>
      <c r="AC391" s="1566"/>
      <c r="AD391" s="1566"/>
      <c r="AE391" s="1566"/>
      <c r="AF391" s="1566"/>
      <c r="AG391" s="1566">
        <v>0</v>
      </c>
      <c r="AH391" s="1566"/>
      <c r="AI391" s="1566"/>
      <c r="AJ391" s="1566"/>
      <c r="AK391" s="1566"/>
    </row>
    <row r="392" spans="2:37" ht="9.4" customHeight="1">
      <c r="B392" s="1568" t="s">
        <v>1326</v>
      </c>
      <c r="C392" s="1568"/>
      <c r="D392" s="1568"/>
      <c r="E392" s="1568" t="s">
        <v>3245</v>
      </c>
      <c r="F392" s="1568"/>
      <c r="G392" s="1568"/>
      <c r="H392" s="1568"/>
      <c r="J392" s="1568" t="s">
        <v>3246</v>
      </c>
      <c r="K392" s="1568"/>
      <c r="L392" s="1568"/>
      <c r="M392" s="1566">
        <v>0</v>
      </c>
      <c r="N392" s="1566"/>
      <c r="O392" s="1566"/>
      <c r="P392" s="1566">
        <v>0</v>
      </c>
      <c r="Q392" s="1566"/>
      <c r="R392" s="1566"/>
      <c r="S392" s="1566">
        <v>0</v>
      </c>
      <c r="T392" s="1566"/>
      <c r="U392" s="1566"/>
      <c r="V392" s="1566"/>
      <c r="W392" s="1566">
        <v>0</v>
      </c>
      <c r="X392" s="1566"/>
      <c r="Y392" s="1566"/>
      <c r="Z392" s="1566"/>
      <c r="AA392" s="1566">
        <v>0</v>
      </c>
      <c r="AB392" s="1566"/>
      <c r="AC392" s="1566"/>
      <c r="AD392" s="1566"/>
      <c r="AE392" s="1566"/>
      <c r="AF392" s="1566"/>
      <c r="AG392" s="1566">
        <v>0</v>
      </c>
      <c r="AH392" s="1566"/>
      <c r="AI392" s="1566"/>
      <c r="AJ392" s="1566"/>
      <c r="AK392" s="1566"/>
    </row>
    <row r="393" spans="2:37" ht="9.4" customHeight="1">
      <c r="B393" s="1568" t="s">
        <v>1326</v>
      </c>
      <c r="C393" s="1568"/>
      <c r="D393" s="1568"/>
      <c r="E393" s="1568" t="s">
        <v>3302</v>
      </c>
      <c r="F393" s="1568"/>
      <c r="G393" s="1568"/>
      <c r="H393" s="1568"/>
      <c r="J393" s="1568" t="s">
        <v>3303</v>
      </c>
      <c r="K393" s="1568"/>
      <c r="L393" s="1568"/>
      <c r="M393" s="1566">
        <v>1255.49</v>
      </c>
      <c r="N393" s="1566"/>
      <c r="O393" s="1566"/>
      <c r="P393" s="1566">
        <v>0</v>
      </c>
      <c r="Q393" s="1566"/>
      <c r="R393" s="1566"/>
      <c r="S393" s="1566">
        <v>521.65</v>
      </c>
      <c r="T393" s="1566"/>
      <c r="U393" s="1566"/>
      <c r="V393" s="1566"/>
      <c r="W393" s="1566">
        <v>1777.14</v>
      </c>
      <c r="X393" s="1566"/>
      <c r="Y393" s="1566"/>
      <c r="Z393" s="1566"/>
      <c r="AA393" s="1566">
        <v>0</v>
      </c>
      <c r="AB393" s="1566"/>
      <c r="AC393" s="1566"/>
      <c r="AD393" s="1566"/>
      <c r="AE393" s="1566"/>
      <c r="AF393" s="1566"/>
      <c r="AG393" s="1566">
        <v>0</v>
      </c>
      <c r="AH393" s="1566"/>
      <c r="AI393" s="1566"/>
      <c r="AJ393" s="1566"/>
      <c r="AK393" s="1566"/>
    </row>
    <row r="394" spans="2:37" ht="9.4" customHeight="1">
      <c r="B394" s="1568" t="s">
        <v>1326</v>
      </c>
      <c r="C394" s="1568"/>
      <c r="D394" s="1568"/>
      <c r="E394" s="1568" t="s">
        <v>3304</v>
      </c>
      <c r="F394" s="1568"/>
      <c r="G394" s="1568"/>
      <c r="H394" s="1568"/>
      <c r="J394" s="1568" t="s">
        <v>3305</v>
      </c>
      <c r="K394" s="1568"/>
      <c r="L394" s="1568"/>
      <c r="M394" s="1566">
        <v>0</v>
      </c>
      <c r="N394" s="1566"/>
      <c r="O394" s="1566"/>
      <c r="P394" s="1566">
        <v>0</v>
      </c>
      <c r="Q394" s="1566"/>
      <c r="R394" s="1566"/>
      <c r="S394" s="1566">
        <v>98.57</v>
      </c>
      <c r="T394" s="1566"/>
      <c r="U394" s="1566"/>
      <c r="V394" s="1566"/>
      <c r="W394" s="1566">
        <v>0</v>
      </c>
      <c r="X394" s="1566"/>
      <c r="Y394" s="1566"/>
      <c r="Z394" s="1566"/>
      <c r="AA394" s="1566">
        <v>98.57</v>
      </c>
      <c r="AB394" s="1566"/>
      <c r="AC394" s="1566"/>
      <c r="AD394" s="1566"/>
      <c r="AE394" s="1566"/>
      <c r="AF394" s="1566"/>
      <c r="AG394" s="1566">
        <v>0</v>
      </c>
      <c r="AH394" s="1566"/>
      <c r="AI394" s="1566"/>
      <c r="AJ394" s="1566"/>
      <c r="AK394" s="1566"/>
    </row>
    <row r="395" spans="2:37" ht="9.4" customHeight="1">
      <c r="B395" s="1568" t="s">
        <v>1326</v>
      </c>
      <c r="C395" s="1568"/>
      <c r="D395" s="1568"/>
      <c r="E395" s="1568" t="s">
        <v>3306</v>
      </c>
      <c r="F395" s="1568"/>
      <c r="G395" s="1568"/>
      <c r="H395" s="1568"/>
      <c r="J395" s="1568" t="s">
        <v>3307</v>
      </c>
      <c r="K395" s="1568"/>
      <c r="L395" s="1568"/>
      <c r="M395" s="1566">
        <v>0</v>
      </c>
      <c r="N395" s="1566"/>
      <c r="O395" s="1566"/>
      <c r="P395" s="1566">
        <v>0</v>
      </c>
      <c r="Q395" s="1566"/>
      <c r="R395" s="1566"/>
      <c r="S395" s="1566">
        <v>118.91</v>
      </c>
      <c r="T395" s="1566"/>
      <c r="U395" s="1566"/>
      <c r="V395" s="1566"/>
      <c r="W395" s="1566">
        <v>0</v>
      </c>
      <c r="X395" s="1566"/>
      <c r="Y395" s="1566"/>
      <c r="Z395" s="1566"/>
      <c r="AA395" s="1566">
        <v>118.91</v>
      </c>
      <c r="AB395" s="1566"/>
      <c r="AC395" s="1566"/>
      <c r="AD395" s="1566"/>
      <c r="AE395" s="1566"/>
      <c r="AF395" s="1566"/>
      <c r="AG395" s="1566">
        <v>0</v>
      </c>
      <c r="AH395" s="1566"/>
      <c r="AI395" s="1566"/>
      <c r="AJ395" s="1566"/>
      <c r="AK395" s="1566"/>
    </row>
    <row r="396" spans="2:37" ht="9.4" customHeight="1">
      <c r="B396" s="1568" t="s">
        <v>1326</v>
      </c>
      <c r="C396" s="1568"/>
      <c r="D396" s="1568"/>
      <c r="E396" s="1568" t="s">
        <v>3365</v>
      </c>
      <c r="F396" s="1568"/>
      <c r="G396" s="1568"/>
      <c r="H396" s="1568"/>
      <c r="J396" s="1568" t="s">
        <v>3366</v>
      </c>
      <c r="K396" s="1568"/>
      <c r="L396" s="1568"/>
      <c r="M396" s="1566">
        <v>0</v>
      </c>
      <c r="N396" s="1566"/>
      <c r="O396" s="1566"/>
      <c r="P396" s="1566">
        <v>0</v>
      </c>
      <c r="Q396" s="1566"/>
      <c r="R396" s="1566"/>
      <c r="S396" s="1566">
        <v>14239.13</v>
      </c>
      <c r="T396" s="1566"/>
      <c r="U396" s="1566"/>
      <c r="V396" s="1566"/>
      <c r="W396" s="1566">
        <v>14239.13</v>
      </c>
      <c r="X396" s="1566"/>
      <c r="Y396" s="1566"/>
      <c r="Z396" s="1566"/>
      <c r="AA396" s="1566">
        <v>0</v>
      </c>
      <c r="AB396" s="1566"/>
      <c r="AC396" s="1566"/>
      <c r="AD396" s="1566"/>
      <c r="AE396" s="1566"/>
      <c r="AF396" s="1566"/>
      <c r="AG396" s="1566">
        <v>0</v>
      </c>
      <c r="AH396" s="1566"/>
      <c r="AI396" s="1566"/>
      <c r="AJ396" s="1566"/>
      <c r="AK396" s="1566"/>
    </row>
    <row r="397" spans="2:37" ht="9.4" customHeight="1">
      <c r="B397" s="1568" t="s">
        <v>1326</v>
      </c>
      <c r="C397" s="1568"/>
      <c r="D397" s="1568"/>
      <c r="E397" s="1568" t="s">
        <v>4068</v>
      </c>
      <c r="F397" s="1568"/>
      <c r="G397" s="1568"/>
      <c r="H397" s="1568"/>
      <c r="J397" s="1568" t="s">
        <v>4069</v>
      </c>
      <c r="K397" s="1568"/>
      <c r="L397" s="1568"/>
      <c r="M397" s="1566">
        <v>0</v>
      </c>
      <c r="N397" s="1566"/>
      <c r="O397" s="1566"/>
      <c r="P397" s="1566">
        <v>0</v>
      </c>
      <c r="Q397" s="1566"/>
      <c r="R397" s="1566"/>
      <c r="S397" s="1566">
        <v>397.96</v>
      </c>
      <c r="T397" s="1566"/>
      <c r="U397" s="1566"/>
      <c r="V397" s="1566"/>
      <c r="W397" s="1566">
        <v>0</v>
      </c>
      <c r="X397" s="1566"/>
      <c r="Y397" s="1566"/>
      <c r="Z397" s="1566"/>
      <c r="AA397" s="1566">
        <v>397.96</v>
      </c>
      <c r="AB397" s="1566"/>
      <c r="AC397" s="1566"/>
      <c r="AD397" s="1566"/>
      <c r="AE397" s="1566"/>
      <c r="AF397" s="1566"/>
      <c r="AG397" s="1566">
        <v>0</v>
      </c>
      <c r="AH397" s="1566"/>
      <c r="AI397" s="1566"/>
      <c r="AJ397" s="1566"/>
      <c r="AK397" s="1566"/>
    </row>
    <row r="398" spans="2:37" ht="9.4" customHeight="1">
      <c r="B398" s="1568" t="s">
        <v>1326</v>
      </c>
      <c r="C398" s="1568"/>
      <c r="D398" s="1568"/>
      <c r="E398" s="1568" t="s">
        <v>4070</v>
      </c>
      <c r="F398" s="1568"/>
      <c r="G398" s="1568"/>
      <c r="H398" s="1568"/>
      <c r="J398" s="1568" t="s">
        <v>4071</v>
      </c>
      <c r="K398" s="1568"/>
      <c r="L398" s="1568"/>
      <c r="M398" s="1566">
        <v>0</v>
      </c>
      <c r="N398" s="1566"/>
      <c r="O398" s="1566"/>
      <c r="P398" s="1566">
        <v>0</v>
      </c>
      <c r="Q398" s="1566"/>
      <c r="R398" s="1566"/>
      <c r="S398" s="1566">
        <v>1428.47</v>
      </c>
      <c r="T398" s="1566"/>
      <c r="U398" s="1566"/>
      <c r="V398" s="1566"/>
      <c r="W398" s="1566">
        <v>1428.47</v>
      </c>
      <c r="X398" s="1566"/>
      <c r="Y398" s="1566"/>
      <c r="Z398" s="1566"/>
      <c r="AA398" s="1566">
        <v>0</v>
      </c>
      <c r="AB398" s="1566"/>
      <c r="AC398" s="1566"/>
      <c r="AD398" s="1566"/>
      <c r="AE398" s="1566"/>
      <c r="AF398" s="1566"/>
      <c r="AG398" s="1566">
        <v>0</v>
      </c>
      <c r="AH398" s="1566"/>
      <c r="AI398" s="1566"/>
      <c r="AJ398" s="1566"/>
      <c r="AK398" s="1566"/>
    </row>
    <row r="399" spans="2:37" ht="9.4" customHeight="1">
      <c r="B399" s="1568" t="s">
        <v>1326</v>
      </c>
      <c r="C399" s="1568"/>
      <c r="D399" s="1568"/>
      <c r="E399" s="1568" t="s">
        <v>3367</v>
      </c>
      <c r="F399" s="1568"/>
      <c r="G399" s="1568"/>
      <c r="H399" s="1568"/>
      <c r="J399" s="1568" t="s">
        <v>3368</v>
      </c>
      <c r="K399" s="1568"/>
      <c r="L399" s="1568"/>
      <c r="M399" s="1566">
        <v>5747.01</v>
      </c>
      <c r="N399" s="1566"/>
      <c r="O399" s="1566"/>
      <c r="P399" s="1566">
        <v>0</v>
      </c>
      <c r="Q399" s="1566"/>
      <c r="R399" s="1566"/>
      <c r="S399" s="1566">
        <v>839.12</v>
      </c>
      <c r="T399" s="1566"/>
      <c r="U399" s="1566"/>
      <c r="V399" s="1566"/>
      <c r="W399" s="1566">
        <v>0</v>
      </c>
      <c r="X399" s="1566"/>
      <c r="Y399" s="1566"/>
      <c r="Z399" s="1566"/>
      <c r="AA399" s="1566">
        <v>6586.13</v>
      </c>
      <c r="AB399" s="1566"/>
      <c r="AC399" s="1566"/>
      <c r="AD399" s="1566"/>
      <c r="AE399" s="1566"/>
      <c r="AF399" s="1566"/>
      <c r="AG399" s="1566">
        <v>0</v>
      </c>
      <c r="AH399" s="1566"/>
      <c r="AI399" s="1566"/>
      <c r="AJ399" s="1566"/>
      <c r="AK399" s="1566"/>
    </row>
    <row r="400" spans="2:37" ht="9.4" customHeight="1">
      <c r="B400" s="1568" t="s">
        <v>1326</v>
      </c>
      <c r="C400" s="1568"/>
      <c r="D400" s="1568"/>
      <c r="E400" s="1568" t="s">
        <v>4072</v>
      </c>
      <c r="F400" s="1568"/>
      <c r="G400" s="1568"/>
      <c r="H400" s="1568"/>
      <c r="J400" s="1568" t="s">
        <v>4073</v>
      </c>
      <c r="K400" s="1568"/>
      <c r="L400" s="1568"/>
      <c r="M400" s="1566">
        <v>2054.7399999999998</v>
      </c>
      <c r="N400" s="1566"/>
      <c r="O400" s="1566"/>
      <c r="P400" s="1566">
        <v>0</v>
      </c>
      <c r="Q400" s="1566"/>
      <c r="R400" s="1566"/>
      <c r="S400" s="1566">
        <v>524.33000000000004</v>
      </c>
      <c r="T400" s="1566"/>
      <c r="U400" s="1566"/>
      <c r="V400" s="1566"/>
      <c r="W400" s="1566">
        <v>0</v>
      </c>
      <c r="X400" s="1566"/>
      <c r="Y400" s="1566"/>
      <c r="Z400" s="1566"/>
      <c r="AA400" s="1566">
        <v>2579.0700000000002</v>
      </c>
      <c r="AB400" s="1566"/>
      <c r="AC400" s="1566"/>
      <c r="AD400" s="1566"/>
      <c r="AE400" s="1566"/>
      <c r="AF400" s="1566"/>
      <c r="AG400" s="1566">
        <v>0</v>
      </c>
      <c r="AH400" s="1566"/>
      <c r="AI400" s="1566"/>
      <c r="AJ400" s="1566"/>
      <c r="AK400" s="1566"/>
    </row>
    <row r="401" spans="2:37" ht="9.4" customHeight="1">
      <c r="B401" s="1568" t="s">
        <v>1326</v>
      </c>
      <c r="C401" s="1568"/>
      <c r="D401" s="1568"/>
      <c r="E401" s="1568" t="s">
        <v>3369</v>
      </c>
      <c r="F401" s="1568"/>
      <c r="G401" s="1568"/>
      <c r="H401" s="1568"/>
      <c r="J401" s="1568" t="s">
        <v>3370</v>
      </c>
      <c r="K401" s="1568"/>
      <c r="L401" s="1568"/>
      <c r="M401" s="1566">
        <v>0</v>
      </c>
      <c r="N401" s="1566"/>
      <c r="O401" s="1566"/>
      <c r="P401" s="1566">
        <v>0</v>
      </c>
      <c r="Q401" s="1566"/>
      <c r="R401" s="1566"/>
      <c r="S401" s="1566">
        <v>1386.9</v>
      </c>
      <c r="T401" s="1566"/>
      <c r="U401" s="1566"/>
      <c r="V401" s="1566"/>
      <c r="W401" s="1566">
        <v>0</v>
      </c>
      <c r="X401" s="1566"/>
      <c r="Y401" s="1566"/>
      <c r="Z401" s="1566"/>
      <c r="AA401" s="1566">
        <v>1386.9</v>
      </c>
      <c r="AB401" s="1566"/>
      <c r="AC401" s="1566"/>
      <c r="AD401" s="1566"/>
      <c r="AE401" s="1566"/>
      <c r="AF401" s="1566"/>
      <c r="AG401" s="1566">
        <v>0</v>
      </c>
      <c r="AH401" s="1566"/>
      <c r="AI401" s="1566"/>
      <c r="AJ401" s="1566"/>
      <c r="AK401" s="1566"/>
    </row>
    <row r="402" spans="2:37" ht="9.4" customHeight="1">
      <c r="B402" s="1568" t="s">
        <v>1326</v>
      </c>
      <c r="C402" s="1568"/>
      <c r="D402" s="1568"/>
      <c r="E402" s="1568" t="s">
        <v>4111</v>
      </c>
      <c r="F402" s="1568"/>
      <c r="G402" s="1568"/>
      <c r="H402" s="1568"/>
      <c r="J402" s="1568" t="s">
        <v>4112</v>
      </c>
      <c r="K402" s="1568"/>
      <c r="L402" s="1568"/>
      <c r="M402" s="1566">
        <v>3942.85</v>
      </c>
      <c r="N402" s="1566"/>
      <c r="O402" s="1566"/>
      <c r="P402" s="1566">
        <v>0</v>
      </c>
      <c r="Q402" s="1566"/>
      <c r="R402" s="1566"/>
      <c r="S402" s="1566">
        <v>3408.8</v>
      </c>
      <c r="T402" s="1566"/>
      <c r="U402" s="1566"/>
      <c r="V402" s="1566"/>
      <c r="W402" s="1566">
        <v>7351.65</v>
      </c>
      <c r="X402" s="1566"/>
      <c r="Y402" s="1566"/>
      <c r="Z402" s="1566"/>
      <c r="AA402" s="1566">
        <v>0</v>
      </c>
      <c r="AB402" s="1566"/>
      <c r="AC402" s="1566"/>
      <c r="AD402" s="1566"/>
      <c r="AE402" s="1566"/>
      <c r="AF402" s="1566"/>
      <c r="AG402" s="1566">
        <v>0</v>
      </c>
      <c r="AH402" s="1566"/>
      <c r="AI402" s="1566"/>
      <c r="AJ402" s="1566"/>
      <c r="AK402" s="1566"/>
    </row>
    <row r="403" spans="2:37" ht="9.4" customHeight="1">
      <c r="B403" s="1568" t="s">
        <v>1326</v>
      </c>
      <c r="C403" s="1568"/>
      <c r="D403" s="1568"/>
      <c r="E403" s="1568" t="s">
        <v>4113</v>
      </c>
      <c r="F403" s="1568"/>
      <c r="G403" s="1568"/>
      <c r="H403" s="1568"/>
      <c r="J403" s="1568" t="s">
        <v>4114</v>
      </c>
      <c r="K403" s="1568"/>
      <c r="L403" s="1568"/>
      <c r="M403" s="1566">
        <v>1678.88</v>
      </c>
      <c r="N403" s="1566"/>
      <c r="O403" s="1566"/>
      <c r="P403" s="1566">
        <v>0</v>
      </c>
      <c r="Q403" s="1566"/>
      <c r="R403" s="1566"/>
      <c r="S403" s="1566">
        <v>329.84</v>
      </c>
      <c r="T403" s="1566"/>
      <c r="U403" s="1566"/>
      <c r="V403" s="1566"/>
      <c r="W403" s="1566">
        <v>329.84</v>
      </c>
      <c r="X403" s="1566"/>
      <c r="Y403" s="1566"/>
      <c r="Z403" s="1566"/>
      <c r="AA403" s="1566">
        <v>1678.88</v>
      </c>
      <c r="AB403" s="1566"/>
      <c r="AC403" s="1566"/>
      <c r="AD403" s="1566"/>
      <c r="AE403" s="1566"/>
      <c r="AF403" s="1566"/>
      <c r="AG403" s="1566">
        <v>0</v>
      </c>
      <c r="AH403" s="1566"/>
      <c r="AI403" s="1566"/>
      <c r="AJ403" s="1566"/>
      <c r="AK403" s="1566"/>
    </row>
    <row r="404" spans="2:37" ht="9.4" customHeight="1">
      <c r="B404" s="1568" t="s">
        <v>1326</v>
      </c>
      <c r="C404" s="1568"/>
      <c r="D404" s="1568"/>
      <c r="E404" s="1568" t="s">
        <v>4074</v>
      </c>
      <c r="F404" s="1568"/>
      <c r="G404" s="1568"/>
      <c r="H404" s="1568"/>
      <c r="J404" s="1568" t="s">
        <v>4075</v>
      </c>
      <c r="K404" s="1568"/>
      <c r="L404" s="1568"/>
      <c r="M404" s="1566">
        <v>0</v>
      </c>
      <c r="N404" s="1566"/>
      <c r="O404" s="1566"/>
      <c r="P404" s="1566">
        <v>0</v>
      </c>
      <c r="Q404" s="1566"/>
      <c r="R404" s="1566"/>
      <c r="S404" s="1566">
        <v>1423.73</v>
      </c>
      <c r="T404" s="1566"/>
      <c r="U404" s="1566"/>
      <c r="V404" s="1566"/>
      <c r="W404" s="1566">
        <v>1423.73</v>
      </c>
      <c r="X404" s="1566"/>
      <c r="Y404" s="1566"/>
      <c r="Z404" s="1566"/>
      <c r="AA404" s="1566">
        <v>0</v>
      </c>
      <c r="AB404" s="1566"/>
      <c r="AC404" s="1566"/>
      <c r="AD404" s="1566"/>
      <c r="AE404" s="1566"/>
      <c r="AF404" s="1566"/>
      <c r="AG404" s="1566">
        <v>0</v>
      </c>
      <c r="AH404" s="1566"/>
      <c r="AI404" s="1566"/>
      <c r="AJ404" s="1566"/>
      <c r="AK404" s="1566"/>
    </row>
    <row r="405" spans="2:37" ht="9.4" customHeight="1">
      <c r="B405" s="1568" t="s">
        <v>1326</v>
      </c>
      <c r="C405" s="1568"/>
      <c r="D405" s="1568"/>
      <c r="E405" s="1568" t="s">
        <v>4076</v>
      </c>
      <c r="F405" s="1568"/>
      <c r="G405" s="1568"/>
      <c r="H405" s="1568"/>
      <c r="J405" s="1568" t="s">
        <v>4077</v>
      </c>
      <c r="K405" s="1568"/>
      <c r="L405" s="1568"/>
      <c r="M405" s="1566">
        <v>0</v>
      </c>
      <c r="N405" s="1566"/>
      <c r="O405" s="1566"/>
      <c r="P405" s="1566">
        <v>0</v>
      </c>
      <c r="Q405" s="1566"/>
      <c r="R405" s="1566"/>
      <c r="S405" s="1566">
        <v>9095.59</v>
      </c>
      <c r="T405" s="1566"/>
      <c r="U405" s="1566"/>
      <c r="V405" s="1566"/>
      <c r="W405" s="1566">
        <v>0</v>
      </c>
      <c r="X405" s="1566"/>
      <c r="Y405" s="1566"/>
      <c r="Z405" s="1566"/>
      <c r="AA405" s="1566">
        <v>9095.59</v>
      </c>
      <c r="AB405" s="1566"/>
      <c r="AC405" s="1566"/>
      <c r="AD405" s="1566"/>
      <c r="AE405" s="1566"/>
      <c r="AF405" s="1566"/>
      <c r="AG405" s="1566">
        <v>0</v>
      </c>
      <c r="AH405" s="1566"/>
      <c r="AI405" s="1566"/>
      <c r="AJ405" s="1566"/>
      <c r="AK405" s="1566"/>
    </row>
    <row r="406" spans="2:37" ht="9.4" customHeight="1">
      <c r="B406" s="1568" t="s">
        <v>1326</v>
      </c>
      <c r="C406" s="1568"/>
      <c r="D406" s="1568"/>
      <c r="E406" s="1568" t="s">
        <v>4078</v>
      </c>
      <c r="F406" s="1568"/>
      <c r="G406" s="1568"/>
      <c r="H406" s="1568"/>
      <c r="J406" s="1568" t="s">
        <v>4079</v>
      </c>
      <c r="K406" s="1568"/>
      <c r="L406" s="1568"/>
      <c r="M406" s="1566">
        <v>304.77</v>
      </c>
      <c r="N406" s="1566"/>
      <c r="O406" s="1566"/>
      <c r="P406" s="1566">
        <v>0</v>
      </c>
      <c r="Q406" s="1566"/>
      <c r="R406" s="1566"/>
      <c r="S406" s="1566">
        <v>0</v>
      </c>
      <c r="T406" s="1566"/>
      <c r="U406" s="1566"/>
      <c r="V406" s="1566"/>
      <c r="W406" s="1566">
        <v>0</v>
      </c>
      <c r="X406" s="1566"/>
      <c r="Y406" s="1566"/>
      <c r="Z406" s="1566"/>
      <c r="AA406" s="1566">
        <v>304.77</v>
      </c>
      <c r="AB406" s="1566"/>
      <c r="AC406" s="1566"/>
      <c r="AD406" s="1566"/>
      <c r="AE406" s="1566"/>
      <c r="AF406" s="1566"/>
      <c r="AG406" s="1566">
        <v>0</v>
      </c>
      <c r="AH406" s="1566"/>
      <c r="AI406" s="1566"/>
      <c r="AJ406" s="1566"/>
      <c r="AK406" s="1566"/>
    </row>
    <row r="407" spans="2:37" ht="9.4" customHeight="1">
      <c r="B407" s="1568" t="s">
        <v>1326</v>
      </c>
      <c r="C407" s="1568"/>
      <c r="D407" s="1568"/>
      <c r="E407" s="1568" t="s">
        <v>5502</v>
      </c>
      <c r="F407" s="1568"/>
      <c r="G407" s="1568"/>
      <c r="H407" s="1568"/>
      <c r="J407" s="1568" t="s">
        <v>2113</v>
      </c>
      <c r="K407" s="1568"/>
      <c r="L407" s="1568"/>
      <c r="M407" s="1566">
        <v>46198.86</v>
      </c>
      <c r="N407" s="1566"/>
      <c r="O407" s="1566"/>
      <c r="P407" s="1566">
        <v>0</v>
      </c>
      <c r="Q407" s="1566"/>
      <c r="R407" s="1566"/>
      <c r="S407" s="1566">
        <v>21741.91</v>
      </c>
      <c r="T407" s="1566"/>
      <c r="U407" s="1566"/>
      <c r="V407" s="1566"/>
      <c r="W407" s="1566">
        <v>0</v>
      </c>
      <c r="X407" s="1566"/>
      <c r="Y407" s="1566"/>
      <c r="Z407" s="1566"/>
      <c r="AA407" s="1566">
        <v>67940.77</v>
      </c>
      <c r="AB407" s="1566"/>
      <c r="AC407" s="1566"/>
      <c r="AD407" s="1566"/>
      <c r="AE407" s="1566"/>
      <c r="AF407" s="1566"/>
      <c r="AG407" s="1566">
        <v>0</v>
      </c>
      <c r="AH407" s="1566"/>
      <c r="AI407" s="1566"/>
      <c r="AJ407" s="1566"/>
      <c r="AK407" s="1566"/>
    </row>
    <row r="408" spans="2:37" ht="9.4" customHeight="1">
      <c r="B408" s="1568" t="s">
        <v>1326</v>
      </c>
      <c r="C408" s="1568"/>
      <c r="D408" s="1568"/>
      <c r="E408" s="1568" t="s">
        <v>6208</v>
      </c>
      <c r="F408" s="1568"/>
      <c r="G408" s="1568"/>
      <c r="H408" s="1568"/>
      <c r="J408" s="1568" t="s">
        <v>6209</v>
      </c>
      <c r="K408" s="1568"/>
      <c r="L408" s="1568"/>
      <c r="M408" s="1566">
        <v>0</v>
      </c>
      <c r="N408" s="1566"/>
      <c r="O408" s="1566"/>
      <c r="P408" s="1566">
        <v>0</v>
      </c>
      <c r="Q408" s="1566"/>
      <c r="R408" s="1566"/>
      <c r="S408" s="1566">
        <v>922.98</v>
      </c>
      <c r="T408" s="1566"/>
      <c r="U408" s="1566"/>
      <c r="V408" s="1566"/>
      <c r="W408" s="1566">
        <v>922.98</v>
      </c>
      <c r="X408" s="1566"/>
      <c r="Y408" s="1566"/>
      <c r="Z408" s="1566"/>
      <c r="AA408" s="1566">
        <v>0</v>
      </c>
      <c r="AB408" s="1566"/>
      <c r="AC408" s="1566"/>
      <c r="AD408" s="1566"/>
      <c r="AE408" s="1566"/>
      <c r="AF408" s="1566"/>
      <c r="AG408" s="1566">
        <v>0</v>
      </c>
      <c r="AH408" s="1566"/>
      <c r="AI408" s="1566"/>
      <c r="AJ408" s="1566"/>
      <c r="AK408" s="1566"/>
    </row>
    <row r="409" spans="2:37" ht="9.1999999999999993" customHeight="1">
      <c r="J409" s="1568"/>
      <c r="K409" s="1568"/>
      <c r="L409" s="1568"/>
    </row>
    <row r="410" spans="2:37" ht="8.4499999999999993" customHeight="1">
      <c r="B410" s="1568" t="s">
        <v>1326</v>
      </c>
      <c r="C410" s="1568"/>
      <c r="D410" s="1568"/>
      <c r="E410" s="1568" t="s">
        <v>4196</v>
      </c>
      <c r="F410" s="1568"/>
      <c r="G410" s="1568"/>
      <c r="H410" s="1568"/>
      <c r="J410" s="1568" t="s">
        <v>4197</v>
      </c>
      <c r="K410" s="1568"/>
      <c r="L410" s="1568"/>
      <c r="M410" s="1566">
        <v>1197.32</v>
      </c>
      <c r="N410" s="1566"/>
      <c r="O410" s="1566"/>
      <c r="P410" s="1566">
        <v>0</v>
      </c>
      <c r="Q410" s="1566"/>
      <c r="R410" s="1566"/>
      <c r="S410" s="1566">
        <v>0</v>
      </c>
      <c r="T410" s="1566"/>
      <c r="U410" s="1566"/>
      <c r="V410" s="1566"/>
      <c r="W410" s="1566">
        <v>0</v>
      </c>
      <c r="X410" s="1566"/>
      <c r="Y410" s="1566"/>
      <c r="Z410" s="1566"/>
      <c r="AA410" s="1566">
        <v>1197.32</v>
      </c>
      <c r="AB410" s="1566"/>
      <c r="AC410" s="1566"/>
      <c r="AD410" s="1566"/>
      <c r="AE410" s="1566"/>
      <c r="AF410" s="1566"/>
      <c r="AG410" s="1566">
        <v>0</v>
      </c>
      <c r="AH410" s="1566"/>
      <c r="AI410" s="1566"/>
      <c r="AJ410" s="1566"/>
      <c r="AK410" s="1566"/>
    </row>
    <row r="411" spans="2:37" ht="9.4" customHeight="1">
      <c r="B411" s="1568" t="s">
        <v>1326</v>
      </c>
      <c r="C411" s="1568"/>
      <c r="D411" s="1568"/>
      <c r="E411" s="1568" t="s">
        <v>4198</v>
      </c>
      <c r="F411" s="1568"/>
      <c r="G411" s="1568"/>
      <c r="H411" s="1568"/>
      <c r="J411" s="1568" t="s">
        <v>4199</v>
      </c>
      <c r="K411" s="1568"/>
      <c r="L411" s="1568"/>
      <c r="M411" s="1566">
        <v>375.58</v>
      </c>
      <c r="N411" s="1566"/>
      <c r="O411" s="1566"/>
      <c r="P411" s="1566">
        <v>0</v>
      </c>
      <c r="Q411" s="1566"/>
      <c r="R411" s="1566"/>
      <c r="S411" s="1566">
        <v>734.08</v>
      </c>
      <c r="T411" s="1566"/>
      <c r="U411" s="1566"/>
      <c r="V411" s="1566"/>
      <c r="W411" s="1566">
        <v>0</v>
      </c>
      <c r="X411" s="1566"/>
      <c r="Y411" s="1566"/>
      <c r="Z411" s="1566"/>
      <c r="AA411" s="1566">
        <v>1109.6600000000001</v>
      </c>
      <c r="AB411" s="1566"/>
      <c r="AC411" s="1566"/>
      <c r="AD411" s="1566"/>
      <c r="AE411" s="1566"/>
      <c r="AF411" s="1566"/>
      <c r="AG411" s="1566">
        <v>0</v>
      </c>
      <c r="AH411" s="1566"/>
      <c r="AI411" s="1566"/>
      <c r="AJ411" s="1566"/>
      <c r="AK411" s="1566"/>
    </row>
    <row r="412" spans="2:37" ht="9.4" customHeight="1">
      <c r="B412" s="1568" t="s">
        <v>1326</v>
      </c>
      <c r="C412" s="1568"/>
      <c r="D412" s="1568"/>
      <c r="E412" s="1568" t="s">
        <v>6210</v>
      </c>
      <c r="F412" s="1568"/>
      <c r="G412" s="1568"/>
      <c r="H412" s="1568"/>
      <c r="J412" s="1568" t="s">
        <v>6211</v>
      </c>
      <c r="K412" s="1568"/>
      <c r="L412" s="1568"/>
      <c r="M412" s="1566">
        <v>0</v>
      </c>
      <c r="N412" s="1566"/>
      <c r="O412" s="1566"/>
      <c r="P412" s="1566">
        <v>0</v>
      </c>
      <c r="Q412" s="1566"/>
      <c r="R412" s="1566"/>
      <c r="S412" s="1566">
        <v>4370.6000000000004</v>
      </c>
      <c r="T412" s="1566"/>
      <c r="U412" s="1566"/>
      <c r="V412" s="1566"/>
      <c r="W412" s="1566">
        <v>4370.6000000000004</v>
      </c>
      <c r="X412" s="1566"/>
      <c r="Y412" s="1566"/>
      <c r="Z412" s="1566"/>
      <c r="AA412" s="1566">
        <v>0</v>
      </c>
      <c r="AB412" s="1566"/>
      <c r="AC412" s="1566"/>
      <c r="AD412" s="1566"/>
      <c r="AE412" s="1566"/>
      <c r="AF412" s="1566"/>
      <c r="AG412" s="1566">
        <v>0</v>
      </c>
      <c r="AH412" s="1566"/>
      <c r="AI412" s="1566"/>
      <c r="AJ412" s="1566"/>
      <c r="AK412" s="1566"/>
    </row>
    <row r="413" spans="2:37" ht="9.4" customHeight="1">
      <c r="B413" s="1568" t="s">
        <v>1326</v>
      </c>
      <c r="C413" s="1568"/>
      <c r="D413" s="1568"/>
      <c r="E413" s="1568" t="s">
        <v>5439</v>
      </c>
      <c r="F413" s="1568"/>
      <c r="G413" s="1568"/>
      <c r="H413" s="1568"/>
      <c r="J413" s="1568" t="s">
        <v>5440</v>
      </c>
      <c r="K413" s="1568"/>
      <c r="L413" s="1568"/>
      <c r="M413" s="1566">
        <v>0</v>
      </c>
      <c r="N413" s="1566"/>
      <c r="O413" s="1566"/>
      <c r="P413" s="1566">
        <v>0</v>
      </c>
      <c r="Q413" s="1566"/>
      <c r="R413" s="1566"/>
      <c r="S413" s="1566">
        <v>144.28</v>
      </c>
      <c r="T413" s="1566"/>
      <c r="U413" s="1566"/>
      <c r="V413" s="1566"/>
      <c r="W413" s="1566">
        <v>144.28</v>
      </c>
      <c r="X413" s="1566"/>
      <c r="Y413" s="1566"/>
      <c r="Z413" s="1566"/>
      <c r="AA413" s="1566">
        <v>0</v>
      </c>
      <c r="AB413" s="1566"/>
      <c r="AC413" s="1566"/>
      <c r="AD413" s="1566"/>
      <c r="AE413" s="1566"/>
      <c r="AF413" s="1566"/>
      <c r="AG413" s="1566">
        <v>0</v>
      </c>
      <c r="AH413" s="1566"/>
      <c r="AI413" s="1566"/>
      <c r="AJ413" s="1566"/>
      <c r="AK413" s="1566"/>
    </row>
    <row r="414" spans="2:37" ht="9.4" customHeight="1">
      <c r="B414" s="1568" t="s">
        <v>1326</v>
      </c>
      <c r="C414" s="1568"/>
      <c r="D414" s="1568"/>
      <c r="E414" s="1568" t="s">
        <v>5380</v>
      </c>
      <c r="F414" s="1568"/>
      <c r="G414" s="1568"/>
      <c r="H414" s="1568"/>
      <c r="J414" s="1568" t="s">
        <v>5381</v>
      </c>
      <c r="K414" s="1568"/>
      <c r="L414" s="1568"/>
      <c r="M414" s="1566">
        <v>3892.17</v>
      </c>
      <c r="N414" s="1566"/>
      <c r="O414" s="1566"/>
      <c r="P414" s="1566">
        <v>0</v>
      </c>
      <c r="Q414" s="1566"/>
      <c r="R414" s="1566"/>
      <c r="S414" s="1566">
        <v>0</v>
      </c>
      <c r="T414" s="1566"/>
      <c r="U414" s="1566"/>
      <c r="V414" s="1566"/>
      <c r="W414" s="1566">
        <v>0</v>
      </c>
      <c r="X414" s="1566"/>
      <c r="Y414" s="1566"/>
      <c r="Z414" s="1566"/>
      <c r="AA414" s="1566">
        <v>3892.17</v>
      </c>
      <c r="AB414" s="1566"/>
      <c r="AC414" s="1566"/>
      <c r="AD414" s="1566"/>
      <c r="AE414" s="1566"/>
      <c r="AF414" s="1566"/>
      <c r="AG414" s="1566">
        <v>0</v>
      </c>
      <c r="AH414" s="1566"/>
      <c r="AI414" s="1566"/>
      <c r="AJ414" s="1566"/>
      <c r="AK414" s="1566"/>
    </row>
    <row r="415" spans="2:37" ht="9.4" customHeight="1">
      <c r="B415" s="1568" t="s">
        <v>1326</v>
      </c>
      <c r="C415" s="1568"/>
      <c r="D415" s="1568"/>
      <c r="E415" s="1568" t="s">
        <v>5441</v>
      </c>
      <c r="F415" s="1568"/>
      <c r="G415" s="1568"/>
      <c r="H415" s="1568"/>
      <c r="J415" s="1568" t="s">
        <v>5442</v>
      </c>
      <c r="K415" s="1568"/>
      <c r="L415" s="1568"/>
      <c r="M415" s="1566">
        <v>0</v>
      </c>
      <c r="N415" s="1566"/>
      <c r="O415" s="1566"/>
      <c r="P415" s="1566">
        <v>0</v>
      </c>
      <c r="Q415" s="1566"/>
      <c r="R415" s="1566"/>
      <c r="S415" s="1566">
        <v>1943.81</v>
      </c>
      <c r="T415" s="1566"/>
      <c r="U415" s="1566"/>
      <c r="V415" s="1566"/>
      <c r="W415" s="1566">
        <v>1943.81</v>
      </c>
      <c r="X415" s="1566"/>
      <c r="Y415" s="1566"/>
      <c r="Z415" s="1566"/>
      <c r="AA415" s="1566">
        <v>0</v>
      </c>
      <c r="AB415" s="1566"/>
      <c r="AC415" s="1566"/>
      <c r="AD415" s="1566"/>
      <c r="AE415" s="1566"/>
      <c r="AF415" s="1566"/>
      <c r="AG415" s="1566">
        <v>0</v>
      </c>
      <c r="AH415" s="1566"/>
      <c r="AI415" s="1566"/>
      <c r="AJ415" s="1566"/>
      <c r="AK415" s="1566"/>
    </row>
    <row r="416" spans="2:37" ht="9.4" customHeight="1">
      <c r="B416" s="1568" t="s">
        <v>1326</v>
      </c>
      <c r="C416" s="1568"/>
      <c r="D416" s="1568"/>
      <c r="E416" s="1568" t="s">
        <v>5443</v>
      </c>
      <c r="F416" s="1568"/>
      <c r="G416" s="1568"/>
      <c r="H416" s="1568"/>
      <c r="J416" s="1568" t="s">
        <v>5444</v>
      </c>
      <c r="K416" s="1568"/>
      <c r="L416" s="1568"/>
      <c r="M416" s="1566">
        <v>2099.6999999999998</v>
      </c>
      <c r="N416" s="1566"/>
      <c r="O416" s="1566"/>
      <c r="P416" s="1566">
        <v>0</v>
      </c>
      <c r="Q416" s="1566"/>
      <c r="R416" s="1566"/>
      <c r="S416" s="1566">
        <v>699.6</v>
      </c>
      <c r="T416" s="1566"/>
      <c r="U416" s="1566"/>
      <c r="V416" s="1566"/>
      <c r="W416" s="1566">
        <v>0</v>
      </c>
      <c r="X416" s="1566"/>
      <c r="Y416" s="1566"/>
      <c r="Z416" s="1566"/>
      <c r="AA416" s="1566">
        <v>2799.3</v>
      </c>
      <c r="AB416" s="1566"/>
      <c r="AC416" s="1566"/>
      <c r="AD416" s="1566"/>
      <c r="AE416" s="1566"/>
      <c r="AF416" s="1566"/>
      <c r="AG416" s="1566">
        <v>0</v>
      </c>
      <c r="AH416" s="1566"/>
      <c r="AI416" s="1566"/>
      <c r="AJ416" s="1566"/>
      <c r="AK416" s="1566"/>
    </row>
    <row r="417" spans="1:38" ht="9.4" customHeight="1">
      <c r="B417" s="1568" t="s">
        <v>1326</v>
      </c>
      <c r="C417" s="1568"/>
      <c r="D417" s="1568"/>
      <c r="E417" s="1568" t="s">
        <v>5503</v>
      </c>
      <c r="F417" s="1568"/>
      <c r="G417" s="1568"/>
      <c r="H417" s="1568"/>
      <c r="J417" s="1568" t="s">
        <v>5504</v>
      </c>
      <c r="K417" s="1568"/>
      <c r="L417" s="1568"/>
      <c r="M417" s="1566">
        <v>7647.52</v>
      </c>
      <c r="N417" s="1566"/>
      <c r="O417" s="1566"/>
      <c r="P417" s="1566">
        <v>0</v>
      </c>
      <c r="Q417" s="1566"/>
      <c r="R417" s="1566"/>
      <c r="S417" s="1566">
        <v>3989.41</v>
      </c>
      <c r="T417" s="1566"/>
      <c r="U417" s="1566"/>
      <c r="V417" s="1566"/>
      <c r="W417" s="1566">
        <v>7647.52</v>
      </c>
      <c r="X417" s="1566"/>
      <c r="Y417" s="1566"/>
      <c r="Z417" s="1566"/>
      <c r="AA417" s="1566">
        <v>3989.41</v>
      </c>
      <c r="AB417" s="1566"/>
      <c r="AC417" s="1566"/>
      <c r="AD417" s="1566"/>
      <c r="AE417" s="1566"/>
      <c r="AF417" s="1566"/>
      <c r="AG417" s="1566">
        <v>0</v>
      </c>
      <c r="AH417" s="1566"/>
      <c r="AI417" s="1566"/>
      <c r="AJ417" s="1566"/>
      <c r="AK417" s="1566"/>
    </row>
    <row r="418" spans="1:38" ht="5.0999999999999996" customHeight="1"/>
    <row r="419" spans="1:38" ht="14.1" customHeight="1">
      <c r="AG419" s="1565" t="s">
        <v>2156</v>
      </c>
      <c r="AH419" s="1565"/>
      <c r="AI419" s="1565"/>
      <c r="AJ419" s="1565"/>
      <c r="AK419" s="1565"/>
      <c r="AL419" s="1565"/>
    </row>
    <row r="420" spans="1:38" ht="7.15" customHeight="1">
      <c r="D420" s="1578" t="s">
        <v>2992</v>
      </c>
      <c r="E420" s="1578"/>
      <c r="F420" s="1578"/>
      <c r="G420" s="1578"/>
      <c r="H420" s="1578"/>
      <c r="I420" s="1578"/>
      <c r="J420" s="1578"/>
      <c r="K420" s="1578"/>
      <c r="L420" s="1578"/>
      <c r="M420" s="1578"/>
      <c r="N420" s="1578"/>
      <c r="O420" s="1578"/>
      <c r="P420" s="1578"/>
      <c r="Q420" s="1578"/>
      <c r="R420" s="1578"/>
      <c r="S420" s="1578"/>
      <c r="T420" s="1578"/>
      <c r="U420" s="1578"/>
      <c r="V420" s="1578"/>
      <c r="W420" s="1578"/>
      <c r="X420" s="1578"/>
      <c r="Y420" s="1578"/>
      <c r="Z420" s="1578"/>
      <c r="AA420" s="1578"/>
      <c r="AB420" s="1578"/>
      <c r="AC420" s="1578"/>
      <c r="AD420" s="1578"/>
      <c r="AE420" s="1578"/>
      <c r="AF420" s="1578"/>
      <c r="AG420" s="1578"/>
      <c r="AH420" s="1578"/>
    </row>
    <row r="421" spans="1:38" ht="9.6" customHeight="1">
      <c r="A421" s="1579"/>
      <c r="B421" s="1579"/>
      <c r="C421" s="1579"/>
      <c r="D421" s="1579"/>
      <c r="E421" s="1579"/>
      <c r="F421" s="1579"/>
      <c r="G421" s="1579"/>
      <c r="H421" s="1579"/>
      <c r="I421" s="1579"/>
      <c r="J421" s="1578"/>
      <c r="K421" s="1578"/>
      <c r="L421" s="1578"/>
      <c r="M421" s="1578"/>
      <c r="N421" s="1578"/>
      <c r="O421" s="1578"/>
      <c r="P421" s="1578"/>
      <c r="Q421" s="1578"/>
      <c r="R421" s="1578"/>
      <c r="S421" s="1578"/>
      <c r="T421" s="1578"/>
      <c r="U421" s="1578"/>
      <c r="V421" s="1578"/>
      <c r="W421" s="1578"/>
      <c r="X421" s="1578"/>
      <c r="Y421" s="1578"/>
      <c r="Z421" s="1578"/>
      <c r="AA421" s="1578"/>
      <c r="AB421" s="1578"/>
      <c r="AC421" s="1578"/>
      <c r="AD421" s="1578"/>
      <c r="AE421" s="1578"/>
      <c r="AF421" s="1578"/>
      <c r="AG421" s="1578"/>
      <c r="AH421" s="1578"/>
    </row>
    <row r="422" spans="1:38" ht="13.35" customHeight="1">
      <c r="A422" s="1579"/>
      <c r="B422" s="1579"/>
      <c r="C422" s="1579"/>
      <c r="D422" s="1579"/>
      <c r="E422" s="1579"/>
      <c r="F422" s="1579"/>
      <c r="G422" s="1579"/>
      <c r="H422" s="1579"/>
      <c r="I422" s="1579"/>
      <c r="J422" s="1580" t="s">
        <v>79</v>
      </c>
      <c r="K422" s="1580"/>
      <c r="L422" s="1580"/>
      <c r="M422" s="1580"/>
      <c r="N422" s="1580"/>
      <c r="O422" s="1580"/>
      <c r="P422" s="1580"/>
      <c r="Q422" s="1580"/>
      <c r="R422" s="1580"/>
      <c r="S422" s="1580"/>
      <c r="T422" s="1580"/>
      <c r="U422" s="1580"/>
      <c r="V422" s="1580"/>
      <c r="W422" s="1580"/>
      <c r="X422" s="1580"/>
      <c r="Y422" s="1580"/>
      <c r="Z422" s="1580"/>
      <c r="AA422" s="1580"/>
      <c r="AB422" s="1580"/>
      <c r="AC422" s="1580"/>
      <c r="AD422" s="1580"/>
      <c r="AE422" s="1580"/>
      <c r="AF422" s="1580"/>
    </row>
    <row r="423" spans="1:38" ht="5.25" customHeight="1">
      <c r="A423" s="1579"/>
      <c r="B423" s="1579"/>
      <c r="C423" s="1579"/>
      <c r="D423" s="1579"/>
      <c r="E423" s="1579"/>
      <c r="F423" s="1579"/>
      <c r="G423" s="1579"/>
      <c r="H423" s="1579"/>
      <c r="I423" s="1579"/>
      <c r="J423" s="1573" t="s">
        <v>6760</v>
      </c>
      <c r="K423" s="1573"/>
      <c r="L423" s="1573"/>
      <c r="M423" s="1573"/>
      <c r="N423" s="1573"/>
      <c r="O423" s="1573"/>
      <c r="P423" s="1573"/>
      <c r="Q423" s="1573"/>
      <c r="R423" s="1573"/>
      <c r="S423" s="1573"/>
      <c r="T423" s="1573"/>
      <c r="U423" s="1573"/>
      <c r="V423" s="1573"/>
      <c r="W423" s="1573"/>
      <c r="X423" s="1573"/>
      <c r="Y423" s="1573"/>
      <c r="Z423" s="1573"/>
      <c r="AA423" s="1573"/>
      <c r="AB423" s="1573"/>
      <c r="AC423" s="1573"/>
      <c r="AD423" s="1573"/>
      <c r="AE423" s="1573"/>
    </row>
    <row r="424" spans="1:38" ht="8.1" customHeight="1">
      <c r="C424" s="1572" t="s">
        <v>1920</v>
      </c>
      <c r="D424" s="1572"/>
      <c r="E424" s="1572"/>
      <c r="F424" s="1572"/>
      <c r="G424" s="1572"/>
      <c r="H424" s="1572"/>
      <c r="I424" s="1572"/>
      <c r="J424" s="1572"/>
      <c r="K424" s="1573"/>
      <c r="L424" s="1573"/>
      <c r="M424" s="1573"/>
      <c r="N424" s="1573"/>
      <c r="O424" s="1573"/>
      <c r="P424" s="1573"/>
      <c r="Q424" s="1573"/>
      <c r="R424" s="1573"/>
      <c r="S424" s="1573"/>
      <c r="T424" s="1573"/>
      <c r="U424" s="1573"/>
      <c r="V424" s="1573"/>
      <c r="W424" s="1573"/>
      <c r="X424" s="1573"/>
      <c r="Y424" s="1574" t="s">
        <v>5920</v>
      </c>
      <c r="Z424" s="1574"/>
      <c r="AA424" s="1574"/>
      <c r="AB424" s="1574"/>
      <c r="AC424" s="1574"/>
      <c r="AD424" s="1574"/>
      <c r="AE424" s="1574"/>
      <c r="AF424" s="1574"/>
      <c r="AG424" s="1574"/>
      <c r="AH424" s="1575" t="s">
        <v>6761</v>
      </c>
      <c r="AI424" s="1575"/>
      <c r="AJ424" s="1575"/>
      <c r="AK424" s="1575"/>
      <c r="AL424" s="1575"/>
    </row>
    <row r="425" spans="1:38" ht="6" customHeight="1">
      <c r="C425" s="1572"/>
      <c r="D425" s="1572"/>
      <c r="E425" s="1572"/>
      <c r="F425" s="1572"/>
      <c r="G425" s="1572"/>
      <c r="H425" s="1572"/>
      <c r="I425" s="1572"/>
      <c r="J425" s="1572"/>
      <c r="K425" s="1576" t="s">
        <v>1999</v>
      </c>
      <c r="L425" s="1576"/>
      <c r="M425" s="1576"/>
      <c r="N425" s="1576"/>
      <c r="O425" s="1576"/>
      <c r="P425" s="1576"/>
      <c r="Q425" s="1576"/>
      <c r="R425" s="1576"/>
      <c r="S425" s="1576"/>
      <c r="T425" s="1576"/>
      <c r="U425" s="1576"/>
      <c r="V425" s="1576"/>
      <c r="W425" s="1576"/>
      <c r="X425" s="1576"/>
      <c r="Y425" s="1574"/>
      <c r="Z425" s="1574"/>
      <c r="AA425" s="1574"/>
      <c r="AB425" s="1574"/>
      <c r="AC425" s="1574"/>
      <c r="AD425" s="1574"/>
      <c r="AE425" s="1574"/>
      <c r="AF425" s="1574"/>
      <c r="AG425" s="1574"/>
      <c r="AH425" s="1575"/>
      <c r="AI425" s="1575"/>
      <c r="AJ425" s="1575"/>
      <c r="AK425" s="1575"/>
      <c r="AL425" s="1575"/>
    </row>
    <row r="426" spans="1:38" ht="7.35" customHeight="1">
      <c r="C426" s="1572" t="s">
        <v>1998</v>
      </c>
      <c r="D426" s="1572"/>
      <c r="E426" s="1572"/>
      <c r="F426" s="1572"/>
      <c r="G426" s="1577"/>
      <c r="H426" s="1577"/>
      <c r="I426" s="1577"/>
      <c r="J426" s="1577"/>
      <c r="K426" s="1577"/>
      <c r="L426" s="1577"/>
      <c r="M426" s="1577"/>
      <c r="N426" s="1577"/>
      <c r="O426" s="1577"/>
      <c r="P426" s="1577"/>
      <c r="Q426" s="1577"/>
      <c r="R426" s="1577"/>
      <c r="S426" s="1577"/>
      <c r="T426" s="1577"/>
      <c r="U426" s="1577"/>
      <c r="V426" s="1577"/>
      <c r="W426" s="1577"/>
      <c r="X426" s="1577"/>
      <c r="Y426" s="1577"/>
      <c r="Z426" s="1577"/>
      <c r="AA426" s="1577"/>
      <c r="AB426" s="1577"/>
      <c r="AC426" s="1577"/>
      <c r="AD426" s="1577"/>
      <c r="AE426" s="1577"/>
      <c r="AF426" s="1574"/>
      <c r="AG426" s="1574"/>
      <c r="AH426" s="1574" t="s">
        <v>6762</v>
      </c>
      <c r="AI426" s="1574"/>
    </row>
    <row r="427" spans="1:38" ht="6.75" customHeight="1">
      <c r="G427" s="1577"/>
      <c r="H427" s="1577"/>
      <c r="I427" s="1577"/>
      <c r="J427" s="1577"/>
      <c r="K427" s="1577"/>
      <c r="L427" s="1577"/>
      <c r="M427" s="1577"/>
      <c r="N427" s="1577"/>
      <c r="O427" s="1577"/>
      <c r="P427" s="1577"/>
      <c r="Q427" s="1577"/>
      <c r="R427" s="1577"/>
      <c r="S427" s="1577"/>
      <c r="T427" s="1577"/>
      <c r="U427" s="1577"/>
      <c r="V427" s="1577"/>
      <c r="W427" s="1577"/>
      <c r="X427" s="1577"/>
      <c r="Y427" s="1577"/>
      <c r="Z427" s="1577"/>
      <c r="AA427" s="1577"/>
      <c r="AB427" s="1577"/>
      <c r="AC427" s="1577"/>
      <c r="AD427" s="1577"/>
      <c r="AE427" s="1577"/>
      <c r="AF427" s="1574"/>
      <c r="AG427" s="1574"/>
      <c r="AH427" s="1574"/>
      <c r="AI427" s="1574"/>
    </row>
    <row r="428" spans="1:38" ht="11.25" customHeight="1">
      <c r="O428" s="1570" t="s">
        <v>1318</v>
      </c>
      <c r="P428" s="1570"/>
      <c r="Q428" s="1570"/>
      <c r="V428" s="1570" t="s">
        <v>1319</v>
      </c>
      <c r="W428" s="1570"/>
      <c r="X428" s="1570"/>
      <c r="Y428" s="1570"/>
      <c r="AD428" s="1570" t="s">
        <v>1320</v>
      </c>
      <c r="AE428" s="1570"/>
      <c r="AF428" s="1570"/>
      <c r="AG428" s="1570"/>
      <c r="AH428" s="1570"/>
      <c r="AI428" s="1570"/>
      <c r="AJ428" s="1570"/>
    </row>
    <row r="429" spans="1:38" ht="8.4499999999999993" customHeight="1">
      <c r="B429" s="1571" t="s">
        <v>1321</v>
      </c>
      <c r="C429" s="1571"/>
      <c r="D429" s="1571"/>
      <c r="E429" s="1571" t="s">
        <v>1322</v>
      </c>
      <c r="F429" s="1571"/>
      <c r="G429" s="1571"/>
      <c r="J429" s="1571" t="s">
        <v>1323</v>
      </c>
      <c r="K429" s="1571"/>
      <c r="L429" s="1571"/>
      <c r="M429" s="1571"/>
      <c r="N429" s="1571"/>
      <c r="O429" s="1402" t="s">
        <v>1324</v>
      </c>
      <c r="Q429" s="1569" t="s">
        <v>1325</v>
      </c>
      <c r="R429" s="1569"/>
      <c r="U429" s="1569" t="s">
        <v>1324</v>
      </c>
      <c r="V429" s="1569"/>
      <c r="X429" s="1569" t="s">
        <v>1325</v>
      </c>
      <c r="Y429" s="1569"/>
      <c r="Z429" s="1569"/>
      <c r="AC429" s="1569" t="s">
        <v>1324</v>
      </c>
      <c r="AD429" s="1569"/>
      <c r="AE429" s="1569"/>
      <c r="AF429" s="1569"/>
      <c r="AH429" s="1569" t="s">
        <v>1325</v>
      </c>
      <c r="AI429" s="1569"/>
      <c r="AJ429" s="1569"/>
      <c r="AK429" s="1569"/>
    </row>
    <row r="430" spans="1:38" ht="9.9499999999999993" customHeight="1">
      <c r="B430" s="1568" t="s">
        <v>1326</v>
      </c>
      <c r="C430" s="1568"/>
      <c r="D430" s="1568"/>
      <c r="E430" s="1568" t="s">
        <v>5445</v>
      </c>
      <c r="F430" s="1568"/>
      <c r="G430" s="1568"/>
      <c r="H430" s="1568"/>
      <c r="J430" s="1568" t="s">
        <v>5446</v>
      </c>
      <c r="K430" s="1568"/>
      <c r="L430" s="1568"/>
      <c r="M430" s="1566">
        <v>1378.15</v>
      </c>
      <c r="N430" s="1566"/>
      <c r="O430" s="1566"/>
      <c r="P430" s="1566">
        <v>0</v>
      </c>
      <c r="Q430" s="1566"/>
      <c r="R430" s="1566"/>
      <c r="S430" s="1566">
        <v>1309.58</v>
      </c>
      <c r="T430" s="1566"/>
      <c r="U430" s="1566"/>
      <c r="V430" s="1566"/>
      <c r="W430" s="1566">
        <v>1378.15</v>
      </c>
      <c r="X430" s="1566"/>
      <c r="Y430" s="1566"/>
      <c r="Z430" s="1566"/>
      <c r="AA430" s="1566">
        <v>1309.58</v>
      </c>
      <c r="AB430" s="1566"/>
      <c r="AC430" s="1566"/>
      <c r="AD430" s="1566"/>
      <c r="AE430" s="1566"/>
      <c r="AF430" s="1566"/>
      <c r="AG430" s="1566">
        <v>0</v>
      </c>
      <c r="AH430" s="1566"/>
      <c r="AI430" s="1566"/>
      <c r="AJ430" s="1566"/>
      <c r="AK430" s="1566"/>
    </row>
    <row r="431" spans="1:38" ht="9.4" customHeight="1">
      <c r="B431" s="1568" t="s">
        <v>1326</v>
      </c>
      <c r="C431" s="1568"/>
      <c r="D431" s="1568"/>
      <c r="E431" s="1568" t="s">
        <v>5505</v>
      </c>
      <c r="F431" s="1568"/>
      <c r="G431" s="1568"/>
      <c r="H431" s="1568"/>
      <c r="J431" s="1568" t="s">
        <v>5506</v>
      </c>
      <c r="K431" s="1568"/>
      <c r="L431" s="1568"/>
      <c r="M431" s="1566">
        <v>539.87</v>
      </c>
      <c r="N431" s="1566"/>
      <c r="O431" s="1566"/>
      <c r="P431" s="1566">
        <v>0</v>
      </c>
      <c r="Q431" s="1566"/>
      <c r="R431" s="1566"/>
      <c r="S431" s="1566">
        <v>293.19</v>
      </c>
      <c r="T431" s="1566"/>
      <c r="U431" s="1566"/>
      <c r="V431" s="1566"/>
      <c r="W431" s="1566">
        <v>833.06</v>
      </c>
      <c r="X431" s="1566"/>
      <c r="Y431" s="1566"/>
      <c r="Z431" s="1566"/>
      <c r="AA431" s="1566">
        <v>0</v>
      </c>
      <c r="AB431" s="1566"/>
      <c r="AC431" s="1566"/>
      <c r="AD431" s="1566"/>
      <c r="AE431" s="1566"/>
      <c r="AF431" s="1566"/>
      <c r="AG431" s="1566">
        <v>0</v>
      </c>
      <c r="AH431" s="1566"/>
      <c r="AI431" s="1566"/>
      <c r="AJ431" s="1566"/>
      <c r="AK431" s="1566"/>
    </row>
    <row r="432" spans="1:38" ht="9.4" customHeight="1">
      <c r="B432" s="1568" t="s">
        <v>1326</v>
      </c>
      <c r="C432" s="1568"/>
      <c r="D432" s="1568"/>
      <c r="E432" s="1568" t="s">
        <v>5447</v>
      </c>
      <c r="F432" s="1568"/>
      <c r="G432" s="1568"/>
      <c r="H432" s="1568"/>
      <c r="J432" s="1568" t="s">
        <v>5448</v>
      </c>
      <c r="K432" s="1568"/>
      <c r="L432" s="1568"/>
      <c r="M432" s="1566">
        <v>1558.21</v>
      </c>
      <c r="N432" s="1566"/>
      <c r="O432" s="1566"/>
      <c r="P432" s="1566">
        <v>0</v>
      </c>
      <c r="Q432" s="1566"/>
      <c r="R432" s="1566"/>
      <c r="S432" s="1566">
        <v>0</v>
      </c>
      <c r="T432" s="1566"/>
      <c r="U432" s="1566"/>
      <c r="V432" s="1566"/>
      <c r="W432" s="1566">
        <v>0</v>
      </c>
      <c r="X432" s="1566"/>
      <c r="Y432" s="1566"/>
      <c r="Z432" s="1566"/>
      <c r="AA432" s="1566">
        <v>1558.21</v>
      </c>
      <c r="AB432" s="1566"/>
      <c r="AC432" s="1566"/>
      <c r="AD432" s="1566"/>
      <c r="AE432" s="1566"/>
      <c r="AF432" s="1566"/>
      <c r="AG432" s="1566">
        <v>0</v>
      </c>
      <c r="AH432" s="1566"/>
      <c r="AI432" s="1566"/>
      <c r="AJ432" s="1566"/>
      <c r="AK432" s="1566"/>
    </row>
    <row r="433" spans="2:37" ht="9.1999999999999993" customHeight="1">
      <c r="J433" s="1568"/>
      <c r="K433" s="1568"/>
      <c r="L433" s="1568"/>
    </row>
    <row r="434" spans="2:37" ht="8.4499999999999993" customHeight="1">
      <c r="B434" s="1568" t="s">
        <v>1326</v>
      </c>
      <c r="C434" s="1568"/>
      <c r="D434" s="1568"/>
      <c r="E434" s="1568" t="s">
        <v>5507</v>
      </c>
      <c r="F434" s="1568"/>
      <c r="G434" s="1568"/>
      <c r="H434" s="1568"/>
      <c r="J434" s="1568" t="s">
        <v>5508</v>
      </c>
      <c r="K434" s="1568"/>
      <c r="L434" s="1568"/>
      <c r="M434" s="1566">
        <v>0</v>
      </c>
      <c r="N434" s="1566"/>
      <c r="O434" s="1566"/>
      <c r="P434" s="1566">
        <v>0</v>
      </c>
      <c r="Q434" s="1566"/>
      <c r="R434" s="1566"/>
      <c r="S434" s="1566">
        <v>1472.55</v>
      </c>
      <c r="T434" s="1566"/>
      <c r="U434" s="1566"/>
      <c r="V434" s="1566"/>
      <c r="W434" s="1566">
        <v>1472.55</v>
      </c>
      <c r="X434" s="1566"/>
      <c r="Y434" s="1566"/>
      <c r="Z434" s="1566"/>
      <c r="AA434" s="1566">
        <v>0</v>
      </c>
      <c r="AB434" s="1566"/>
      <c r="AC434" s="1566"/>
      <c r="AD434" s="1566"/>
      <c r="AE434" s="1566"/>
      <c r="AF434" s="1566"/>
      <c r="AG434" s="1566">
        <v>0</v>
      </c>
      <c r="AH434" s="1566"/>
      <c r="AI434" s="1566"/>
      <c r="AJ434" s="1566"/>
      <c r="AK434" s="1566"/>
    </row>
    <row r="435" spans="2:37" ht="9.1999999999999993" customHeight="1">
      <c r="J435" s="1568"/>
      <c r="K435" s="1568"/>
      <c r="L435" s="1568"/>
    </row>
    <row r="436" spans="2:37" ht="8.4499999999999993" customHeight="1">
      <c r="B436" s="1568" t="s">
        <v>1326</v>
      </c>
      <c r="C436" s="1568"/>
      <c r="D436" s="1568"/>
      <c r="E436" s="1568" t="s">
        <v>5509</v>
      </c>
      <c r="F436" s="1568"/>
      <c r="G436" s="1568"/>
      <c r="H436" s="1568"/>
      <c r="J436" s="1568" t="s">
        <v>5510</v>
      </c>
      <c r="K436" s="1568"/>
      <c r="L436" s="1568"/>
      <c r="M436" s="1566">
        <v>0</v>
      </c>
      <c r="N436" s="1566"/>
      <c r="O436" s="1566"/>
      <c r="P436" s="1566">
        <v>0</v>
      </c>
      <c r="Q436" s="1566"/>
      <c r="R436" s="1566"/>
      <c r="S436" s="1566">
        <v>1794.38</v>
      </c>
      <c r="T436" s="1566"/>
      <c r="U436" s="1566"/>
      <c r="V436" s="1566"/>
      <c r="W436" s="1566">
        <v>1794.38</v>
      </c>
      <c r="X436" s="1566"/>
      <c r="Y436" s="1566"/>
      <c r="Z436" s="1566"/>
      <c r="AA436" s="1566">
        <v>0</v>
      </c>
      <c r="AB436" s="1566"/>
      <c r="AC436" s="1566"/>
      <c r="AD436" s="1566"/>
      <c r="AE436" s="1566"/>
      <c r="AF436" s="1566"/>
      <c r="AG436" s="1566">
        <v>0</v>
      </c>
      <c r="AH436" s="1566"/>
      <c r="AI436" s="1566"/>
      <c r="AJ436" s="1566"/>
      <c r="AK436" s="1566"/>
    </row>
    <row r="437" spans="2:37" ht="9.4" customHeight="1">
      <c r="B437" s="1568" t="s">
        <v>1326</v>
      </c>
      <c r="C437" s="1568"/>
      <c r="D437" s="1568"/>
      <c r="E437" s="1568" t="s">
        <v>5816</v>
      </c>
      <c r="F437" s="1568"/>
      <c r="G437" s="1568"/>
      <c r="H437" s="1568"/>
      <c r="J437" s="1568" t="s">
        <v>5817</v>
      </c>
      <c r="K437" s="1568"/>
      <c r="L437" s="1568"/>
      <c r="M437" s="1566">
        <v>0</v>
      </c>
      <c r="N437" s="1566"/>
      <c r="O437" s="1566"/>
      <c r="P437" s="1566">
        <v>0</v>
      </c>
      <c r="Q437" s="1566"/>
      <c r="R437" s="1566"/>
      <c r="S437" s="1566">
        <v>27396.240000000002</v>
      </c>
      <c r="T437" s="1566"/>
      <c r="U437" s="1566"/>
      <c r="V437" s="1566"/>
      <c r="W437" s="1566">
        <v>27396.240000000002</v>
      </c>
      <c r="X437" s="1566"/>
      <c r="Y437" s="1566"/>
      <c r="Z437" s="1566"/>
      <c r="AA437" s="1566">
        <v>0</v>
      </c>
      <c r="AB437" s="1566"/>
      <c r="AC437" s="1566"/>
      <c r="AD437" s="1566"/>
      <c r="AE437" s="1566"/>
      <c r="AF437" s="1566"/>
      <c r="AG437" s="1566">
        <v>0</v>
      </c>
      <c r="AH437" s="1566"/>
      <c r="AI437" s="1566"/>
      <c r="AJ437" s="1566"/>
      <c r="AK437" s="1566"/>
    </row>
    <row r="438" spans="2:37" ht="9.4" customHeight="1">
      <c r="B438" s="1568" t="s">
        <v>1326</v>
      </c>
      <c r="C438" s="1568"/>
      <c r="D438" s="1568"/>
      <c r="E438" s="1568" t="s">
        <v>5818</v>
      </c>
      <c r="F438" s="1568"/>
      <c r="G438" s="1568"/>
      <c r="H438" s="1568"/>
      <c r="J438" s="1568" t="s">
        <v>5819</v>
      </c>
      <c r="K438" s="1568"/>
      <c r="L438" s="1568"/>
      <c r="M438" s="1566">
        <v>0</v>
      </c>
      <c r="N438" s="1566"/>
      <c r="O438" s="1566"/>
      <c r="P438" s="1566">
        <v>0</v>
      </c>
      <c r="Q438" s="1566"/>
      <c r="R438" s="1566"/>
      <c r="S438" s="1566">
        <v>777369.67</v>
      </c>
      <c r="T438" s="1566"/>
      <c r="U438" s="1566"/>
      <c r="V438" s="1566"/>
      <c r="W438" s="1566">
        <v>777369.67</v>
      </c>
      <c r="X438" s="1566"/>
      <c r="Y438" s="1566"/>
      <c r="Z438" s="1566"/>
      <c r="AA438" s="1566">
        <v>0</v>
      </c>
      <c r="AB438" s="1566"/>
      <c r="AC438" s="1566"/>
      <c r="AD438" s="1566"/>
      <c r="AE438" s="1566"/>
      <c r="AF438" s="1566"/>
      <c r="AG438" s="1566">
        <v>0</v>
      </c>
      <c r="AH438" s="1566"/>
      <c r="AI438" s="1566"/>
      <c r="AJ438" s="1566"/>
      <c r="AK438" s="1566"/>
    </row>
    <row r="439" spans="2:37" ht="9.4" customHeight="1">
      <c r="B439" s="1568" t="s">
        <v>1326</v>
      </c>
      <c r="C439" s="1568"/>
      <c r="D439" s="1568"/>
      <c r="E439" s="1568" t="s">
        <v>5966</v>
      </c>
      <c r="F439" s="1568"/>
      <c r="G439" s="1568"/>
      <c r="H439" s="1568"/>
      <c r="J439" s="1568" t="s">
        <v>5967</v>
      </c>
      <c r="K439" s="1568"/>
      <c r="L439" s="1568"/>
      <c r="M439" s="1566">
        <v>0</v>
      </c>
      <c r="N439" s="1566"/>
      <c r="O439" s="1566"/>
      <c r="P439" s="1566">
        <v>0</v>
      </c>
      <c r="Q439" s="1566"/>
      <c r="R439" s="1566"/>
      <c r="S439" s="1566">
        <v>748.75</v>
      </c>
      <c r="T439" s="1566"/>
      <c r="U439" s="1566"/>
      <c r="V439" s="1566"/>
      <c r="W439" s="1566">
        <v>748.75</v>
      </c>
      <c r="X439" s="1566"/>
      <c r="Y439" s="1566"/>
      <c r="Z439" s="1566"/>
      <c r="AA439" s="1566">
        <v>0</v>
      </c>
      <c r="AB439" s="1566"/>
      <c r="AC439" s="1566"/>
      <c r="AD439" s="1566"/>
      <c r="AE439" s="1566"/>
      <c r="AF439" s="1566"/>
      <c r="AG439" s="1566">
        <v>0</v>
      </c>
      <c r="AH439" s="1566"/>
      <c r="AI439" s="1566"/>
      <c r="AJ439" s="1566"/>
      <c r="AK439" s="1566"/>
    </row>
    <row r="440" spans="2:37" ht="9.4" customHeight="1">
      <c r="B440" s="1568" t="s">
        <v>1326</v>
      </c>
      <c r="C440" s="1568"/>
      <c r="D440" s="1568"/>
      <c r="E440" s="1568" t="s">
        <v>5820</v>
      </c>
      <c r="F440" s="1568"/>
      <c r="G440" s="1568"/>
      <c r="H440" s="1568"/>
      <c r="J440" s="1568" t="s">
        <v>5821</v>
      </c>
      <c r="K440" s="1568"/>
      <c r="L440" s="1568"/>
      <c r="M440" s="1566">
        <v>1148.54</v>
      </c>
      <c r="N440" s="1566"/>
      <c r="O440" s="1566"/>
      <c r="P440" s="1566">
        <v>0</v>
      </c>
      <c r="Q440" s="1566"/>
      <c r="R440" s="1566"/>
      <c r="S440" s="1566">
        <v>636.59</v>
      </c>
      <c r="T440" s="1566"/>
      <c r="U440" s="1566"/>
      <c r="V440" s="1566"/>
      <c r="W440" s="1566">
        <v>636.59</v>
      </c>
      <c r="X440" s="1566"/>
      <c r="Y440" s="1566"/>
      <c r="Z440" s="1566"/>
      <c r="AA440" s="1566">
        <v>1148.54</v>
      </c>
      <c r="AB440" s="1566"/>
      <c r="AC440" s="1566"/>
      <c r="AD440" s="1566"/>
      <c r="AE440" s="1566"/>
      <c r="AF440" s="1566"/>
      <c r="AG440" s="1566">
        <v>0</v>
      </c>
      <c r="AH440" s="1566"/>
      <c r="AI440" s="1566"/>
      <c r="AJ440" s="1566"/>
      <c r="AK440" s="1566"/>
    </row>
    <row r="441" spans="2:37" ht="9.4" customHeight="1">
      <c r="B441" s="1568" t="s">
        <v>1326</v>
      </c>
      <c r="C441" s="1568"/>
      <c r="D441" s="1568"/>
      <c r="E441" s="1568" t="s">
        <v>5968</v>
      </c>
      <c r="F441" s="1568"/>
      <c r="G441" s="1568"/>
      <c r="H441" s="1568"/>
      <c r="J441" s="1568" t="s">
        <v>5969</v>
      </c>
      <c r="K441" s="1568"/>
      <c r="L441" s="1568"/>
      <c r="M441" s="1566">
        <v>21482.16</v>
      </c>
      <c r="N441" s="1566"/>
      <c r="O441" s="1566"/>
      <c r="P441" s="1566">
        <v>0</v>
      </c>
      <c r="Q441" s="1566"/>
      <c r="R441" s="1566"/>
      <c r="S441" s="1566">
        <v>122.1</v>
      </c>
      <c r="T441" s="1566"/>
      <c r="U441" s="1566"/>
      <c r="V441" s="1566"/>
      <c r="W441" s="1566">
        <v>0</v>
      </c>
      <c r="X441" s="1566"/>
      <c r="Y441" s="1566"/>
      <c r="Z441" s="1566"/>
      <c r="AA441" s="1566">
        <v>21604.26</v>
      </c>
      <c r="AB441" s="1566"/>
      <c r="AC441" s="1566"/>
      <c r="AD441" s="1566"/>
      <c r="AE441" s="1566"/>
      <c r="AF441" s="1566"/>
      <c r="AG441" s="1566">
        <v>0</v>
      </c>
      <c r="AH441" s="1566"/>
      <c r="AI441" s="1566"/>
      <c r="AJ441" s="1566"/>
      <c r="AK441" s="1566"/>
    </row>
    <row r="442" spans="2:37" ht="9.4" customHeight="1">
      <c r="B442" s="1568" t="s">
        <v>1326</v>
      </c>
      <c r="C442" s="1568"/>
      <c r="D442" s="1568"/>
      <c r="E442" s="1568" t="s">
        <v>5822</v>
      </c>
      <c r="F442" s="1568"/>
      <c r="G442" s="1568"/>
      <c r="H442" s="1568"/>
      <c r="J442" s="1568" t="s">
        <v>5823</v>
      </c>
      <c r="K442" s="1568"/>
      <c r="L442" s="1568"/>
      <c r="M442" s="1566">
        <v>4620.7299999999996</v>
      </c>
      <c r="N442" s="1566"/>
      <c r="O442" s="1566"/>
      <c r="P442" s="1566">
        <v>0</v>
      </c>
      <c r="Q442" s="1566"/>
      <c r="R442" s="1566"/>
      <c r="S442" s="1566">
        <v>5659.81</v>
      </c>
      <c r="T442" s="1566"/>
      <c r="U442" s="1566"/>
      <c r="V442" s="1566"/>
      <c r="W442" s="1566">
        <v>10280.540000000001</v>
      </c>
      <c r="X442" s="1566"/>
      <c r="Y442" s="1566"/>
      <c r="Z442" s="1566"/>
      <c r="AA442" s="1566">
        <v>0</v>
      </c>
      <c r="AB442" s="1566"/>
      <c r="AC442" s="1566"/>
      <c r="AD442" s="1566"/>
      <c r="AE442" s="1566"/>
      <c r="AF442" s="1566"/>
      <c r="AG442" s="1566">
        <v>0</v>
      </c>
      <c r="AH442" s="1566"/>
      <c r="AI442" s="1566"/>
      <c r="AJ442" s="1566"/>
      <c r="AK442" s="1566"/>
    </row>
    <row r="443" spans="2:37" ht="9.4" customHeight="1">
      <c r="B443" s="1568" t="s">
        <v>1326</v>
      </c>
      <c r="C443" s="1568"/>
      <c r="D443" s="1568"/>
      <c r="E443" s="1568" t="s">
        <v>5824</v>
      </c>
      <c r="F443" s="1568"/>
      <c r="G443" s="1568"/>
      <c r="H443" s="1568"/>
      <c r="J443" s="1568" t="s">
        <v>5825</v>
      </c>
      <c r="K443" s="1568"/>
      <c r="L443" s="1568"/>
      <c r="M443" s="1566">
        <v>1712.39</v>
      </c>
      <c r="N443" s="1566"/>
      <c r="O443" s="1566"/>
      <c r="P443" s="1566">
        <v>0</v>
      </c>
      <c r="Q443" s="1566"/>
      <c r="R443" s="1566"/>
      <c r="S443" s="1566">
        <v>478.83</v>
      </c>
      <c r="T443" s="1566"/>
      <c r="U443" s="1566"/>
      <c r="V443" s="1566"/>
      <c r="W443" s="1566">
        <v>0</v>
      </c>
      <c r="X443" s="1566"/>
      <c r="Y443" s="1566"/>
      <c r="Z443" s="1566"/>
      <c r="AA443" s="1566">
        <v>2191.2199999999998</v>
      </c>
      <c r="AB443" s="1566"/>
      <c r="AC443" s="1566"/>
      <c r="AD443" s="1566"/>
      <c r="AE443" s="1566"/>
      <c r="AF443" s="1566"/>
      <c r="AG443" s="1566">
        <v>0</v>
      </c>
      <c r="AH443" s="1566"/>
      <c r="AI443" s="1566"/>
      <c r="AJ443" s="1566"/>
      <c r="AK443" s="1566"/>
    </row>
    <row r="444" spans="2:37" ht="9.4" customHeight="1">
      <c r="B444" s="1568" t="s">
        <v>1326</v>
      </c>
      <c r="C444" s="1568"/>
      <c r="D444" s="1568"/>
      <c r="E444" s="1568" t="s">
        <v>5970</v>
      </c>
      <c r="F444" s="1568"/>
      <c r="G444" s="1568"/>
      <c r="H444" s="1568"/>
      <c r="J444" s="1568" t="s">
        <v>5971</v>
      </c>
      <c r="K444" s="1568"/>
      <c r="L444" s="1568"/>
      <c r="M444" s="1566">
        <v>2692.72</v>
      </c>
      <c r="N444" s="1566"/>
      <c r="O444" s="1566"/>
      <c r="P444" s="1566">
        <v>0</v>
      </c>
      <c r="Q444" s="1566"/>
      <c r="R444" s="1566"/>
      <c r="S444" s="1566">
        <v>1055.23</v>
      </c>
      <c r="T444" s="1566"/>
      <c r="U444" s="1566"/>
      <c r="V444" s="1566"/>
      <c r="W444" s="1566">
        <v>0</v>
      </c>
      <c r="X444" s="1566"/>
      <c r="Y444" s="1566"/>
      <c r="Z444" s="1566"/>
      <c r="AA444" s="1566">
        <v>3747.95</v>
      </c>
      <c r="AB444" s="1566"/>
      <c r="AC444" s="1566"/>
      <c r="AD444" s="1566"/>
      <c r="AE444" s="1566"/>
      <c r="AF444" s="1566"/>
      <c r="AG444" s="1566">
        <v>0</v>
      </c>
      <c r="AH444" s="1566"/>
      <c r="AI444" s="1566"/>
      <c r="AJ444" s="1566"/>
      <c r="AK444" s="1566"/>
    </row>
    <row r="445" spans="2:37" ht="9.4" customHeight="1">
      <c r="B445" s="1568" t="s">
        <v>1326</v>
      </c>
      <c r="C445" s="1568"/>
      <c r="D445" s="1568"/>
      <c r="E445" s="1568" t="s">
        <v>5972</v>
      </c>
      <c r="F445" s="1568"/>
      <c r="G445" s="1568"/>
      <c r="H445" s="1568"/>
      <c r="J445" s="1568" t="s">
        <v>5973</v>
      </c>
      <c r="K445" s="1568"/>
      <c r="L445" s="1568"/>
      <c r="M445" s="1566">
        <v>0</v>
      </c>
      <c r="N445" s="1566"/>
      <c r="O445" s="1566"/>
      <c r="P445" s="1566">
        <v>0</v>
      </c>
      <c r="Q445" s="1566"/>
      <c r="R445" s="1566"/>
      <c r="S445" s="1566">
        <v>1560.59</v>
      </c>
      <c r="T445" s="1566"/>
      <c r="U445" s="1566"/>
      <c r="V445" s="1566"/>
      <c r="W445" s="1566">
        <v>1560.59</v>
      </c>
      <c r="X445" s="1566"/>
      <c r="Y445" s="1566"/>
      <c r="Z445" s="1566"/>
      <c r="AA445" s="1566">
        <v>0</v>
      </c>
      <c r="AB445" s="1566"/>
      <c r="AC445" s="1566"/>
      <c r="AD445" s="1566"/>
      <c r="AE445" s="1566"/>
      <c r="AF445" s="1566"/>
      <c r="AG445" s="1566">
        <v>0</v>
      </c>
      <c r="AH445" s="1566"/>
      <c r="AI445" s="1566"/>
      <c r="AJ445" s="1566"/>
      <c r="AK445" s="1566"/>
    </row>
    <row r="446" spans="2:37" ht="9.4" customHeight="1">
      <c r="B446" s="1568" t="s">
        <v>1326</v>
      </c>
      <c r="C446" s="1568"/>
      <c r="D446" s="1568"/>
      <c r="E446" s="1568" t="s">
        <v>5974</v>
      </c>
      <c r="F446" s="1568"/>
      <c r="G446" s="1568"/>
      <c r="H446" s="1568"/>
      <c r="J446" s="1568" t="s">
        <v>5975</v>
      </c>
      <c r="K446" s="1568"/>
      <c r="L446" s="1568"/>
      <c r="M446" s="1566">
        <v>956.84</v>
      </c>
      <c r="N446" s="1566"/>
      <c r="O446" s="1566"/>
      <c r="P446" s="1566">
        <v>0</v>
      </c>
      <c r="Q446" s="1566"/>
      <c r="R446" s="1566"/>
      <c r="S446" s="1566">
        <v>0</v>
      </c>
      <c r="T446" s="1566"/>
      <c r="U446" s="1566"/>
      <c r="V446" s="1566"/>
      <c r="W446" s="1566">
        <v>0</v>
      </c>
      <c r="X446" s="1566"/>
      <c r="Y446" s="1566"/>
      <c r="Z446" s="1566"/>
      <c r="AA446" s="1566">
        <v>956.84</v>
      </c>
      <c r="AB446" s="1566"/>
      <c r="AC446" s="1566"/>
      <c r="AD446" s="1566"/>
      <c r="AE446" s="1566"/>
      <c r="AF446" s="1566"/>
      <c r="AG446" s="1566">
        <v>0</v>
      </c>
      <c r="AH446" s="1566"/>
      <c r="AI446" s="1566"/>
      <c r="AJ446" s="1566"/>
      <c r="AK446" s="1566"/>
    </row>
    <row r="447" spans="2:37" ht="9.4" customHeight="1">
      <c r="B447" s="1568" t="s">
        <v>1326</v>
      </c>
      <c r="C447" s="1568"/>
      <c r="D447" s="1568"/>
      <c r="E447" s="1568" t="s">
        <v>5976</v>
      </c>
      <c r="F447" s="1568"/>
      <c r="G447" s="1568"/>
      <c r="H447" s="1568"/>
      <c r="J447" s="1568" t="s">
        <v>2133</v>
      </c>
      <c r="K447" s="1568"/>
      <c r="L447" s="1568"/>
      <c r="M447" s="1566">
        <v>1848.57</v>
      </c>
      <c r="N447" s="1566"/>
      <c r="O447" s="1566"/>
      <c r="P447" s="1566">
        <v>0</v>
      </c>
      <c r="Q447" s="1566"/>
      <c r="R447" s="1566"/>
      <c r="S447" s="1566">
        <v>2937.01</v>
      </c>
      <c r="T447" s="1566"/>
      <c r="U447" s="1566"/>
      <c r="V447" s="1566"/>
      <c r="W447" s="1566">
        <v>3487.23</v>
      </c>
      <c r="X447" s="1566"/>
      <c r="Y447" s="1566"/>
      <c r="Z447" s="1566"/>
      <c r="AA447" s="1566">
        <v>1298.3499999999999</v>
      </c>
      <c r="AB447" s="1566"/>
      <c r="AC447" s="1566"/>
      <c r="AD447" s="1566"/>
      <c r="AE447" s="1566"/>
      <c r="AF447" s="1566"/>
      <c r="AG447" s="1566">
        <v>0</v>
      </c>
      <c r="AH447" s="1566"/>
      <c r="AI447" s="1566"/>
      <c r="AJ447" s="1566"/>
      <c r="AK447" s="1566"/>
    </row>
    <row r="448" spans="2:37" ht="9.4" customHeight="1">
      <c r="B448" s="1568" t="s">
        <v>1326</v>
      </c>
      <c r="C448" s="1568"/>
      <c r="D448" s="1568"/>
      <c r="E448" s="1568" t="s">
        <v>6212</v>
      </c>
      <c r="F448" s="1568"/>
      <c r="G448" s="1568"/>
      <c r="H448" s="1568"/>
      <c r="J448" s="1568" t="s">
        <v>6213</v>
      </c>
      <c r="K448" s="1568"/>
      <c r="L448" s="1568"/>
      <c r="M448" s="1566">
        <v>0</v>
      </c>
      <c r="N448" s="1566"/>
      <c r="O448" s="1566"/>
      <c r="P448" s="1566">
        <v>0</v>
      </c>
      <c r="Q448" s="1566"/>
      <c r="R448" s="1566"/>
      <c r="S448" s="1566">
        <v>201.37</v>
      </c>
      <c r="T448" s="1566"/>
      <c r="U448" s="1566"/>
      <c r="V448" s="1566"/>
      <c r="W448" s="1566">
        <v>201.37</v>
      </c>
      <c r="X448" s="1566"/>
      <c r="Y448" s="1566"/>
      <c r="Z448" s="1566"/>
      <c r="AA448" s="1566">
        <v>0</v>
      </c>
      <c r="AB448" s="1566"/>
      <c r="AC448" s="1566"/>
      <c r="AD448" s="1566"/>
      <c r="AE448" s="1566"/>
      <c r="AF448" s="1566"/>
      <c r="AG448" s="1566">
        <v>0</v>
      </c>
      <c r="AH448" s="1566"/>
      <c r="AI448" s="1566"/>
      <c r="AJ448" s="1566"/>
      <c r="AK448" s="1566"/>
    </row>
    <row r="449" spans="2:37" ht="9.1999999999999993" customHeight="1">
      <c r="J449" s="1568"/>
      <c r="K449" s="1568"/>
      <c r="L449" s="1568"/>
    </row>
    <row r="450" spans="2:37" ht="8.4499999999999993" customHeight="1">
      <c r="B450" s="1568" t="s">
        <v>1326</v>
      </c>
      <c r="C450" s="1568"/>
      <c r="D450" s="1568"/>
      <c r="E450" s="1568" t="s">
        <v>6214</v>
      </c>
      <c r="F450" s="1568"/>
      <c r="G450" s="1568"/>
      <c r="H450" s="1568"/>
      <c r="J450" s="1568" t="s">
        <v>6215</v>
      </c>
      <c r="K450" s="1568"/>
      <c r="L450" s="1568"/>
      <c r="M450" s="1566">
        <v>792.74</v>
      </c>
      <c r="N450" s="1566"/>
      <c r="O450" s="1566"/>
      <c r="P450" s="1566">
        <v>0</v>
      </c>
      <c r="Q450" s="1566"/>
      <c r="R450" s="1566"/>
      <c r="S450" s="1566">
        <v>11518.96</v>
      </c>
      <c r="T450" s="1566"/>
      <c r="U450" s="1566"/>
      <c r="V450" s="1566"/>
      <c r="W450" s="1566">
        <v>0</v>
      </c>
      <c r="X450" s="1566"/>
      <c r="Y450" s="1566"/>
      <c r="Z450" s="1566"/>
      <c r="AA450" s="1566">
        <v>12311.7</v>
      </c>
      <c r="AB450" s="1566"/>
      <c r="AC450" s="1566"/>
      <c r="AD450" s="1566"/>
      <c r="AE450" s="1566"/>
      <c r="AF450" s="1566"/>
      <c r="AG450" s="1566">
        <v>0</v>
      </c>
      <c r="AH450" s="1566"/>
      <c r="AI450" s="1566"/>
      <c r="AJ450" s="1566"/>
      <c r="AK450" s="1566"/>
    </row>
    <row r="451" spans="2:37" ht="9.4" customHeight="1">
      <c r="B451" s="1568" t="s">
        <v>1326</v>
      </c>
      <c r="C451" s="1568"/>
      <c r="D451" s="1568"/>
      <c r="E451" s="1568" t="s">
        <v>6766</v>
      </c>
      <c r="F451" s="1568"/>
      <c r="G451" s="1568"/>
      <c r="H451" s="1568"/>
      <c r="J451" s="1568" t="s">
        <v>6767</v>
      </c>
      <c r="K451" s="1568"/>
      <c r="L451" s="1568"/>
      <c r="M451" s="1566">
        <v>0</v>
      </c>
      <c r="N451" s="1566"/>
      <c r="O451" s="1566"/>
      <c r="P451" s="1566">
        <v>0</v>
      </c>
      <c r="Q451" s="1566"/>
      <c r="R451" s="1566"/>
      <c r="S451" s="1566">
        <v>193.04</v>
      </c>
      <c r="T451" s="1566"/>
      <c r="U451" s="1566"/>
      <c r="V451" s="1566"/>
      <c r="W451" s="1566">
        <v>193.04</v>
      </c>
      <c r="X451" s="1566"/>
      <c r="Y451" s="1566"/>
      <c r="Z451" s="1566"/>
      <c r="AA451" s="1566">
        <v>0</v>
      </c>
      <c r="AB451" s="1566"/>
      <c r="AC451" s="1566"/>
      <c r="AD451" s="1566"/>
      <c r="AE451" s="1566"/>
      <c r="AF451" s="1566"/>
      <c r="AG451" s="1566">
        <v>0</v>
      </c>
      <c r="AH451" s="1566"/>
      <c r="AI451" s="1566"/>
      <c r="AJ451" s="1566"/>
      <c r="AK451" s="1566"/>
    </row>
    <row r="452" spans="2:37" ht="9.4" customHeight="1">
      <c r="B452" s="1568" t="s">
        <v>1326</v>
      </c>
      <c r="C452" s="1568"/>
      <c r="D452" s="1568"/>
      <c r="E452" s="1568" t="s">
        <v>6496</v>
      </c>
      <c r="F452" s="1568"/>
      <c r="G452" s="1568"/>
      <c r="H452" s="1568"/>
      <c r="J452" s="1568" t="s">
        <v>6497</v>
      </c>
      <c r="K452" s="1568"/>
      <c r="L452" s="1568"/>
      <c r="M452" s="1566">
        <v>0</v>
      </c>
      <c r="N452" s="1566"/>
      <c r="O452" s="1566"/>
      <c r="P452" s="1566">
        <v>0</v>
      </c>
      <c r="Q452" s="1566"/>
      <c r="R452" s="1566"/>
      <c r="S452" s="1566">
        <v>0</v>
      </c>
      <c r="T452" s="1566"/>
      <c r="U452" s="1566"/>
      <c r="V452" s="1566"/>
      <c r="W452" s="1566">
        <v>0</v>
      </c>
      <c r="X452" s="1566"/>
      <c r="Y452" s="1566"/>
      <c r="Z452" s="1566"/>
      <c r="AA452" s="1566">
        <v>0</v>
      </c>
      <c r="AB452" s="1566"/>
      <c r="AC452" s="1566"/>
      <c r="AD452" s="1566"/>
      <c r="AE452" s="1566"/>
      <c r="AF452" s="1566"/>
      <c r="AG452" s="1566">
        <v>0</v>
      </c>
      <c r="AH452" s="1566"/>
      <c r="AI452" s="1566"/>
      <c r="AJ452" s="1566"/>
      <c r="AK452" s="1566"/>
    </row>
    <row r="453" spans="2:37" ht="9.4" customHeight="1">
      <c r="B453" s="1568" t="s">
        <v>1326</v>
      </c>
      <c r="C453" s="1568"/>
      <c r="D453" s="1568"/>
      <c r="E453" s="1568" t="s">
        <v>6498</v>
      </c>
      <c r="F453" s="1568"/>
      <c r="G453" s="1568"/>
      <c r="H453" s="1568"/>
      <c r="J453" s="1568" t="s">
        <v>6499</v>
      </c>
      <c r="K453" s="1568"/>
      <c r="L453" s="1568"/>
      <c r="M453" s="1566">
        <v>3997.11</v>
      </c>
      <c r="N453" s="1566"/>
      <c r="O453" s="1566"/>
      <c r="P453" s="1566">
        <v>0</v>
      </c>
      <c r="Q453" s="1566"/>
      <c r="R453" s="1566"/>
      <c r="S453" s="1566">
        <v>367.07</v>
      </c>
      <c r="T453" s="1566"/>
      <c r="U453" s="1566"/>
      <c r="V453" s="1566"/>
      <c r="W453" s="1566">
        <v>0</v>
      </c>
      <c r="X453" s="1566"/>
      <c r="Y453" s="1566"/>
      <c r="Z453" s="1566"/>
      <c r="AA453" s="1566">
        <v>4364.18</v>
      </c>
      <c r="AB453" s="1566"/>
      <c r="AC453" s="1566"/>
      <c r="AD453" s="1566"/>
      <c r="AE453" s="1566"/>
      <c r="AF453" s="1566"/>
      <c r="AG453" s="1566">
        <v>0</v>
      </c>
      <c r="AH453" s="1566"/>
      <c r="AI453" s="1566"/>
      <c r="AJ453" s="1566"/>
      <c r="AK453" s="1566"/>
    </row>
    <row r="454" spans="2:37" ht="9.4" customHeight="1">
      <c r="B454" s="1568" t="s">
        <v>1326</v>
      </c>
      <c r="C454" s="1568"/>
      <c r="D454" s="1568"/>
      <c r="E454" s="1568" t="s">
        <v>6768</v>
      </c>
      <c r="F454" s="1568"/>
      <c r="G454" s="1568"/>
      <c r="H454" s="1568"/>
      <c r="J454" s="1568" t="s">
        <v>6769</v>
      </c>
      <c r="K454" s="1568"/>
      <c r="L454" s="1568"/>
      <c r="M454" s="1566">
        <v>0</v>
      </c>
      <c r="N454" s="1566"/>
      <c r="O454" s="1566"/>
      <c r="P454" s="1566">
        <v>0</v>
      </c>
      <c r="Q454" s="1566"/>
      <c r="R454" s="1566"/>
      <c r="S454" s="1566">
        <v>47445.82</v>
      </c>
      <c r="T454" s="1566"/>
      <c r="U454" s="1566"/>
      <c r="V454" s="1566"/>
      <c r="W454" s="1566">
        <v>47445.82</v>
      </c>
      <c r="X454" s="1566"/>
      <c r="Y454" s="1566"/>
      <c r="Z454" s="1566"/>
      <c r="AA454" s="1566">
        <v>0</v>
      </c>
      <c r="AB454" s="1566"/>
      <c r="AC454" s="1566"/>
      <c r="AD454" s="1566"/>
      <c r="AE454" s="1566"/>
      <c r="AF454" s="1566"/>
      <c r="AG454" s="1566">
        <v>0</v>
      </c>
      <c r="AH454" s="1566"/>
      <c r="AI454" s="1566"/>
      <c r="AJ454" s="1566"/>
      <c r="AK454" s="1566"/>
    </row>
    <row r="455" spans="2:37" ht="9.4" customHeight="1">
      <c r="B455" s="1568" t="s">
        <v>1326</v>
      </c>
      <c r="C455" s="1568"/>
      <c r="D455" s="1568"/>
      <c r="E455" s="1568" t="s">
        <v>1512</v>
      </c>
      <c r="F455" s="1568"/>
      <c r="G455" s="1568"/>
      <c r="H455" s="1568"/>
      <c r="J455" s="1568" t="s">
        <v>2146</v>
      </c>
      <c r="K455" s="1568"/>
      <c r="L455" s="1568"/>
      <c r="M455" s="1566">
        <v>0</v>
      </c>
      <c r="N455" s="1566"/>
      <c r="O455" s="1566"/>
      <c r="P455" s="1566">
        <v>0</v>
      </c>
      <c r="Q455" s="1566"/>
      <c r="R455" s="1566"/>
      <c r="S455" s="1566">
        <v>79551.58</v>
      </c>
      <c r="T455" s="1566"/>
      <c r="U455" s="1566"/>
      <c r="V455" s="1566"/>
      <c r="W455" s="1566">
        <v>79551.58</v>
      </c>
      <c r="X455" s="1566"/>
      <c r="Y455" s="1566"/>
      <c r="Z455" s="1566"/>
      <c r="AA455" s="1566">
        <v>0</v>
      </c>
      <c r="AB455" s="1566"/>
      <c r="AC455" s="1566"/>
      <c r="AD455" s="1566"/>
      <c r="AE455" s="1566"/>
      <c r="AF455" s="1566"/>
      <c r="AG455" s="1566">
        <v>0</v>
      </c>
      <c r="AH455" s="1566"/>
      <c r="AI455" s="1566"/>
      <c r="AJ455" s="1566"/>
      <c r="AK455" s="1566"/>
    </row>
    <row r="456" spans="2:37" ht="9.4" customHeight="1">
      <c r="B456" s="1568" t="s">
        <v>1326</v>
      </c>
      <c r="C456" s="1568"/>
      <c r="D456" s="1568"/>
      <c r="E456" s="1568" t="s">
        <v>1513</v>
      </c>
      <c r="F456" s="1568"/>
      <c r="G456" s="1568"/>
      <c r="H456" s="1568"/>
      <c r="J456" s="1568" t="s">
        <v>2147</v>
      </c>
      <c r="K456" s="1568"/>
      <c r="L456" s="1568"/>
      <c r="M456" s="1566">
        <v>3518.25</v>
      </c>
      <c r="N456" s="1566"/>
      <c r="O456" s="1566"/>
      <c r="P456" s="1566">
        <v>0</v>
      </c>
      <c r="Q456" s="1566"/>
      <c r="R456" s="1566"/>
      <c r="S456" s="1566">
        <v>1273.5</v>
      </c>
      <c r="T456" s="1566"/>
      <c r="U456" s="1566"/>
      <c r="V456" s="1566"/>
      <c r="W456" s="1566">
        <v>0</v>
      </c>
      <c r="X456" s="1566"/>
      <c r="Y456" s="1566"/>
      <c r="Z456" s="1566"/>
      <c r="AA456" s="1566">
        <v>4791.75</v>
      </c>
      <c r="AB456" s="1566"/>
      <c r="AC456" s="1566"/>
      <c r="AD456" s="1566"/>
      <c r="AE456" s="1566"/>
      <c r="AF456" s="1566"/>
      <c r="AG456" s="1566">
        <v>0</v>
      </c>
      <c r="AH456" s="1566"/>
      <c r="AI456" s="1566"/>
      <c r="AJ456" s="1566"/>
      <c r="AK456" s="1566"/>
    </row>
    <row r="457" spans="2:37" ht="9.4" customHeight="1">
      <c r="B457" s="1568" t="s">
        <v>1326</v>
      </c>
      <c r="C457" s="1568"/>
      <c r="D457" s="1568"/>
      <c r="E457" s="1568" t="s">
        <v>1514</v>
      </c>
      <c r="F457" s="1568"/>
      <c r="G457" s="1568"/>
      <c r="H457" s="1568"/>
      <c r="J457" s="1568" t="s">
        <v>2148</v>
      </c>
      <c r="K457" s="1568"/>
      <c r="L457" s="1568"/>
      <c r="M457" s="1566">
        <v>238103.15</v>
      </c>
      <c r="N457" s="1566"/>
      <c r="O457" s="1566"/>
      <c r="P457" s="1566">
        <v>0</v>
      </c>
      <c r="Q457" s="1566"/>
      <c r="R457" s="1566"/>
      <c r="S457" s="1566">
        <v>24178.69</v>
      </c>
      <c r="T457" s="1566"/>
      <c r="U457" s="1566"/>
      <c r="V457" s="1566"/>
      <c r="W457" s="1566">
        <v>24178.69</v>
      </c>
      <c r="X457" s="1566"/>
      <c r="Y457" s="1566"/>
      <c r="Z457" s="1566"/>
      <c r="AA457" s="1566">
        <v>238103.15</v>
      </c>
      <c r="AB457" s="1566"/>
      <c r="AC457" s="1566"/>
      <c r="AD457" s="1566"/>
      <c r="AE457" s="1566"/>
      <c r="AF457" s="1566"/>
      <c r="AG457" s="1566">
        <v>0</v>
      </c>
      <c r="AH457" s="1566"/>
      <c r="AI457" s="1566"/>
      <c r="AJ457" s="1566"/>
      <c r="AK457" s="1566"/>
    </row>
    <row r="458" spans="2:37" ht="9.4" customHeight="1">
      <c r="B458" s="1568" t="s">
        <v>1326</v>
      </c>
      <c r="C458" s="1568"/>
      <c r="D458" s="1568"/>
      <c r="E458" s="1568" t="s">
        <v>1515</v>
      </c>
      <c r="F458" s="1568"/>
      <c r="G458" s="1568"/>
      <c r="H458" s="1568"/>
      <c r="J458" s="1568" t="s">
        <v>2149</v>
      </c>
      <c r="K458" s="1568"/>
      <c r="L458" s="1568"/>
      <c r="M458" s="1566">
        <v>33952.67</v>
      </c>
      <c r="N458" s="1566"/>
      <c r="O458" s="1566"/>
      <c r="P458" s="1566">
        <v>0</v>
      </c>
      <c r="Q458" s="1566"/>
      <c r="R458" s="1566"/>
      <c r="S458" s="1566">
        <v>170045.56</v>
      </c>
      <c r="T458" s="1566"/>
      <c r="U458" s="1566"/>
      <c r="V458" s="1566"/>
      <c r="W458" s="1566">
        <v>170045.56</v>
      </c>
      <c r="X458" s="1566"/>
      <c r="Y458" s="1566"/>
      <c r="Z458" s="1566"/>
      <c r="AA458" s="1566">
        <v>33952.67</v>
      </c>
      <c r="AB458" s="1566"/>
      <c r="AC458" s="1566"/>
      <c r="AD458" s="1566"/>
      <c r="AE458" s="1566"/>
      <c r="AF458" s="1566"/>
      <c r="AG458" s="1566">
        <v>0</v>
      </c>
      <c r="AH458" s="1566"/>
      <c r="AI458" s="1566"/>
      <c r="AJ458" s="1566"/>
      <c r="AK458" s="1566"/>
    </row>
    <row r="459" spans="2:37" ht="9.4" customHeight="1">
      <c r="B459" s="1568" t="s">
        <v>1326</v>
      </c>
      <c r="C459" s="1568"/>
      <c r="D459" s="1568"/>
      <c r="E459" s="1568" t="s">
        <v>1516</v>
      </c>
      <c r="F459" s="1568"/>
      <c r="G459" s="1568"/>
      <c r="H459" s="1568"/>
      <c r="J459" s="1568" t="s">
        <v>2150</v>
      </c>
      <c r="K459" s="1568"/>
      <c r="L459" s="1568"/>
      <c r="M459" s="1566">
        <v>32985.64</v>
      </c>
      <c r="N459" s="1566"/>
      <c r="O459" s="1566"/>
      <c r="P459" s="1566">
        <v>0</v>
      </c>
      <c r="Q459" s="1566"/>
      <c r="R459" s="1566"/>
      <c r="S459" s="1566">
        <v>3567.35</v>
      </c>
      <c r="T459" s="1566"/>
      <c r="U459" s="1566"/>
      <c r="V459" s="1566"/>
      <c r="W459" s="1566">
        <v>3567.35</v>
      </c>
      <c r="X459" s="1566"/>
      <c r="Y459" s="1566"/>
      <c r="Z459" s="1566"/>
      <c r="AA459" s="1566">
        <v>32985.64</v>
      </c>
      <c r="AB459" s="1566"/>
      <c r="AC459" s="1566"/>
      <c r="AD459" s="1566"/>
      <c r="AE459" s="1566"/>
      <c r="AF459" s="1566"/>
      <c r="AG459" s="1566">
        <v>0</v>
      </c>
      <c r="AH459" s="1566"/>
      <c r="AI459" s="1566"/>
      <c r="AJ459" s="1566"/>
      <c r="AK459" s="1566"/>
    </row>
    <row r="460" spans="2:37" ht="9.4" customHeight="1">
      <c r="B460" s="1568" t="s">
        <v>1326</v>
      </c>
      <c r="C460" s="1568"/>
      <c r="D460" s="1568"/>
      <c r="E460" s="1568" t="s">
        <v>1517</v>
      </c>
      <c r="F460" s="1568"/>
      <c r="G460" s="1568"/>
      <c r="H460" s="1568"/>
      <c r="J460" s="1568" t="s">
        <v>2151</v>
      </c>
      <c r="K460" s="1568"/>
      <c r="L460" s="1568"/>
      <c r="M460" s="1566">
        <v>4273.72</v>
      </c>
      <c r="N460" s="1566"/>
      <c r="O460" s="1566"/>
      <c r="P460" s="1566">
        <v>0</v>
      </c>
      <c r="Q460" s="1566"/>
      <c r="R460" s="1566"/>
      <c r="S460" s="1566">
        <v>13040.64</v>
      </c>
      <c r="T460" s="1566"/>
      <c r="U460" s="1566"/>
      <c r="V460" s="1566"/>
      <c r="W460" s="1566">
        <v>13040.64</v>
      </c>
      <c r="X460" s="1566"/>
      <c r="Y460" s="1566"/>
      <c r="Z460" s="1566"/>
      <c r="AA460" s="1566">
        <v>4273.72</v>
      </c>
      <c r="AB460" s="1566"/>
      <c r="AC460" s="1566"/>
      <c r="AD460" s="1566"/>
      <c r="AE460" s="1566"/>
      <c r="AF460" s="1566"/>
      <c r="AG460" s="1566">
        <v>0</v>
      </c>
      <c r="AH460" s="1566"/>
      <c r="AI460" s="1566"/>
      <c r="AJ460" s="1566"/>
      <c r="AK460" s="1566"/>
    </row>
    <row r="461" spans="2:37" ht="9.4" customHeight="1">
      <c r="B461" s="1568" t="s">
        <v>1326</v>
      </c>
      <c r="C461" s="1568"/>
      <c r="D461" s="1568"/>
      <c r="E461" s="1568" t="s">
        <v>1836</v>
      </c>
      <c r="F461" s="1568"/>
      <c r="G461" s="1568"/>
      <c r="H461" s="1568"/>
      <c r="J461" s="1568" t="s">
        <v>2152</v>
      </c>
      <c r="K461" s="1568"/>
      <c r="L461" s="1568"/>
      <c r="M461" s="1566">
        <v>17156.240000000002</v>
      </c>
      <c r="N461" s="1566"/>
      <c r="O461" s="1566"/>
      <c r="P461" s="1566">
        <v>0</v>
      </c>
      <c r="Q461" s="1566"/>
      <c r="R461" s="1566"/>
      <c r="S461" s="1566">
        <v>4690.32</v>
      </c>
      <c r="T461" s="1566"/>
      <c r="U461" s="1566"/>
      <c r="V461" s="1566"/>
      <c r="W461" s="1566">
        <v>4690.32</v>
      </c>
      <c r="X461" s="1566"/>
      <c r="Y461" s="1566"/>
      <c r="Z461" s="1566"/>
      <c r="AA461" s="1566">
        <v>17156.240000000002</v>
      </c>
      <c r="AB461" s="1566"/>
      <c r="AC461" s="1566"/>
      <c r="AD461" s="1566"/>
      <c r="AE461" s="1566"/>
      <c r="AF461" s="1566"/>
      <c r="AG461" s="1566">
        <v>0</v>
      </c>
      <c r="AH461" s="1566"/>
      <c r="AI461" s="1566"/>
      <c r="AJ461" s="1566"/>
      <c r="AK461" s="1566"/>
    </row>
    <row r="462" spans="2:37" ht="9.4" customHeight="1">
      <c r="B462" s="1568" t="s">
        <v>1326</v>
      </c>
      <c r="C462" s="1568"/>
      <c r="D462" s="1568"/>
      <c r="E462" s="1568" t="s">
        <v>1518</v>
      </c>
      <c r="F462" s="1568"/>
      <c r="G462" s="1568"/>
      <c r="H462" s="1568"/>
      <c r="J462" s="1568" t="s">
        <v>2153</v>
      </c>
      <c r="K462" s="1568"/>
      <c r="L462" s="1568"/>
      <c r="M462" s="1566">
        <v>881.88</v>
      </c>
      <c r="N462" s="1566"/>
      <c r="O462" s="1566"/>
      <c r="P462" s="1566">
        <v>0</v>
      </c>
      <c r="Q462" s="1566"/>
      <c r="R462" s="1566"/>
      <c r="S462" s="1566">
        <v>4399.6099999999997</v>
      </c>
      <c r="T462" s="1566"/>
      <c r="U462" s="1566"/>
      <c r="V462" s="1566"/>
      <c r="W462" s="1566">
        <v>515.28</v>
      </c>
      <c r="X462" s="1566"/>
      <c r="Y462" s="1566"/>
      <c r="Z462" s="1566"/>
      <c r="AA462" s="1566">
        <v>4766.21</v>
      </c>
      <c r="AB462" s="1566"/>
      <c r="AC462" s="1566"/>
      <c r="AD462" s="1566"/>
      <c r="AE462" s="1566"/>
      <c r="AF462" s="1566"/>
      <c r="AG462" s="1566">
        <v>0</v>
      </c>
      <c r="AH462" s="1566"/>
      <c r="AI462" s="1566"/>
      <c r="AJ462" s="1566"/>
      <c r="AK462" s="1566"/>
    </row>
    <row r="463" spans="2:37" ht="9.4" customHeight="1">
      <c r="B463" s="1568" t="s">
        <v>1326</v>
      </c>
      <c r="C463" s="1568"/>
      <c r="D463" s="1568"/>
      <c r="E463" s="1568" t="s">
        <v>1519</v>
      </c>
      <c r="F463" s="1568"/>
      <c r="G463" s="1568"/>
      <c r="H463" s="1568"/>
      <c r="J463" s="1568" t="s">
        <v>2154</v>
      </c>
      <c r="K463" s="1568"/>
      <c r="L463" s="1568"/>
      <c r="M463" s="1566">
        <v>2728.89</v>
      </c>
      <c r="N463" s="1566"/>
      <c r="O463" s="1566"/>
      <c r="P463" s="1566">
        <v>0</v>
      </c>
      <c r="Q463" s="1566"/>
      <c r="R463" s="1566"/>
      <c r="S463" s="1566">
        <v>0</v>
      </c>
      <c r="T463" s="1566"/>
      <c r="U463" s="1566"/>
      <c r="V463" s="1566"/>
      <c r="W463" s="1566">
        <v>0</v>
      </c>
      <c r="X463" s="1566"/>
      <c r="Y463" s="1566"/>
      <c r="Z463" s="1566"/>
      <c r="AA463" s="1566">
        <v>2728.89</v>
      </c>
      <c r="AB463" s="1566"/>
      <c r="AC463" s="1566"/>
      <c r="AD463" s="1566"/>
      <c r="AE463" s="1566"/>
      <c r="AF463" s="1566"/>
      <c r="AG463" s="1566">
        <v>0</v>
      </c>
      <c r="AH463" s="1566"/>
      <c r="AI463" s="1566"/>
      <c r="AJ463" s="1566"/>
      <c r="AK463" s="1566"/>
    </row>
    <row r="464" spans="2:37" ht="9.4" customHeight="1">
      <c r="B464" s="1568" t="s">
        <v>1326</v>
      </c>
      <c r="C464" s="1568"/>
      <c r="D464" s="1568"/>
      <c r="E464" s="1568" t="s">
        <v>1520</v>
      </c>
      <c r="F464" s="1568"/>
      <c r="G464" s="1568"/>
      <c r="H464" s="1568"/>
      <c r="J464" s="1568" t="s">
        <v>2155</v>
      </c>
      <c r="K464" s="1568"/>
      <c r="L464" s="1568"/>
      <c r="M464" s="1566">
        <v>5133.08</v>
      </c>
      <c r="N464" s="1566"/>
      <c r="O464" s="1566"/>
      <c r="P464" s="1566">
        <v>0</v>
      </c>
      <c r="Q464" s="1566"/>
      <c r="R464" s="1566"/>
      <c r="S464" s="1566">
        <v>8631.85</v>
      </c>
      <c r="T464" s="1566"/>
      <c r="U464" s="1566"/>
      <c r="V464" s="1566"/>
      <c r="W464" s="1566">
        <v>8631.85</v>
      </c>
      <c r="X464" s="1566"/>
      <c r="Y464" s="1566"/>
      <c r="Z464" s="1566"/>
      <c r="AA464" s="1566">
        <v>5133.08</v>
      </c>
      <c r="AB464" s="1566"/>
      <c r="AC464" s="1566"/>
      <c r="AD464" s="1566"/>
      <c r="AE464" s="1566"/>
      <c r="AF464" s="1566"/>
      <c r="AG464" s="1566">
        <v>0</v>
      </c>
      <c r="AH464" s="1566"/>
      <c r="AI464" s="1566"/>
      <c r="AJ464" s="1566"/>
      <c r="AK464" s="1566"/>
    </row>
    <row r="465" spans="2:38" ht="9.4" customHeight="1">
      <c r="B465" s="1568" t="s">
        <v>1326</v>
      </c>
      <c r="C465" s="1568"/>
      <c r="D465" s="1568"/>
      <c r="E465" s="1568" t="s">
        <v>6216</v>
      </c>
      <c r="F465" s="1568"/>
      <c r="G465" s="1568"/>
      <c r="H465" s="1568"/>
      <c r="J465" s="1568" t="s">
        <v>6113</v>
      </c>
      <c r="K465" s="1568"/>
      <c r="L465" s="1568"/>
      <c r="M465" s="1566">
        <v>0</v>
      </c>
      <c r="N465" s="1566"/>
      <c r="O465" s="1566"/>
      <c r="P465" s="1566">
        <v>0</v>
      </c>
      <c r="Q465" s="1566"/>
      <c r="R465" s="1566"/>
      <c r="S465" s="1566">
        <v>0</v>
      </c>
      <c r="T465" s="1566"/>
      <c r="U465" s="1566"/>
      <c r="V465" s="1566"/>
      <c r="W465" s="1566">
        <v>0</v>
      </c>
      <c r="X465" s="1566"/>
      <c r="Y465" s="1566"/>
      <c r="Z465" s="1566"/>
      <c r="AA465" s="1566">
        <v>0</v>
      </c>
      <c r="AB465" s="1566"/>
      <c r="AC465" s="1566"/>
      <c r="AD465" s="1566"/>
      <c r="AE465" s="1566"/>
      <c r="AF465" s="1566"/>
      <c r="AG465" s="1566">
        <v>0</v>
      </c>
      <c r="AH465" s="1566"/>
      <c r="AI465" s="1566"/>
      <c r="AJ465" s="1566"/>
      <c r="AK465" s="1566"/>
    </row>
    <row r="466" spans="2:38" ht="9.4" customHeight="1">
      <c r="B466" s="1568" t="s">
        <v>1326</v>
      </c>
      <c r="C466" s="1568"/>
      <c r="D466" s="1568"/>
      <c r="E466" s="1568" t="s">
        <v>1521</v>
      </c>
      <c r="F466" s="1568"/>
      <c r="G466" s="1568"/>
      <c r="H466" s="1568"/>
      <c r="J466" s="1568" t="s">
        <v>1036</v>
      </c>
      <c r="K466" s="1568"/>
      <c r="L466" s="1568"/>
      <c r="M466" s="1566">
        <v>35247.56</v>
      </c>
      <c r="N466" s="1566"/>
      <c r="O466" s="1566"/>
      <c r="P466" s="1566">
        <v>0</v>
      </c>
      <c r="Q466" s="1566"/>
      <c r="R466" s="1566"/>
      <c r="S466" s="1566">
        <v>0</v>
      </c>
      <c r="T466" s="1566"/>
      <c r="U466" s="1566"/>
      <c r="V466" s="1566"/>
      <c r="W466" s="1566">
        <v>0</v>
      </c>
      <c r="X466" s="1566"/>
      <c r="Y466" s="1566"/>
      <c r="Z466" s="1566"/>
      <c r="AA466" s="1566">
        <v>35247.56</v>
      </c>
      <c r="AB466" s="1566"/>
      <c r="AC466" s="1566"/>
      <c r="AD466" s="1566"/>
      <c r="AE466" s="1566"/>
      <c r="AF466" s="1566"/>
      <c r="AG466" s="1566">
        <v>0</v>
      </c>
      <c r="AH466" s="1566"/>
      <c r="AI466" s="1566"/>
      <c r="AJ466" s="1566"/>
      <c r="AK466" s="1566"/>
    </row>
    <row r="467" spans="2:38" ht="9.4" customHeight="1">
      <c r="B467" s="1568" t="s">
        <v>1326</v>
      </c>
      <c r="C467" s="1568"/>
      <c r="D467" s="1568"/>
      <c r="E467" s="1568" t="s">
        <v>1522</v>
      </c>
      <c r="F467" s="1568"/>
      <c r="G467" s="1568"/>
      <c r="H467" s="1568"/>
      <c r="J467" s="1568" t="s">
        <v>1042</v>
      </c>
      <c r="K467" s="1568"/>
      <c r="L467" s="1568"/>
      <c r="M467" s="1566">
        <v>24489.09</v>
      </c>
      <c r="N467" s="1566"/>
      <c r="O467" s="1566"/>
      <c r="P467" s="1566">
        <v>0</v>
      </c>
      <c r="Q467" s="1566"/>
      <c r="R467" s="1566"/>
      <c r="S467" s="1566">
        <v>0</v>
      </c>
      <c r="T467" s="1566"/>
      <c r="U467" s="1566"/>
      <c r="V467" s="1566"/>
      <c r="W467" s="1566">
        <v>0</v>
      </c>
      <c r="X467" s="1566"/>
      <c r="Y467" s="1566"/>
      <c r="Z467" s="1566"/>
      <c r="AA467" s="1566">
        <v>24489.09</v>
      </c>
      <c r="AB467" s="1566"/>
      <c r="AC467" s="1566"/>
      <c r="AD467" s="1566"/>
      <c r="AE467" s="1566"/>
      <c r="AF467" s="1566"/>
      <c r="AG467" s="1566">
        <v>0</v>
      </c>
      <c r="AH467" s="1566"/>
      <c r="AI467" s="1566"/>
      <c r="AJ467" s="1566"/>
      <c r="AK467" s="1566"/>
    </row>
    <row r="468" spans="2:38" ht="9.4" customHeight="1">
      <c r="B468" s="1568" t="s">
        <v>1326</v>
      </c>
      <c r="C468" s="1568"/>
      <c r="D468" s="1568"/>
      <c r="E468" s="1568" t="s">
        <v>1523</v>
      </c>
      <c r="F468" s="1568"/>
      <c r="G468" s="1568"/>
      <c r="H468" s="1568"/>
      <c r="J468" s="1568" t="s">
        <v>2108</v>
      </c>
      <c r="K468" s="1568"/>
      <c r="L468" s="1568"/>
      <c r="M468" s="1566">
        <v>31251.759999999998</v>
      </c>
      <c r="N468" s="1566"/>
      <c r="O468" s="1566"/>
      <c r="P468" s="1566">
        <v>0</v>
      </c>
      <c r="Q468" s="1566"/>
      <c r="R468" s="1566"/>
      <c r="S468" s="1566">
        <v>5319.41</v>
      </c>
      <c r="T468" s="1566"/>
      <c r="U468" s="1566"/>
      <c r="V468" s="1566"/>
      <c r="W468" s="1566">
        <v>0</v>
      </c>
      <c r="X468" s="1566"/>
      <c r="Y468" s="1566"/>
      <c r="Z468" s="1566"/>
      <c r="AA468" s="1566">
        <v>36571.17</v>
      </c>
      <c r="AB468" s="1566"/>
      <c r="AC468" s="1566"/>
      <c r="AD468" s="1566"/>
      <c r="AE468" s="1566"/>
      <c r="AF468" s="1566"/>
      <c r="AG468" s="1566">
        <v>0</v>
      </c>
      <c r="AH468" s="1566"/>
      <c r="AI468" s="1566"/>
      <c r="AJ468" s="1566"/>
      <c r="AK468" s="1566"/>
    </row>
    <row r="469" spans="2:38" ht="9.4" customHeight="1">
      <c r="B469" s="1568" t="s">
        <v>1326</v>
      </c>
      <c r="C469" s="1568"/>
      <c r="D469" s="1568"/>
      <c r="E469" s="1568" t="s">
        <v>1524</v>
      </c>
      <c r="F469" s="1568"/>
      <c r="G469" s="1568"/>
      <c r="H469" s="1568"/>
      <c r="J469" s="1568" t="s">
        <v>2157</v>
      </c>
      <c r="K469" s="1568"/>
      <c r="L469" s="1568"/>
      <c r="M469" s="1566">
        <v>31723.07</v>
      </c>
      <c r="N469" s="1566"/>
      <c r="O469" s="1566"/>
      <c r="P469" s="1566">
        <v>0</v>
      </c>
      <c r="Q469" s="1566"/>
      <c r="R469" s="1566"/>
      <c r="S469" s="1566">
        <v>432.04</v>
      </c>
      <c r="T469" s="1566"/>
      <c r="U469" s="1566"/>
      <c r="V469" s="1566"/>
      <c r="W469" s="1566">
        <v>2152.69</v>
      </c>
      <c r="X469" s="1566"/>
      <c r="Y469" s="1566"/>
      <c r="Z469" s="1566"/>
      <c r="AA469" s="1566">
        <v>30002.42</v>
      </c>
      <c r="AB469" s="1566"/>
      <c r="AC469" s="1566"/>
      <c r="AD469" s="1566"/>
      <c r="AE469" s="1566"/>
      <c r="AF469" s="1566"/>
      <c r="AG469" s="1566">
        <v>0</v>
      </c>
      <c r="AH469" s="1566"/>
      <c r="AI469" s="1566"/>
      <c r="AJ469" s="1566"/>
      <c r="AK469" s="1566"/>
    </row>
    <row r="470" spans="2:38" ht="9.4" customHeight="1">
      <c r="B470" s="1568" t="s">
        <v>1326</v>
      </c>
      <c r="C470" s="1568"/>
      <c r="D470" s="1568"/>
      <c r="E470" s="1568" t="s">
        <v>3111</v>
      </c>
      <c r="F470" s="1568"/>
      <c r="G470" s="1568"/>
      <c r="H470" s="1568"/>
      <c r="J470" s="1568" t="s">
        <v>3112</v>
      </c>
      <c r="K470" s="1568"/>
      <c r="L470" s="1568"/>
      <c r="M470" s="1566">
        <v>2314.67</v>
      </c>
      <c r="N470" s="1566"/>
      <c r="O470" s="1566"/>
      <c r="P470" s="1566">
        <v>0</v>
      </c>
      <c r="Q470" s="1566"/>
      <c r="R470" s="1566"/>
      <c r="S470" s="1566">
        <v>1468.02</v>
      </c>
      <c r="T470" s="1566"/>
      <c r="U470" s="1566"/>
      <c r="V470" s="1566"/>
      <c r="W470" s="1566">
        <v>0</v>
      </c>
      <c r="X470" s="1566"/>
      <c r="Y470" s="1566"/>
      <c r="Z470" s="1566"/>
      <c r="AA470" s="1566">
        <v>3782.69</v>
      </c>
      <c r="AB470" s="1566"/>
      <c r="AC470" s="1566"/>
      <c r="AD470" s="1566"/>
      <c r="AE470" s="1566"/>
      <c r="AF470" s="1566"/>
      <c r="AG470" s="1566">
        <v>0</v>
      </c>
      <c r="AH470" s="1566"/>
      <c r="AI470" s="1566"/>
      <c r="AJ470" s="1566"/>
      <c r="AK470" s="1566"/>
    </row>
    <row r="471" spans="2:38" ht="9.4" customHeight="1">
      <c r="B471" s="1568" t="s">
        <v>1326</v>
      </c>
      <c r="C471" s="1568"/>
      <c r="D471" s="1568"/>
      <c r="E471" s="1568" t="s">
        <v>3113</v>
      </c>
      <c r="F471" s="1568"/>
      <c r="G471" s="1568"/>
      <c r="H471" s="1568"/>
      <c r="J471" s="1568" t="s">
        <v>1943</v>
      </c>
      <c r="K471" s="1568"/>
      <c r="L471" s="1568"/>
      <c r="M471" s="1566">
        <v>0</v>
      </c>
      <c r="N471" s="1566"/>
      <c r="O471" s="1566"/>
      <c r="P471" s="1566">
        <v>0</v>
      </c>
      <c r="Q471" s="1566"/>
      <c r="R471" s="1566"/>
      <c r="S471" s="1566">
        <v>3412.41</v>
      </c>
      <c r="T471" s="1566"/>
      <c r="U471" s="1566"/>
      <c r="V471" s="1566"/>
      <c r="W471" s="1566">
        <v>3412.41</v>
      </c>
      <c r="X471" s="1566"/>
      <c r="Y471" s="1566"/>
      <c r="Z471" s="1566"/>
      <c r="AA471" s="1566">
        <v>0</v>
      </c>
      <c r="AB471" s="1566"/>
      <c r="AC471" s="1566"/>
      <c r="AD471" s="1566"/>
      <c r="AE471" s="1566"/>
      <c r="AF471" s="1566"/>
      <c r="AG471" s="1566">
        <v>0</v>
      </c>
      <c r="AH471" s="1566"/>
      <c r="AI471" s="1566"/>
      <c r="AJ471" s="1566"/>
      <c r="AK471" s="1566"/>
    </row>
    <row r="472" spans="2:38" ht="9.4" customHeight="1">
      <c r="B472" s="1568" t="s">
        <v>1326</v>
      </c>
      <c r="C472" s="1568"/>
      <c r="D472" s="1568"/>
      <c r="E472" s="1568" t="s">
        <v>4115</v>
      </c>
      <c r="F472" s="1568"/>
      <c r="G472" s="1568"/>
      <c r="H472" s="1568"/>
      <c r="J472" s="1568" t="s">
        <v>4116</v>
      </c>
      <c r="K472" s="1568"/>
      <c r="L472" s="1568"/>
      <c r="M472" s="1566">
        <v>57186</v>
      </c>
      <c r="N472" s="1566"/>
      <c r="O472" s="1566"/>
      <c r="P472" s="1566">
        <v>0</v>
      </c>
      <c r="Q472" s="1566"/>
      <c r="R472" s="1566"/>
      <c r="S472" s="1566">
        <v>19062</v>
      </c>
      <c r="T472" s="1566"/>
      <c r="U472" s="1566"/>
      <c r="V472" s="1566"/>
      <c r="W472" s="1566">
        <v>0</v>
      </c>
      <c r="X472" s="1566"/>
      <c r="Y472" s="1566"/>
      <c r="Z472" s="1566"/>
      <c r="AA472" s="1566">
        <v>76248</v>
      </c>
      <c r="AB472" s="1566"/>
      <c r="AC472" s="1566"/>
      <c r="AD472" s="1566"/>
      <c r="AE472" s="1566"/>
      <c r="AF472" s="1566"/>
      <c r="AG472" s="1566">
        <v>0</v>
      </c>
      <c r="AH472" s="1566"/>
      <c r="AI472" s="1566"/>
      <c r="AJ472" s="1566"/>
      <c r="AK472" s="1566"/>
    </row>
    <row r="473" spans="2:38" ht="9.4" customHeight="1">
      <c r="B473" s="1568" t="s">
        <v>1326</v>
      </c>
      <c r="C473" s="1568"/>
      <c r="D473" s="1568"/>
      <c r="E473" s="1568" t="s">
        <v>5826</v>
      </c>
      <c r="F473" s="1568"/>
      <c r="G473" s="1568"/>
      <c r="H473" s="1568"/>
      <c r="J473" s="1568" t="s">
        <v>2979</v>
      </c>
      <c r="K473" s="1568"/>
      <c r="L473" s="1568"/>
      <c r="M473" s="1566">
        <v>134718.35999999999</v>
      </c>
      <c r="N473" s="1566"/>
      <c r="O473" s="1566"/>
      <c r="P473" s="1566">
        <v>0</v>
      </c>
      <c r="Q473" s="1566"/>
      <c r="R473" s="1566"/>
      <c r="S473" s="1566">
        <v>104197.71</v>
      </c>
      <c r="T473" s="1566"/>
      <c r="U473" s="1566"/>
      <c r="V473" s="1566"/>
      <c r="W473" s="1566">
        <v>134718.35999999999</v>
      </c>
      <c r="X473" s="1566"/>
      <c r="Y473" s="1566"/>
      <c r="Z473" s="1566"/>
      <c r="AA473" s="1566">
        <v>104197.71</v>
      </c>
      <c r="AB473" s="1566"/>
      <c r="AC473" s="1566"/>
      <c r="AD473" s="1566"/>
      <c r="AE473" s="1566"/>
      <c r="AF473" s="1566"/>
      <c r="AG473" s="1566">
        <v>0</v>
      </c>
      <c r="AH473" s="1566"/>
      <c r="AI473" s="1566"/>
      <c r="AJ473" s="1566"/>
      <c r="AK473" s="1566"/>
    </row>
    <row r="474" spans="2:38" ht="9.4" customHeight="1">
      <c r="B474" s="1568" t="s">
        <v>1326</v>
      </c>
      <c r="C474" s="1568"/>
      <c r="D474" s="1568"/>
      <c r="E474" s="1568" t="s">
        <v>1525</v>
      </c>
      <c r="F474" s="1568"/>
      <c r="G474" s="1568"/>
      <c r="H474" s="1568"/>
      <c r="J474" s="1568" t="s">
        <v>2158</v>
      </c>
      <c r="K474" s="1568"/>
      <c r="L474" s="1568"/>
      <c r="M474" s="1566">
        <v>0</v>
      </c>
      <c r="N474" s="1566"/>
      <c r="O474" s="1566"/>
      <c r="P474" s="1566">
        <v>0</v>
      </c>
      <c r="Q474" s="1566"/>
      <c r="R474" s="1566"/>
      <c r="S474" s="1566">
        <v>863.91</v>
      </c>
      <c r="T474" s="1566"/>
      <c r="U474" s="1566"/>
      <c r="V474" s="1566"/>
      <c r="W474" s="1566">
        <v>0</v>
      </c>
      <c r="X474" s="1566"/>
      <c r="Y474" s="1566"/>
      <c r="Z474" s="1566"/>
      <c r="AA474" s="1566">
        <v>863.91</v>
      </c>
      <c r="AB474" s="1566"/>
      <c r="AC474" s="1566"/>
      <c r="AD474" s="1566"/>
      <c r="AE474" s="1566"/>
      <c r="AF474" s="1566"/>
      <c r="AG474" s="1566">
        <v>0</v>
      </c>
      <c r="AH474" s="1566"/>
      <c r="AI474" s="1566"/>
      <c r="AJ474" s="1566"/>
      <c r="AK474" s="1566"/>
    </row>
    <row r="475" spans="2:38" ht="9.4" customHeight="1">
      <c r="B475" s="1568" t="s">
        <v>1326</v>
      </c>
      <c r="C475" s="1568"/>
      <c r="D475" s="1568"/>
      <c r="E475" s="1568" t="s">
        <v>2858</v>
      </c>
      <c r="F475" s="1568"/>
      <c r="G475" s="1568"/>
      <c r="H475" s="1568"/>
      <c r="J475" s="1568" t="s">
        <v>2843</v>
      </c>
      <c r="K475" s="1568"/>
      <c r="L475" s="1568"/>
      <c r="M475" s="1566">
        <v>3910.69</v>
      </c>
      <c r="N475" s="1566"/>
      <c r="O475" s="1566"/>
      <c r="P475" s="1566">
        <v>0</v>
      </c>
      <c r="Q475" s="1566"/>
      <c r="R475" s="1566"/>
      <c r="S475" s="1566">
        <v>2262.2600000000002</v>
      </c>
      <c r="T475" s="1566"/>
      <c r="U475" s="1566"/>
      <c r="V475" s="1566"/>
      <c r="W475" s="1566">
        <v>2262.2600000000002</v>
      </c>
      <c r="X475" s="1566"/>
      <c r="Y475" s="1566"/>
      <c r="Z475" s="1566"/>
      <c r="AA475" s="1566">
        <v>3910.69</v>
      </c>
      <c r="AB475" s="1566"/>
      <c r="AC475" s="1566"/>
      <c r="AD475" s="1566"/>
      <c r="AE475" s="1566"/>
      <c r="AF475" s="1566"/>
      <c r="AG475" s="1566">
        <v>0</v>
      </c>
      <c r="AH475" s="1566"/>
      <c r="AI475" s="1566"/>
      <c r="AJ475" s="1566"/>
      <c r="AK475" s="1566"/>
    </row>
    <row r="476" spans="2:38" ht="9.4" customHeight="1">
      <c r="B476" s="1568" t="s">
        <v>1326</v>
      </c>
      <c r="C476" s="1568"/>
      <c r="D476" s="1568"/>
      <c r="E476" s="1568" t="s">
        <v>1768</v>
      </c>
      <c r="F476" s="1568"/>
      <c r="G476" s="1568"/>
      <c r="H476" s="1568"/>
      <c r="J476" s="1568" t="s">
        <v>2159</v>
      </c>
      <c r="K476" s="1568"/>
      <c r="L476" s="1568"/>
      <c r="M476" s="1566">
        <v>88273.41</v>
      </c>
      <c r="N476" s="1566"/>
      <c r="O476" s="1566"/>
      <c r="P476" s="1566">
        <v>0</v>
      </c>
      <c r="Q476" s="1566"/>
      <c r="R476" s="1566"/>
      <c r="S476" s="1566">
        <v>122732.14</v>
      </c>
      <c r="T476" s="1566"/>
      <c r="U476" s="1566"/>
      <c r="V476" s="1566"/>
      <c r="W476" s="1566">
        <v>122888.71</v>
      </c>
      <c r="X476" s="1566"/>
      <c r="Y476" s="1566"/>
      <c r="Z476" s="1566"/>
      <c r="AA476" s="1566">
        <v>88116.84</v>
      </c>
      <c r="AB476" s="1566"/>
      <c r="AC476" s="1566"/>
      <c r="AD476" s="1566"/>
      <c r="AE476" s="1566"/>
      <c r="AF476" s="1566"/>
      <c r="AG476" s="1566">
        <v>0</v>
      </c>
      <c r="AH476" s="1566"/>
      <c r="AI476" s="1566"/>
      <c r="AJ476" s="1566"/>
      <c r="AK476" s="1566"/>
    </row>
    <row r="477" spans="2:38" ht="9.4" customHeight="1">
      <c r="B477" s="1568" t="s">
        <v>1326</v>
      </c>
      <c r="C477" s="1568"/>
      <c r="D477" s="1568"/>
      <c r="E477" s="1568" t="s">
        <v>1526</v>
      </c>
      <c r="F477" s="1568"/>
      <c r="G477" s="1568"/>
      <c r="H477" s="1568"/>
      <c r="J477" s="1568" t="s">
        <v>2160</v>
      </c>
      <c r="K477" s="1568"/>
      <c r="L477" s="1568"/>
      <c r="M477" s="1566">
        <v>0</v>
      </c>
      <c r="N477" s="1566"/>
      <c r="O477" s="1566"/>
      <c r="P477" s="1566">
        <v>0</v>
      </c>
      <c r="Q477" s="1566"/>
      <c r="R477" s="1566"/>
      <c r="S477" s="1566">
        <v>14444.48</v>
      </c>
      <c r="T477" s="1566"/>
      <c r="U477" s="1566"/>
      <c r="V477" s="1566"/>
      <c r="W477" s="1566">
        <v>7222.24</v>
      </c>
      <c r="X477" s="1566"/>
      <c r="Y477" s="1566"/>
      <c r="Z477" s="1566"/>
      <c r="AA477" s="1566">
        <v>7222.24</v>
      </c>
      <c r="AB477" s="1566"/>
      <c r="AC477" s="1566"/>
      <c r="AD477" s="1566"/>
      <c r="AE477" s="1566"/>
      <c r="AF477" s="1566"/>
      <c r="AG477" s="1566">
        <v>0</v>
      </c>
      <c r="AH477" s="1566"/>
      <c r="AI477" s="1566"/>
      <c r="AJ477" s="1566"/>
      <c r="AK477" s="1566"/>
    </row>
    <row r="478" spans="2:38" ht="7.35" customHeight="1"/>
    <row r="479" spans="2:38" ht="14.1" customHeight="1">
      <c r="AG479" s="1565" t="s">
        <v>2185</v>
      </c>
      <c r="AH479" s="1565"/>
      <c r="AI479" s="1565"/>
      <c r="AJ479" s="1565"/>
      <c r="AK479" s="1565"/>
      <c r="AL479" s="1565"/>
    </row>
    <row r="480" spans="2:38" ht="7.15" customHeight="1">
      <c r="D480" s="1578" t="s">
        <v>2992</v>
      </c>
      <c r="E480" s="1578"/>
      <c r="F480" s="1578"/>
      <c r="G480" s="1578"/>
      <c r="H480" s="1578"/>
      <c r="I480" s="1578"/>
      <c r="J480" s="1578"/>
      <c r="K480" s="1578"/>
      <c r="L480" s="1578"/>
      <c r="M480" s="1578"/>
      <c r="N480" s="1578"/>
      <c r="O480" s="1578"/>
      <c r="P480" s="1578"/>
      <c r="Q480" s="1578"/>
      <c r="R480" s="1578"/>
      <c r="S480" s="1578"/>
      <c r="T480" s="1578"/>
      <c r="U480" s="1578"/>
      <c r="V480" s="1578"/>
      <c r="W480" s="1578"/>
      <c r="X480" s="1578"/>
      <c r="Y480" s="1578"/>
      <c r="Z480" s="1578"/>
      <c r="AA480" s="1578"/>
      <c r="AB480" s="1578"/>
      <c r="AC480" s="1578"/>
      <c r="AD480" s="1578"/>
      <c r="AE480" s="1578"/>
      <c r="AF480" s="1578"/>
      <c r="AG480" s="1578"/>
      <c r="AH480" s="1578"/>
    </row>
    <row r="481" spans="1:38" ht="9.6" customHeight="1">
      <c r="A481" s="1579"/>
      <c r="B481" s="1579"/>
      <c r="C481" s="1579"/>
      <c r="D481" s="1579"/>
      <c r="E481" s="1579"/>
      <c r="F481" s="1579"/>
      <c r="G481" s="1579"/>
      <c r="H481" s="1579"/>
      <c r="I481" s="1579"/>
      <c r="J481" s="1578"/>
      <c r="K481" s="1578"/>
      <c r="L481" s="1578"/>
      <c r="M481" s="1578"/>
      <c r="N481" s="1578"/>
      <c r="O481" s="1578"/>
      <c r="P481" s="1578"/>
      <c r="Q481" s="1578"/>
      <c r="R481" s="1578"/>
      <c r="S481" s="1578"/>
      <c r="T481" s="1578"/>
      <c r="U481" s="1578"/>
      <c r="V481" s="1578"/>
      <c r="W481" s="1578"/>
      <c r="X481" s="1578"/>
      <c r="Y481" s="1578"/>
      <c r="Z481" s="1578"/>
      <c r="AA481" s="1578"/>
      <c r="AB481" s="1578"/>
      <c r="AC481" s="1578"/>
      <c r="AD481" s="1578"/>
      <c r="AE481" s="1578"/>
      <c r="AF481" s="1578"/>
      <c r="AG481" s="1578"/>
      <c r="AH481" s="1578"/>
    </row>
    <row r="482" spans="1:38" ht="13.35" customHeight="1">
      <c r="A482" s="1579"/>
      <c r="B482" s="1579"/>
      <c r="C482" s="1579"/>
      <c r="D482" s="1579"/>
      <c r="E482" s="1579"/>
      <c r="F482" s="1579"/>
      <c r="G482" s="1579"/>
      <c r="H482" s="1579"/>
      <c r="I482" s="1579"/>
      <c r="J482" s="1580" t="s">
        <v>79</v>
      </c>
      <c r="K482" s="1580"/>
      <c r="L482" s="1580"/>
      <c r="M482" s="1580"/>
      <c r="N482" s="1580"/>
      <c r="O482" s="1580"/>
      <c r="P482" s="1580"/>
      <c r="Q482" s="1580"/>
      <c r="R482" s="1580"/>
      <c r="S482" s="1580"/>
      <c r="T482" s="1580"/>
      <c r="U482" s="1580"/>
      <c r="V482" s="1580"/>
      <c r="W482" s="1580"/>
      <c r="X482" s="1580"/>
      <c r="Y482" s="1580"/>
      <c r="Z482" s="1580"/>
      <c r="AA482" s="1580"/>
      <c r="AB482" s="1580"/>
      <c r="AC482" s="1580"/>
      <c r="AD482" s="1580"/>
      <c r="AE482" s="1580"/>
      <c r="AF482" s="1580"/>
    </row>
    <row r="483" spans="1:38" ht="5.25" customHeight="1">
      <c r="A483" s="1579"/>
      <c r="B483" s="1579"/>
      <c r="C483" s="1579"/>
      <c r="D483" s="1579"/>
      <c r="E483" s="1579"/>
      <c r="F483" s="1579"/>
      <c r="G483" s="1579"/>
      <c r="H483" s="1579"/>
      <c r="I483" s="1579"/>
      <c r="J483" s="1573" t="s">
        <v>6760</v>
      </c>
      <c r="K483" s="1573"/>
      <c r="L483" s="1573"/>
      <c r="M483" s="1573"/>
      <c r="N483" s="1573"/>
      <c r="O483" s="1573"/>
      <c r="P483" s="1573"/>
      <c r="Q483" s="1573"/>
      <c r="R483" s="1573"/>
      <c r="S483" s="1573"/>
      <c r="T483" s="1573"/>
      <c r="U483" s="1573"/>
      <c r="V483" s="1573"/>
      <c r="W483" s="1573"/>
      <c r="X483" s="1573"/>
      <c r="Y483" s="1573"/>
      <c r="Z483" s="1573"/>
      <c r="AA483" s="1573"/>
      <c r="AB483" s="1573"/>
      <c r="AC483" s="1573"/>
      <c r="AD483" s="1573"/>
      <c r="AE483" s="1573"/>
    </row>
    <row r="484" spans="1:38" ht="8.1" customHeight="1">
      <c r="C484" s="1572" t="s">
        <v>1920</v>
      </c>
      <c r="D484" s="1572"/>
      <c r="E484" s="1572"/>
      <c r="F484" s="1572"/>
      <c r="G484" s="1572"/>
      <c r="H484" s="1572"/>
      <c r="I484" s="1572"/>
      <c r="J484" s="1572"/>
      <c r="K484" s="1573"/>
      <c r="L484" s="1573"/>
      <c r="M484" s="1573"/>
      <c r="N484" s="1573"/>
      <c r="O484" s="1573"/>
      <c r="P484" s="1573"/>
      <c r="Q484" s="1573"/>
      <c r="R484" s="1573"/>
      <c r="S484" s="1573"/>
      <c r="T484" s="1573"/>
      <c r="U484" s="1573"/>
      <c r="V484" s="1573"/>
      <c r="W484" s="1573"/>
      <c r="X484" s="1573"/>
      <c r="Y484" s="1574" t="s">
        <v>5920</v>
      </c>
      <c r="Z484" s="1574"/>
      <c r="AA484" s="1574"/>
      <c r="AB484" s="1574"/>
      <c r="AC484" s="1574"/>
      <c r="AD484" s="1574"/>
      <c r="AE484" s="1574"/>
      <c r="AF484" s="1574"/>
      <c r="AG484" s="1574"/>
      <c r="AH484" s="1575" t="s">
        <v>6761</v>
      </c>
      <c r="AI484" s="1575"/>
      <c r="AJ484" s="1575"/>
      <c r="AK484" s="1575"/>
      <c r="AL484" s="1575"/>
    </row>
    <row r="485" spans="1:38" ht="6" customHeight="1">
      <c r="C485" s="1572"/>
      <c r="D485" s="1572"/>
      <c r="E485" s="1572"/>
      <c r="F485" s="1572"/>
      <c r="G485" s="1572"/>
      <c r="H485" s="1572"/>
      <c r="I485" s="1572"/>
      <c r="J485" s="1572"/>
      <c r="K485" s="1576" t="s">
        <v>1999</v>
      </c>
      <c r="L485" s="1576"/>
      <c r="M485" s="1576"/>
      <c r="N485" s="1576"/>
      <c r="O485" s="1576"/>
      <c r="P485" s="1576"/>
      <c r="Q485" s="1576"/>
      <c r="R485" s="1576"/>
      <c r="S485" s="1576"/>
      <c r="T485" s="1576"/>
      <c r="U485" s="1576"/>
      <c r="V485" s="1576"/>
      <c r="W485" s="1576"/>
      <c r="X485" s="1576"/>
      <c r="Y485" s="1574"/>
      <c r="Z485" s="1574"/>
      <c r="AA485" s="1574"/>
      <c r="AB485" s="1574"/>
      <c r="AC485" s="1574"/>
      <c r="AD485" s="1574"/>
      <c r="AE485" s="1574"/>
      <c r="AF485" s="1574"/>
      <c r="AG485" s="1574"/>
      <c r="AH485" s="1575"/>
      <c r="AI485" s="1575"/>
      <c r="AJ485" s="1575"/>
      <c r="AK485" s="1575"/>
      <c r="AL485" s="1575"/>
    </row>
    <row r="486" spans="1:38" ht="7.35" customHeight="1">
      <c r="C486" s="1572" t="s">
        <v>1998</v>
      </c>
      <c r="D486" s="1572"/>
      <c r="E486" s="1572"/>
      <c r="F486" s="1572"/>
      <c r="G486" s="1577"/>
      <c r="H486" s="1577"/>
      <c r="I486" s="1577"/>
      <c r="J486" s="1577"/>
      <c r="K486" s="1577"/>
      <c r="L486" s="1577"/>
      <c r="M486" s="1577"/>
      <c r="N486" s="1577"/>
      <c r="O486" s="1577"/>
      <c r="P486" s="1577"/>
      <c r="Q486" s="1577"/>
      <c r="R486" s="1577"/>
      <c r="S486" s="1577"/>
      <c r="T486" s="1577"/>
      <c r="U486" s="1577"/>
      <c r="V486" s="1577"/>
      <c r="W486" s="1577"/>
      <c r="X486" s="1577"/>
      <c r="Y486" s="1577"/>
      <c r="Z486" s="1577"/>
      <c r="AA486" s="1577"/>
      <c r="AB486" s="1577"/>
      <c r="AC486" s="1577"/>
      <c r="AD486" s="1577"/>
      <c r="AE486" s="1577"/>
      <c r="AF486" s="1574"/>
      <c r="AG486" s="1574"/>
      <c r="AH486" s="1574" t="s">
        <v>6762</v>
      </c>
      <c r="AI486" s="1574"/>
    </row>
    <row r="487" spans="1:38" ht="6.75" customHeight="1">
      <c r="G487" s="1577"/>
      <c r="H487" s="1577"/>
      <c r="I487" s="1577"/>
      <c r="J487" s="1577"/>
      <c r="K487" s="1577"/>
      <c r="L487" s="1577"/>
      <c r="M487" s="1577"/>
      <c r="N487" s="1577"/>
      <c r="O487" s="1577"/>
      <c r="P487" s="1577"/>
      <c r="Q487" s="1577"/>
      <c r="R487" s="1577"/>
      <c r="S487" s="1577"/>
      <c r="T487" s="1577"/>
      <c r="U487" s="1577"/>
      <c r="V487" s="1577"/>
      <c r="W487" s="1577"/>
      <c r="X487" s="1577"/>
      <c r="Y487" s="1577"/>
      <c r="Z487" s="1577"/>
      <c r="AA487" s="1577"/>
      <c r="AB487" s="1577"/>
      <c r="AC487" s="1577"/>
      <c r="AD487" s="1577"/>
      <c r="AE487" s="1577"/>
      <c r="AF487" s="1574"/>
      <c r="AG487" s="1574"/>
      <c r="AH487" s="1574"/>
      <c r="AI487" s="1574"/>
    </row>
    <row r="488" spans="1:38" ht="11.25" customHeight="1">
      <c r="O488" s="1570" t="s">
        <v>1318</v>
      </c>
      <c r="P488" s="1570"/>
      <c r="Q488" s="1570"/>
      <c r="V488" s="1570" t="s">
        <v>1319</v>
      </c>
      <c r="W488" s="1570"/>
      <c r="X488" s="1570"/>
      <c r="Y488" s="1570"/>
      <c r="AD488" s="1570" t="s">
        <v>1320</v>
      </c>
      <c r="AE488" s="1570"/>
      <c r="AF488" s="1570"/>
      <c r="AG488" s="1570"/>
      <c r="AH488" s="1570"/>
      <c r="AI488" s="1570"/>
      <c r="AJ488" s="1570"/>
    </row>
    <row r="489" spans="1:38" ht="8.4499999999999993" customHeight="1">
      <c r="B489" s="1571" t="s">
        <v>1321</v>
      </c>
      <c r="C489" s="1571"/>
      <c r="D489" s="1571"/>
      <c r="E489" s="1571" t="s">
        <v>1322</v>
      </c>
      <c r="F489" s="1571"/>
      <c r="G489" s="1571"/>
      <c r="J489" s="1571" t="s">
        <v>1323</v>
      </c>
      <c r="K489" s="1571"/>
      <c r="L489" s="1571"/>
      <c r="M489" s="1571"/>
      <c r="N489" s="1571"/>
      <c r="O489" s="1402" t="s">
        <v>1324</v>
      </c>
      <c r="Q489" s="1569" t="s">
        <v>1325</v>
      </c>
      <c r="R489" s="1569"/>
      <c r="U489" s="1569" t="s">
        <v>1324</v>
      </c>
      <c r="V489" s="1569"/>
      <c r="X489" s="1569" t="s">
        <v>1325</v>
      </c>
      <c r="Y489" s="1569"/>
      <c r="Z489" s="1569"/>
      <c r="AC489" s="1569" t="s">
        <v>1324</v>
      </c>
      <c r="AD489" s="1569"/>
      <c r="AE489" s="1569"/>
      <c r="AF489" s="1569"/>
      <c r="AH489" s="1569" t="s">
        <v>1325</v>
      </c>
      <c r="AI489" s="1569"/>
      <c r="AJ489" s="1569"/>
      <c r="AK489" s="1569"/>
    </row>
    <row r="490" spans="1:38" ht="9.9499999999999993" customHeight="1">
      <c r="B490" s="1568" t="s">
        <v>1326</v>
      </c>
      <c r="C490" s="1568"/>
      <c r="D490" s="1568"/>
      <c r="E490" s="1568" t="s">
        <v>1527</v>
      </c>
      <c r="F490" s="1568"/>
      <c r="G490" s="1568"/>
      <c r="H490" s="1568"/>
      <c r="J490" s="1568" t="s">
        <v>2161</v>
      </c>
      <c r="K490" s="1568"/>
      <c r="L490" s="1568"/>
      <c r="M490" s="1566">
        <v>0</v>
      </c>
      <c r="N490" s="1566"/>
      <c r="O490" s="1566"/>
      <c r="P490" s="1566">
        <v>0</v>
      </c>
      <c r="Q490" s="1566"/>
      <c r="R490" s="1566"/>
      <c r="S490" s="1566">
        <v>849.82</v>
      </c>
      <c r="T490" s="1566"/>
      <c r="U490" s="1566"/>
      <c r="V490" s="1566"/>
      <c r="W490" s="1566">
        <v>849.82</v>
      </c>
      <c r="X490" s="1566"/>
      <c r="Y490" s="1566"/>
      <c r="Z490" s="1566"/>
      <c r="AA490" s="1566">
        <v>0</v>
      </c>
      <c r="AB490" s="1566"/>
      <c r="AC490" s="1566"/>
      <c r="AD490" s="1566"/>
      <c r="AE490" s="1566"/>
      <c r="AF490" s="1566"/>
      <c r="AG490" s="1566">
        <v>0</v>
      </c>
      <c r="AH490" s="1566"/>
      <c r="AI490" s="1566"/>
      <c r="AJ490" s="1566"/>
      <c r="AK490" s="1566"/>
    </row>
    <row r="491" spans="1:38" ht="9.4" customHeight="1">
      <c r="B491" s="1568" t="s">
        <v>1326</v>
      </c>
      <c r="C491" s="1568"/>
      <c r="D491" s="1568"/>
      <c r="E491" s="1568" t="s">
        <v>1528</v>
      </c>
      <c r="F491" s="1568"/>
      <c r="G491" s="1568"/>
      <c r="H491" s="1568"/>
      <c r="J491" s="1568" t="s">
        <v>2162</v>
      </c>
      <c r="K491" s="1568"/>
      <c r="L491" s="1568"/>
      <c r="M491" s="1566">
        <v>244573.32</v>
      </c>
      <c r="N491" s="1566"/>
      <c r="O491" s="1566"/>
      <c r="P491" s="1566">
        <v>0</v>
      </c>
      <c r="Q491" s="1566"/>
      <c r="R491" s="1566"/>
      <c r="S491" s="1566">
        <v>292755.73</v>
      </c>
      <c r="T491" s="1566"/>
      <c r="U491" s="1566"/>
      <c r="V491" s="1566"/>
      <c r="W491" s="1566">
        <v>242068.09</v>
      </c>
      <c r="X491" s="1566"/>
      <c r="Y491" s="1566"/>
      <c r="Z491" s="1566"/>
      <c r="AA491" s="1566">
        <v>295260.96000000002</v>
      </c>
      <c r="AB491" s="1566"/>
      <c r="AC491" s="1566"/>
      <c r="AD491" s="1566"/>
      <c r="AE491" s="1566"/>
      <c r="AF491" s="1566"/>
      <c r="AG491" s="1566">
        <v>0</v>
      </c>
      <c r="AH491" s="1566"/>
      <c r="AI491" s="1566"/>
      <c r="AJ491" s="1566"/>
      <c r="AK491" s="1566"/>
    </row>
    <row r="492" spans="1:38" ht="9.4" customHeight="1">
      <c r="B492" s="1568" t="s">
        <v>1326</v>
      </c>
      <c r="C492" s="1568"/>
      <c r="D492" s="1568"/>
      <c r="E492" s="1568" t="s">
        <v>1529</v>
      </c>
      <c r="F492" s="1568"/>
      <c r="G492" s="1568"/>
      <c r="H492" s="1568"/>
      <c r="J492" s="1568" t="s">
        <v>2163</v>
      </c>
      <c r="K492" s="1568"/>
      <c r="L492" s="1568"/>
      <c r="M492" s="1566">
        <v>0</v>
      </c>
      <c r="N492" s="1566"/>
      <c r="O492" s="1566"/>
      <c r="P492" s="1566">
        <v>0</v>
      </c>
      <c r="Q492" s="1566"/>
      <c r="R492" s="1566"/>
      <c r="S492" s="1566">
        <v>296334.40000000002</v>
      </c>
      <c r="T492" s="1566"/>
      <c r="U492" s="1566"/>
      <c r="V492" s="1566"/>
      <c r="W492" s="1566">
        <v>296334.40000000002</v>
      </c>
      <c r="X492" s="1566"/>
      <c r="Y492" s="1566"/>
      <c r="Z492" s="1566"/>
      <c r="AA492" s="1566">
        <v>0</v>
      </c>
      <c r="AB492" s="1566"/>
      <c r="AC492" s="1566"/>
      <c r="AD492" s="1566"/>
      <c r="AE492" s="1566"/>
      <c r="AF492" s="1566"/>
      <c r="AG492" s="1566">
        <v>0</v>
      </c>
      <c r="AH492" s="1566"/>
      <c r="AI492" s="1566"/>
      <c r="AJ492" s="1566"/>
      <c r="AK492" s="1566"/>
    </row>
    <row r="493" spans="1:38" ht="9.4" customHeight="1">
      <c r="B493" s="1568" t="s">
        <v>1326</v>
      </c>
      <c r="C493" s="1568"/>
      <c r="D493" s="1568"/>
      <c r="E493" s="1568" t="s">
        <v>1530</v>
      </c>
      <c r="F493" s="1568"/>
      <c r="G493" s="1568"/>
      <c r="H493" s="1568"/>
      <c r="J493" s="1568" t="s">
        <v>2003</v>
      </c>
      <c r="K493" s="1568"/>
      <c r="L493" s="1568"/>
      <c r="M493" s="1566">
        <v>17560.91</v>
      </c>
      <c r="N493" s="1566"/>
      <c r="O493" s="1566"/>
      <c r="P493" s="1566">
        <v>0</v>
      </c>
      <c r="Q493" s="1566"/>
      <c r="R493" s="1566"/>
      <c r="S493" s="1566">
        <v>1344.73</v>
      </c>
      <c r="T493" s="1566"/>
      <c r="U493" s="1566"/>
      <c r="V493" s="1566"/>
      <c r="W493" s="1566">
        <v>1878.28</v>
      </c>
      <c r="X493" s="1566"/>
      <c r="Y493" s="1566"/>
      <c r="Z493" s="1566"/>
      <c r="AA493" s="1566">
        <v>17027.36</v>
      </c>
      <c r="AB493" s="1566"/>
      <c r="AC493" s="1566"/>
      <c r="AD493" s="1566"/>
      <c r="AE493" s="1566"/>
      <c r="AF493" s="1566"/>
      <c r="AG493" s="1566">
        <v>0</v>
      </c>
      <c r="AH493" s="1566"/>
      <c r="AI493" s="1566"/>
      <c r="AJ493" s="1566"/>
      <c r="AK493" s="1566"/>
    </row>
    <row r="494" spans="1:38" ht="9.4" customHeight="1">
      <c r="B494" s="1568" t="s">
        <v>1326</v>
      </c>
      <c r="C494" s="1568"/>
      <c r="D494" s="1568"/>
      <c r="E494" s="1568" t="s">
        <v>1531</v>
      </c>
      <c r="F494" s="1568"/>
      <c r="G494" s="1568"/>
      <c r="H494" s="1568"/>
      <c r="J494" s="1568" t="s">
        <v>1037</v>
      </c>
      <c r="K494" s="1568"/>
      <c r="L494" s="1568"/>
      <c r="M494" s="1566">
        <v>222360.55</v>
      </c>
      <c r="N494" s="1566"/>
      <c r="O494" s="1566"/>
      <c r="P494" s="1566">
        <v>0</v>
      </c>
      <c r="Q494" s="1566"/>
      <c r="R494" s="1566"/>
      <c r="S494" s="1566">
        <v>7348.69</v>
      </c>
      <c r="T494" s="1566"/>
      <c r="U494" s="1566"/>
      <c r="V494" s="1566"/>
      <c r="W494" s="1566">
        <v>0</v>
      </c>
      <c r="X494" s="1566"/>
      <c r="Y494" s="1566"/>
      <c r="Z494" s="1566"/>
      <c r="AA494" s="1566">
        <v>229709.24</v>
      </c>
      <c r="AB494" s="1566"/>
      <c r="AC494" s="1566"/>
      <c r="AD494" s="1566"/>
      <c r="AE494" s="1566"/>
      <c r="AF494" s="1566"/>
      <c r="AG494" s="1566">
        <v>0</v>
      </c>
      <c r="AH494" s="1566"/>
      <c r="AI494" s="1566"/>
      <c r="AJ494" s="1566"/>
      <c r="AK494" s="1566"/>
    </row>
    <row r="495" spans="1:38" ht="9.4" customHeight="1">
      <c r="B495" s="1568" t="s">
        <v>1326</v>
      </c>
      <c r="C495" s="1568"/>
      <c r="D495" s="1568"/>
      <c r="E495" s="1568" t="s">
        <v>1532</v>
      </c>
      <c r="F495" s="1568"/>
      <c r="G495" s="1568"/>
      <c r="H495" s="1568"/>
      <c r="J495" s="1568" t="s">
        <v>2164</v>
      </c>
      <c r="K495" s="1568"/>
      <c r="L495" s="1568"/>
      <c r="M495" s="1566">
        <v>37794.39</v>
      </c>
      <c r="N495" s="1566"/>
      <c r="O495" s="1566"/>
      <c r="P495" s="1566">
        <v>0</v>
      </c>
      <c r="Q495" s="1566"/>
      <c r="R495" s="1566"/>
      <c r="S495" s="1566">
        <v>61990.29</v>
      </c>
      <c r="T495" s="1566"/>
      <c r="U495" s="1566"/>
      <c r="V495" s="1566"/>
      <c r="W495" s="1566">
        <v>61990.29</v>
      </c>
      <c r="X495" s="1566"/>
      <c r="Y495" s="1566"/>
      <c r="Z495" s="1566"/>
      <c r="AA495" s="1566">
        <v>37794.39</v>
      </c>
      <c r="AB495" s="1566"/>
      <c r="AC495" s="1566"/>
      <c r="AD495" s="1566"/>
      <c r="AE495" s="1566"/>
      <c r="AF495" s="1566"/>
      <c r="AG495" s="1566">
        <v>0</v>
      </c>
      <c r="AH495" s="1566"/>
      <c r="AI495" s="1566"/>
      <c r="AJ495" s="1566"/>
      <c r="AK495" s="1566"/>
    </row>
    <row r="496" spans="1:38" ht="9.4" customHeight="1">
      <c r="B496" s="1568" t="s">
        <v>1326</v>
      </c>
      <c r="C496" s="1568"/>
      <c r="D496" s="1568"/>
      <c r="E496" s="1568" t="s">
        <v>2165</v>
      </c>
      <c r="F496" s="1568"/>
      <c r="G496" s="1568"/>
      <c r="H496" s="1568"/>
      <c r="J496" s="1568" t="s">
        <v>2166</v>
      </c>
      <c r="K496" s="1568"/>
      <c r="L496" s="1568"/>
      <c r="M496" s="1566">
        <v>23102.11</v>
      </c>
      <c r="N496" s="1566"/>
      <c r="O496" s="1566"/>
      <c r="P496" s="1566">
        <v>0</v>
      </c>
      <c r="Q496" s="1566"/>
      <c r="R496" s="1566"/>
      <c r="S496" s="1566">
        <v>4834.4799999999996</v>
      </c>
      <c r="T496" s="1566"/>
      <c r="U496" s="1566"/>
      <c r="V496" s="1566"/>
      <c r="W496" s="1566">
        <v>0</v>
      </c>
      <c r="X496" s="1566"/>
      <c r="Y496" s="1566"/>
      <c r="Z496" s="1566"/>
      <c r="AA496" s="1566">
        <v>27936.59</v>
      </c>
      <c r="AB496" s="1566"/>
      <c r="AC496" s="1566"/>
      <c r="AD496" s="1566"/>
      <c r="AE496" s="1566"/>
      <c r="AF496" s="1566"/>
      <c r="AG496" s="1566">
        <v>0</v>
      </c>
      <c r="AH496" s="1566"/>
      <c r="AI496" s="1566"/>
      <c r="AJ496" s="1566"/>
      <c r="AK496" s="1566"/>
    </row>
    <row r="497" spans="2:37" ht="9.4" customHeight="1">
      <c r="B497" s="1568" t="s">
        <v>1326</v>
      </c>
      <c r="C497" s="1568"/>
      <c r="D497" s="1568"/>
      <c r="E497" s="1568" t="s">
        <v>2965</v>
      </c>
      <c r="F497" s="1568"/>
      <c r="G497" s="1568"/>
      <c r="H497" s="1568"/>
      <c r="J497" s="1568" t="s">
        <v>2966</v>
      </c>
      <c r="K497" s="1568"/>
      <c r="L497" s="1568"/>
      <c r="M497" s="1566">
        <v>343204.64</v>
      </c>
      <c r="N497" s="1566"/>
      <c r="O497" s="1566"/>
      <c r="P497" s="1566">
        <v>0</v>
      </c>
      <c r="Q497" s="1566"/>
      <c r="R497" s="1566"/>
      <c r="S497" s="1566">
        <v>0</v>
      </c>
      <c r="T497" s="1566"/>
      <c r="U497" s="1566"/>
      <c r="V497" s="1566"/>
      <c r="W497" s="1566">
        <v>0</v>
      </c>
      <c r="X497" s="1566"/>
      <c r="Y497" s="1566"/>
      <c r="Z497" s="1566"/>
      <c r="AA497" s="1566">
        <v>343204.64</v>
      </c>
      <c r="AB497" s="1566"/>
      <c r="AC497" s="1566"/>
      <c r="AD497" s="1566"/>
      <c r="AE497" s="1566"/>
      <c r="AF497" s="1566"/>
      <c r="AG497" s="1566">
        <v>0</v>
      </c>
      <c r="AH497" s="1566"/>
      <c r="AI497" s="1566"/>
      <c r="AJ497" s="1566"/>
      <c r="AK497" s="1566"/>
    </row>
    <row r="498" spans="2:37" ht="9.4" customHeight="1">
      <c r="B498" s="1568" t="s">
        <v>1326</v>
      </c>
      <c r="C498" s="1568"/>
      <c r="D498" s="1568"/>
      <c r="E498" s="1568" t="s">
        <v>1533</v>
      </c>
      <c r="F498" s="1568"/>
      <c r="G498" s="1568"/>
      <c r="H498" s="1568"/>
      <c r="J498" s="1568" t="s">
        <v>2167</v>
      </c>
      <c r="K498" s="1568"/>
      <c r="L498" s="1568"/>
      <c r="M498" s="1566">
        <v>52.48</v>
      </c>
      <c r="N498" s="1566"/>
      <c r="O498" s="1566"/>
      <c r="P498" s="1566">
        <v>0</v>
      </c>
      <c r="Q498" s="1566"/>
      <c r="R498" s="1566"/>
      <c r="S498" s="1566">
        <v>280.64999999999998</v>
      </c>
      <c r="T498" s="1566"/>
      <c r="U498" s="1566"/>
      <c r="V498" s="1566"/>
      <c r="W498" s="1566">
        <v>333.13</v>
      </c>
      <c r="X498" s="1566"/>
      <c r="Y498" s="1566"/>
      <c r="Z498" s="1566"/>
      <c r="AA498" s="1566">
        <v>0</v>
      </c>
      <c r="AB498" s="1566"/>
      <c r="AC498" s="1566"/>
      <c r="AD498" s="1566"/>
      <c r="AE498" s="1566"/>
      <c r="AF498" s="1566"/>
      <c r="AG498" s="1566">
        <v>0</v>
      </c>
      <c r="AH498" s="1566"/>
      <c r="AI498" s="1566"/>
      <c r="AJ498" s="1566"/>
      <c r="AK498" s="1566"/>
    </row>
    <row r="499" spans="2:37" ht="9.4" customHeight="1">
      <c r="B499" s="1568" t="s">
        <v>1326</v>
      </c>
      <c r="C499" s="1568"/>
      <c r="D499" s="1568"/>
      <c r="E499" s="1568" t="s">
        <v>1534</v>
      </c>
      <c r="F499" s="1568"/>
      <c r="G499" s="1568"/>
      <c r="H499" s="1568"/>
      <c r="J499" s="1568" t="s">
        <v>2168</v>
      </c>
      <c r="K499" s="1568"/>
      <c r="L499" s="1568"/>
      <c r="M499" s="1566">
        <v>0</v>
      </c>
      <c r="N499" s="1566"/>
      <c r="O499" s="1566"/>
      <c r="P499" s="1566">
        <v>0</v>
      </c>
      <c r="Q499" s="1566"/>
      <c r="R499" s="1566"/>
      <c r="S499" s="1566">
        <v>9735.99</v>
      </c>
      <c r="T499" s="1566"/>
      <c r="U499" s="1566"/>
      <c r="V499" s="1566"/>
      <c r="W499" s="1566">
        <v>9735.99</v>
      </c>
      <c r="X499" s="1566"/>
      <c r="Y499" s="1566"/>
      <c r="Z499" s="1566"/>
      <c r="AA499" s="1566">
        <v>0</v>
      </c>
      <c r="AB499" s="1566"/>
      <c r="AC499" s="1566"/>
      <c r="AD499" s="1566"/>
      <c r="AE499" s="1566"/>
      <c r="AF499" s="1566"/>
      <c r="AG499" s="1566">
        <v>0</v>
      </c>
      <c r="AH499" s="1566"/>
      <c r="AI499" s="1566"/>
      <c r="AJ499" s="1566"/>
      <c r="AK499" s="1566"/>
    </row>
    <row r="500" spans="2:37" ht="9.4" customHeight="1">
      <c r="B500" s="1568" t="s">
        <v>1326</v>
      </c>
      <c r="C500" s="1568"/>
      <c r="D500" s="1568"/>
      <c r="E500" s="1568" t="s">
        <v>1535</v>
      </c>
      <c r="F500" s="1568"/>
      <c r="G500" s="1568"/>
      <c r="H500" s="1568"/>
      <c r="J500" s="1568" t="s">
        <v>2169</v>
      </c>
      <c r="K500" s="1568"/>
      <c r="L500" s="1568"/>
      <c r="M500" s="1566">
        <v>5108.24</v>
      </c>
      <c r="N500" s="1566"/>
      <c r="O500" s="1566"/>
      <c r="P500" s="1566">
        <v>0</v>
      </c>
      <c r="Q500" s="1566"/>
      <c r="R500" s="1566"/>
      <c r="S500" s="1566">
        <v>1229.8399999999999</v>
      </c>
      <c r="T500" s="1566"/>
      <c r="U500" s="1566"/>
      <c r="V500" s="1566"/>
      <c r="W500" s="1566">
        <v>0</v>
      </c>
      <c r="X500" s="1566"/>
      <c r="Y500" s="1566"/>
      <c r="Z500" s="1566"/>
      <c r="AA500" s="1566">
        <v>6338.08</v>
      </c>
      <c r="AB500" s="1566"/>
      <c r="AC500" s="1566"/>
      <c r="AD500" s="1566"/>
      <c r="AE500" s="1566"/>
      <c r="AF500" s="1566"/>
      <c r="AG500" s="1566">
        <v>0</v>
      </c>
      <c r="AH500" s="1566"/>
      <c r="AI500" s="1566"/>
      <c r="AJ500" s="1566"/>
      <c r="AK500" s="1566"/>
    </row>
    <row r="501" spans="2:37" ht="9.4" customHeight="1">
      <c r="B501" s="1568" t="s">
        <v>1326</v>
      </c>
      <c r="C501" s="1568"/>
      <c r="D501" s="1568"/>
      <c r="E501" s="1568" t="s">
        <v>1536</v>
      </c>
      <c r="F501" s="1568"/>
      <c r="G501" s="1568"/>
      <c r="H501" s="1568"/>
      <c r="J501" s="1568" t="s">
        <v>2155</v>
      </c>
      <c r="K501" s="1568"/>
      <c r="L501" s="1568"/>
      <c r="M501" s="1566">
        <v>7546.17</v>
      </c>
      <c r="N501" s="1566"/>
      <c r="O501" s="1566"/>
      <c r="P501" s="1566">
        <v>0</v>
      </c>
      <c r="Q501" s="1566"/>
      <c r="R501" s="1566"/>
      <c r="S501" s="1566">
        <v>3306.85</v>
      </c>
      <c r="T501" s="1566"/>
      <c r="U501" s="1566"/>
      <c r="V501" s="1566"/>
      <c r="W501" s="1566">
        <v>3306.85</v>
      </c>
      <c r="X501" s="1566"/>
      <c r="Y501" s="1566"/>
      <c r="Z501" s="1566"/>
      <c r="AA501" s="1566">
        <v>7546.17</v>
      </c>
      <c r="AB501" s="1566"/>
      <c r="AC501" s="1566"/>
      <c r="AD501" s="1566"/>
      <c r="AE501" s="1566"/>
      <c r="AF501" s="1566"/>
      <c r="AG501" s="1566">
        <v>0</v>
      </c>
      <c r="AH501" s="1566"/>
      <c r="AI501" s="1566"/>
      <c r="AJ501" s="1566"/>
      <c r="AK501" s="1566"/>
    </row>
    <row r="502" spans="2:37" ht="9.4" customHeight="1">
      <c r="B502" s="1568" t="s">
        <v>1326</v>
      </c>
      <c r="C502" s="1568"/>
      <c r="D502" s="1568"/>
      <c r="E502" s="1568" t="s">
        <v>1537</v>
      </c>
      <c r="F502" s="1568"/>
      <c r="G502" s="1568"/>
      <c r="H502" s="1568"/>
      <c r="J502" s="1568" t="s">
        <v>2170</v>
      </c>
      <c r="K502" s="1568"/>
      <c r="L502" s="1568"/>
      <c r="M502" s="1566">
        <v>0</v>
      </c>
      <c r="N502" s="1566"/>
      <c r="O502" s="1566"/>
      <c r="P502" s="1566">
        <v>0</v>
      </c>
      <c r="Q502" s="1566"/>
      <c r="R502" s="1566"/>
      <c r="S502" s="1566">
        <v>6872.75</v>
      </c>
      <c r="T502" s="1566"/>
      <c r="U502" s="1566"/>
      <c r="V502" s="1566"/>
      <c r="W502" s="1566">
        <v>6872.75</v>
      </c>
      <c r="X502" s="1566"/>
      <c r="Y502" s="1566"/>
      <c r="Z502" s="1566"/>
      <c r="AA502" s="1566">
        <v>0</v>
      </c>
      <c r="AB502" s="1566"/>
      <c r="AC502" s="1566"/>
      <c r="AD502" s="1566"/>
      <c r="AE502" s="1566"/>
      <c r="AF502" s="1566"/>
      <c r="AG502" s="1566">
        <v>0</v>
      </c>
      <c r="AH502" s="1566"/>
      <c r="AI502" s="1566"/>
      <c r="AJ502" s="1566"/>
      <c r="AK502" s="1566"/>
    </row>
    <row r="503" spans="2:37" ht="9.4" customHeight="1">
      <c r="B503" s="1568" t="s">
        <v>1326</v>
      </c>
      <c r="C503" s="1568"/>
      <c r="D503" s="1568"/>
      <c r="E503" s="1568" t="s">
        <v>1538</v>
      </c>
      <c r="F503" s="1568"/>
      <c r="G503" s="1568"/>
      <c r="H503" s="1568"/>
      <c r="J503" s="1568" t="s">
        <v>2171</v>
      </c>
      <c r="K503" s="1568"/>
      <c r="L503" s="1568"/>
      <c r="M503" s="1566">
        <v>0</v>
      </c>
      <c r="N503" s="1566"/>
      <c r="O503" s="1566"/>
      <c r="P503" s="1566">
        <v>0</v>
      </c>
      <c r="Q503" s="1566"/>
      <c r="R503" s="1566"/>
      <c r="S503" s="1566">
        <v>3907.96</v>
      </c>
      <c r="T503" s="1566"/>
      <c r="U503" s="1566"/>
      <c r="V503" s="1566"/>
      <c r="W503" s="1566">
        <v>3907.96</v>
      </c>
      <c r="X503" s="1566"/>
      <c r="Y503" s="1566"/>
      <c r="Z503" s="1566"/>
      <c r="AA503" s="1566">
        <v>0</v>
      </c>
      <c r="AB503" s="1566"/>
      <c r="AC503" s="1566"/>
      <c r="AD503" s="1566"/>
      <c r="AE503" s="1566"/>
      <c r="AF503" s="1566"/>
      <c r="AG503" s="1566">
        <v>0</v>
      </c>
      <c r="AH503" s="1566"/>
      <c r="AI503" s="1566"/>
      <c r="AJ503" s="1566"/>
      <c r="AK503" s="1566"/>
    </row>
    <row r="504" spans="2:37" ht="9.4" customHeight="1">
      <c r="B504" s="1568" t="s">
        <v>1326</v>
      </c>
      <c r="C504" s="1568"/>
      <c r="D504" s="1568"/>
      <c r="E504" s="1568" t="s">
        <v>2905</v>
      </c>
      <c r="F504" s="1568"/>
      <c r="G504" s="1568"/>
      <c r="H504" s="1568"/>
      <c r="J504" s="1568" t="s">
        <v>2906</v>
      </c>
      <c r="K504" s="1568"/>
      <c r="L504" s="1568"/>
      <c r="M504" s="1566">
        <v>0</v>
      </c>
      <c r="N504" s="1566"/>
      <c r="O504" s="1566"/>
      <c r="P504" s="1566">
        <v>0</v>
      </c>
      <c r="Q504" s="1566"/>
      <c r="R504" s="1566"/>
      <c r="S504" s="1566">
        <v>1743.42</v>
      </c>
      <c r="T504" s="1566"/>
      <c r="U504" s="1566"/>
      <c r="V504" s="1566"/>
      <c r="W504" s="1566">
        <v>1743.42</v>
      </c>
      <c r="X504" s="1566"/>
      <c r="Y504" s="1566"/>
      <c r="Z504" s="1566"/>
      <c r="AA504" s="1566">
        <v>0</v>
      </c>
      <c r="AB504" s="1566"/>
      <c r="AC504" s="1566"/>
      <c r="AD504" s="1566"/>
      <c r="AE504" s="1566"/>
      <c r="AF504" s="1566"/>
      <c r="AG504" s="1566">
        <v>0</v>
      </c>
      <c r="AH504" s="1566"/>
      <c r="AI504" s="1566"/>
      <c r="AJ504" s="1566"/>
      <c r="AK504" s="1566"/>
    </row>
    <row r="505" spans="2:37" ht="9.4" customHeight="1">
      <c r="B505" s="1568" t="s">
        <v>1326</v>
      </c>
      <c r="C505" s="1568"/>
      <c r="D505" s="1568"/>
      <c r="E505" s="1568" t="s">
        <v>5977</v>
      </c>
      <c r="F505" s="1568"/>
      <c r="G505" s="1568"/>
      <c r="H505" s="1568"/>
      <c r="J505" s="1568" t="s">
        <v>5978</v>
      </c>
      <c r="K505" s="1568"/>
      <c r="L505" s="1568"/>
      <c r="M505" s="1566">
        <v>28591.02</v>
      </c>
      <c r="N505" s="1566"/>
      <c r="O505" s="1566"/>
      <c r="P505" s="1566">
        <v>0</v>
      </c>
      <c r="Q505" s="1566"/>
      <c r="R505" s="1566"/>
      <c r="S505" s="1566">
        <v>34455.040000000001</v>
      </c>
      <c r="T505" s="1566"/>
      <c r="U505" s="1566"/>
      <c r="V505" s="1566"/>
      <c r="W505" s="1566">
        <v>0</v>
      </c>
      <c r="X505" s="1566"/>
      <c r="Y505" s="1566"/>
      <c r="Z505" s="1566"/>
      <c r="AA505" s="1566">
        <v>63046.06</v>
      </c>
      <c r="AB505" s="1566"/>
      <c r="AC505" s="1566"/>
      <c r="AD505" s="1566"/>
      <c r="AE505" s="1566"/>
      <c r="AF505" s="1566"/>
      <c r="AG505" s="1566">
        <v>0</v>
      </c>
      <c r="AH505" s="1566"/>
      <c r="AI505" s="1566"/>
      <c r="AJ505" s="1566"/>
      <c r="AK505" s="1566"/>
    </row>
    <row r="506" spans="2:37" ht="9.4" customHeight="1">
      <c r="B506" s="1568" t="s">
        <v>1326</v>
      </c>
      <c r="C506" s="1568"/>
      <c r="D506" s="1568"/>
      <c r="E506" s="1568" t="s">
        <v>6770</v>
      </c>
      <c r="F506" s="1568"/>
      <c r="G506" s="1568"/>
      <c r="H506" s="1568"/>
      <c r="J506" s="1568" t="s">
        <v>6771</v>
      </c>
      <c r="K506" s="1568"/>
      <c r="L506" s="1568"/>
      <c r="M506" s="1566">
        <v>0</v>
      </c>
      <c r="N506" s="1566"/>
      <c r="O506" s="1566"/>
      <c r="P506" s="1566">
        <v>0</v>
      </c>
      <c r="Q506" s="1566"/>
      <c r="R506" s="1566"/>
      <c r="S506" s="1566">
        <v>4404.0200000000004</v>
      </c>
      <c r="T506" s="1566"/>
      <c r="U506" s="1566"/>
      <c r="V506" s="1566"/>
      <c r="W506" s="1566">
        <v>0</v>
      </c>
      <c r="X506" s="1566"/>
      <c r="Y506" s="1566"/>
      <c r="Z506" s="1566"/>
      <c r="AA506" s="1566">
        <v>4404.0200000000004</v>
      </c>
      <c r="AB506" s="1566"/>
      <c r="AC506" s="1566"/>
      <c r="AD506" s="1566"/>
      <c r="AE506" s="1566"/>
      <c r="AF506" s="1566"/>
      <c r="AG506" s="1566">
        <v>0</v>
      </c>
      <c r="AH506" s="1566"/>
      <c r="AI506" s="1566"/>
      <c r="AJ506" s="1566"/>
      <c r="AK506" s="1566"/>
    </row>
    <row r="507" spans="2:37" ht="9.4" customHeight="1">
      <c r="B507" s="1568" t="s">
        <v>1326</v>
      </c>
      <c r="C507" s="1568"/>
      <c r="D507" s="1568"/>
      <c r="E507" s="1568" t="s">
        <v>6772</v>
      </c>
      <c r="F507" s="1568"/>
      <c r="G507" s="1568"/>
      <c r="H507" s="1568"/>
      <c r="J507" s="1568" t="s">
        <v>6773</v>
      </c>
      <c r="K507" s="1568"/>
      <c r="L507" s="1568"/>
      <c r="M507" s="1566">
        <v>0</v>
      </c>
      <c r="N507" s="1566"/>
      <c r="O507" s="1566"/>
      <c r="P507" s="1566">
        <v>0</v>
      </c>
      <c r="Q507" s="1566"/>
      <c r="R507" s="1566"/>
      <c r="S507" s="1566">
        <v>4404.0200000000004</v>
      </c>
      <c r="T507" s="1566"/>
      <c r="U507" s="1566"/>
      <c r="V507" s="1566"/>
      <c r="W507" s="1566">
        <v>0</v>
      </c>
      <c r="X507" s="1566"/>
      <c r="Y507" s="1566"/>
      <c r="Z507" s="1566"/>
      <c r="AA507" s="1566">
        <v>4404.0200000000004</v>
      </c>
      <c r="AB507" s="1566"/>
      <c r="AC507" s="1566"/>
      <c r="AD507" s="1566"/>
      <c r="AE507" s="1566"/>
      <c r="AF507" s="1566"/>
      <c r="AG507" s="1566">
        <v>0</v>
      </c>
      <c r="AH507" s="1566"/>
      <c r="AI507" s="1566"/>
      <c r="AJ507" s="1566"/>
      <c r="AK507" s="1566"/>
    </row>
    <row r="508" spans="2:37" ht="9.4" customHeight="1">
      <c r="B508" s="1568" t="s">
        <v>1326</v>
      </c>
      <c r="C508" s="1568"/>
      <c r="D508" s="1568"/>
      <c r="E508" s="1568" t="s">
        <v>2995</v>
      </c>
      <c r="F508" s="1568"/>
      <c r="G508" s="1568"/>
      <c r="H508" s="1568"/>
      <c r="J508" s="1568" t="s">
        <v>2996</v>
      </c>
      <c r="K508" s="1568"/>
      <c r="L508" s="1568"/>
      <c r="M508" s="1566">
        <v>0</v>
      </c>
      <c r="N508" s="1566"/>
      <c r="O508" s="1566"/>
      <c r="P508" s="1566">
        <v>0</v>
      </c>
      <c r="Q508" s="1566"/>
      <c r="R508" s="1566"/>
      <c r="S508" s="1566">
        <v>7305424.6799999997</v>
      </c>
      <c r="T508" s="1566"/>
      <c r="U508" s="1566"/>
      <c r="V508" s="1566"/>
      <c r="W508" s="1566">
        <v>7305424.6799999997</v>
      </c>
      <c r="X508" s="1566"/>
      <c r="Y508" s="1566"/>
      <c r="Z508" s="1566"/>
      <c r="AA508" s="1566">
        <v>0</v>
      </c>
      <c r="AB508" s="1566"/>
      <c r="AC508" s="1566"/>
      <c r="AD508" s="1566"/>
      <c r="AE508" s="1566"/>
      <c r="AF508" s="1566"/>
      <c r="AG508" s="1566">
        <v>0</v>
      </c>
      <c r="AH508" s="1566"/>
      <c r="AI508" s="1566"/>
      <c r="AJ508" s="1566"/>
      <c r="AK508" s="1566"/>
    </row>
    <row r="509" spans="2:37" ht="17.25" customHeight="1">
      <c r="J509" s="1568"/>
      <c r="K509" s="1568"/>
      <c r="L509" s="1568"/>
    </row>
    <row r="510" spans="2:37" ht="8.4499999999999993" customHeight="1">
      <c r="B510" s="1568" t="s">
        <v>1326</v>
      </c>
      <c r="C510" s="1568"/>
      <c r="D510" s="1568"/>
      <c r="E510" s="1568" t="s">
        <v>4159</v>
      </c>
      <c r="F510" s="1568"/>
      <c r="G510" s="1568"/>
      <c r="H510" s="1568"/>
      <c r="J510" s="1568" t="s">
        <v>91</v>
      </c>
      <c r="K510" s="1568"/>
      <c r="L510" s="1568"/>
      <c r="M510" s="1566">
        <v>0</v>
      </c>
      <c r="N510" s="1566"/>
      <c r="O510" s="1566"/>
      <c r="P510" s="1566">
        <v>0</v>
      </c>
      <c r="Q510" s="1566"/>
      <c r="R510" s="1566"/>
      <c r="S510" s="1566">
        <v>962660.4</v>
      </c>
      <c r="T510" s="1566"/>
      <c r="U510" s="1566"/>
      <c r="V510" s="1566"/>
      <c r="W510" s="1566">
        <v>962660.4</v>
      </c>
      <c r="X510" s="1566"/>
      <c r="Y510" s="1566"/>
      <c r="Z510" s="1566"/>
      <c r="AA510" s="1566">
        <v>0</v>
      </c>
      <c r="AB510" s="1566"/>
      <c r="AC510" s="1566"/>
      <c r="AD510" s="1566"/>
      <c r="AE510" s="1566"/>
      <c r="AF510" s="1566"/>
      <c r="AG510" s="1566">
        <v>0</v>
      </c>
      <c r="AH510" s="1566"/>
      <c r="AI510" s="1566"/>
      <c r="AJ510" s="1566"/>
      <c r="AK510" s="1566"/>
    </row>
    <row r="511" spans="2:37" ht="9.4" customHeight="1">
      <c r="B511" s="1568" t="s">
        <v>1326</v>
      </c>
      <c r="C511" s="1568"/>
      <c r="D511" s="1568"/>
      <c r="E511" s="1568" t="s">
        <v>2997</v>
      </c>
      <c r="F511" s="1568"/>
      <c r="G511" s="1568"/>
      <c r="H511" s="1568"/>
      <c r="J511" s="1568" t="s">
        <v>2998</v>
      </c>
      <c r="K511" s="1568"/>
      <c r="L511" s="1568"/>
      <c r="M511" s="1566">
        <v>0</v>
      </c>
      <c r="N511" s="1566"/>
      <c r="O511" s="1566"/>
      <c r="P511" s="1566">
        <v>0</v>
      </c>
      <c r="Q511" s="1566"/>
      <c r="R511" s="1566"/>
      <c r="S511" s="1566">
        <v>962673.59</v>
      </c>
      <c r="T511" s="1566"/>
      <c r="U511" s="1566"/>
      <c r="V511" s="1566"/>
      <c r="W511" s="1566">
        <v>962673.59</v>
      </c>
      <c r="X511" s="1566"/>
      <c r="Y511" s="1566"/>
      <c r="Z511" s="1566"/>
      <c r="AA511" s="1566">
        <v>0</v>
      </c>
      <c r="AB511" s="1566"/>
      <c r="AC511" s="1566"/>
      <c r="AD511" s="1566"/>
      <c r="AE511" s="1566"/>
      <c r="AF511" s="1566"/>
      <c r="AG511" s="1566">
        <v>0</v>
      </c>
      <c r="AH511" s="1566"/>
      <c r="AI511" s="1566"/>
      <c r="AJ511" s="1566"/>
      <c r="AK511" s="1566"/>
    </row>
    <row r="512" spans="2:37" ht="9.1999999999999993" customHeight="1">
      <c r="J512" s="1568"/>
      <c r="K512" s="1568"/>
      <c r="L512" s="1568"/>
    </row>
    <row r="513" spans="2:37" ht="8.4499999999999993" customHeight="1">
      <c r="B513" s="1568" t="s">
        <v>1326</v>
      </c>
      <c r="C513" s="1568"/>
      <c r="D513" s="1568"/>
      <c r="E513" s="1568" t="s">
        <v>2999</v>
      </c>
      <c r="F513" s="1568"/>
      <c r="G513" s="1568"/>
      <c r="H513" s="1568"/>
      <c r="J513" s="1568" t="s">
        <v>3000</v>
      </c>
      <c r="K513" s="1568"/>
      <c r="L513" s="1568"/>
      <c r="M513" s="1566">
        <v>0</v>
      </c>
      <c r="N513" s="1566"/>
      <c r="O513" s="1566"/>
      <c r="P513" s="1566">
        <v>0</v>
      </c>
      <c r="Q513" s="1566"/>
      <c r="R513" s="1566"/>
      <c r="S513" s="1566">
        <v>-13.19</v>
      </c>
      <c r="T513" s="1566"/>
      <c r="U513" s="1566"/>
      <c r="V513" s="1566"/>
      <c r="W513" s="1566">
        <v>-13.19</v>
      </c>
      <c r="X513" s="1566"/>
      <c r="Y513" s="1566"/>
      <c r="Z513" s="1566"/>
      <c r="AA513" s="1566">
        <v>0</v>
      </c>
      <c r="AB513" s="1566"/>
      <c r="AC513" s="1566"/>
      <c r="AD513" s="1566"/>
      <c r="AE513" s="1566"/>
      <c r="AF513" s="1566"/>
      <c r="AG513" s="1566">
        <v>0</v>
      </c>
      <c r="AH513" s="1566"/>
      <c r="AI513" s="1566"/>
      <c r="AJ513" s="1566"/>
      <c r="AK513" s="1566"/>
    </row>
    <row r="514" spans="2:37" ht="9.4" customHeight="1">
      <c r="B514" s="1568" t="s">
        <v>1326</v>
      </c>
      <c r="C514" s="1568"/>
      <c r="D514" s="1568"/>
      <c r="E514" s="1568" t="s">
        <v>1539</v>
      </c>
      <c r="F514" s="1568"/>
      <c r="G514" s="1568"/>
      <c r="H514" s="1568"/>
      <c r="J514" s="1568" t="s">
        <v>1540</v>
      </c>
      <c r="K514" s="1568"/>
      <c r="L514" s="1568"/>
      <c r="M514" s="1566">
        <v>24997.27</v>
      </c>
      <c r="N514" s="1566"/>
      <c r="O514" s="1566"/>
      <c r="P514" s="1566">
        <v>0</v>
      </c>
      <c r="Q514" s="1566"/>
      <c r="R514" s="1566"/>
      <c r="S514" s="1566">
        <v>9699.2000000000007</v>
      </c>
      <c r="T514" s="1566"/>
      <c r="U514" s="1566"/>
      <c r="V514" s="1566"/>
      <c r="W514" s="1566">
        <v>9699.2000000000007</v>
      </c>
      <c r="X514" s="1566"/>
      <c r="Y514" s="1566"/>
      <c r="Z514" s="1566"/>
      <c r="AA514" s="1566">
        <v>24997.27</v>
      </c>
      <c r="AB514" s="1566"/>
      <c r="AC514" s="1566"/>
      <c r="AD514" s="1566"/>
      <c r="AE514" s="1566"/>
      <c r="AF514" s="1566"/>
      <c r="AG514" s="1566">
        <v>0</v>
      </c>
      <c r="AH514" s="1566"/>
      <c r="AI514" s="1566"/>
      <c r="AJ514" s="1566"/>
      <c r="AK514" s="1566"/>
    </row>
    <row r="515" spans="2:37" ht="9.4" customHeight="1">
      <c r="B515" s="1568" t="s">
        <v>1326</v>
      </c>
      <c r="C515" s="1568"/>
      <c r="D515" s="1568"/>
      <c r="E515" s="1568" t="s">
        <v>4158</v>
      </c>
      <c r="F515" s="1568"/>
      <c r="G515" s="1568"/>
      <c r="H515" s="1568"/>
      <c r="J515" s="1568" t="s">
        <v>4160</v>
      </c>
      <c r="K515" s="1568"/>
      <c r="L515" s="1568"/>
      <c r="M515" s="1566">
        <v>0</v>
      </c>
      <c r="N515" s="1566"/>
      <c r="O515" s="1566"/>
      <c r="P515" s="1566">
        <v>0</v>
      </c>
      <c r="Q515" s="1566"/>
      <c r="R515" s="1566"/>
      <c r="S515" s="1566">
        <v>0</v>
      </c>
      <c r="T515" s="1566"/>
      <c r="U515" s="1566"/>
      <c r="V515" s="1566"/>
      <c r="W515" s="1566">
        <v>0</v>
      </c>
      <c r="X515" s="1566"/>
      <c r="Y515" s="1566"/>
      <c r="Z515" s="1566"/>
      <c r="AA515" s="1566">
        <v>0</v>
      </c>
      <c r="AB515" s="1566"/>
      <c r="AC515" s="1566"/>
      <c r="AD515" s="1566"/>
      <c r="AE515" s="1566"/>
      <c r="AF515" s="1566"/>
      <c r="AG515" s="1566">
        <v>0</v>
      </c>
      <c r="AH515" s="1566"/>
      <c r="AI515" s="1566"/>
      <c r="AJ515" s="1566"/>
      <c r="AK515" s="1566"/>
    </row>
    <row r="516" spans="2:37" ht="9.4" customHeight="1">
      <c r="B516" s="1568" t="s">
        <v>1326</v>
      </c>
      <c r="C516" s="1568"/>
      <c r="D516" s="1568"/>
      <c r="E516" s="1568" t="s">
        <v>1541</v>
      </c>
      <c r="F516" s="1568"/>
      <c r="G516" s="1568"/>
      <c r="H516" s="1568"/>
      <c r="J516" s="1568" t="s">
        <v>2172</v>
      </c>
      <c r="K516" s="1568"/>
      <c r="L516" s="1568"/>
      <c r="M516" s="1566">
        <v>9699.2000000000007</v>
      </c>
      <c r="N516" s="1566"/>
      <c r="O516" s="1566"/>
      <c r="P516" s="1566">
        <v>0</v>
      </c>
      <c r="Q516" s="1566"/>
      <c r="R516" s="1566"/>
      <c r="S516" s="1566">
        <v>9699.2000000000007</v>
      </c>
      <c r="T516" s="1566"/>
      <c r="U516" s="1566"/>
      <c r="V516" s="1566"/>
      <c r="W516" s="1566">
        <v>9699.2000000000007</v>
      </c>
      <c r="X516" s="1566"/>
      <c r="Y516" s="1566"/>
      <c r="Z516" s="1566"/>
      <c r="AA516" s="1566">
        <v>9699.2000000000007</v>
      </c>
      <c r="AB516" s="1566"/>
      <c r="AC516" s="1566"/>
      <c r="AD516" s="1566"/>
      <c r="AE516" s="1566"/>
      <c r="AF516" s="1566"/>
      <c r="AG516" s="1566">
        <v>0</v>
      </c>
      <c r="AH516" s="1566"/>
      <c r="AI516" s="1566"/>
      <c r="AJ516" s="1566"/>
      <c r="AK516" s="1566"/>
    </row>
    <row r="517" spans="2:37" ht="9.4" customHeight="1">
      <c r="B517" s="1568" t="s">
        <v>1326</v>
      </c>
      <c r="C517" s="1568"/>
      <c r="D517" s="1568"/>
      <c r="E517" s="1568" t="s">
        <v>1787</v>
      </c>
      <c r="F517" s="1568"/>
      <c r="G517" s="1568"/>
      <c r="H517" s="1568"/>
      <c r="J517" s="1568" t="s">
        <v>2173</v>
      </c>
      <c r="K517" s="1568"/>
      <c r="L517" s="1568"/>
      <c r="M517" s="1566">
        <v>0</v>
      </c>
      <c r="N517" s="1566"/>
      <c r="O517" s="1566"/>
      <c r="P517" s="1566">
        <v>0</v>
      </c>
      <c r="Q517" s="1566"/>
      <c r="R517" s="1566"/>
      <c r="S517" s="1566">
        <v>0</v>
      </c>
      <c r="T517" s="1566"/>
      <c r="U517" s="1566"/>
      <c r="V517" s="1566"/>
      <c r="W517" s="1566">
        <v>0</v>
      </c>
      <c r="X517" s="1566"/>
      <c r="Y517" s="1566"/>
      <c r="Z517" s="1566"/>
      <c r="AA517" s="1566">
        <v>0</v>
      </c>
      <c r="AB517" s="1566"/>
      <c r="AC517" s="1566"/>
      <c r="AD517" s="1566"/>
      <c r="AE517" s="1566"/>
      <c r="AF517" s="1566"/>
      <c r="AG517" s="1566">
        <v>0</v>
      </c>
      <c r="AH517" s="1566"/>
      <c r="AI517" s="1566"/>
      <c r="AJ517" s="1566"/>
      <c r="AK517" s="1566"/>
    </row>
    <row r="518" spans="2:37" ht="9.4" customHeight="1">
      <c r="B518" s="1568" t="s">
        <v>1326</v>
      </c>
      <c r="C518" s="1568"/>
      <c r="D518" s="1568"/>
      <c r="E518" s="1568" t="s">
        <v>3248</v>
      </c>
      <c r="F518" s="1568"/>
      <c r="G518" s="1568"/>
      <c r="H518" s="1568"/>
      <c r="J518" s="1568" t="s">
        <v>3253</v>
      </c>
      <c r="K518" s="1568"/>
      <c r="L518" s="1568"/>
      <c r="M518" s="1566">
        <v>0</v>
      </c>
      <c r="N518" s="1566"/>
      <c r="O518" s="1566"/>
      <c r="P518" s="1566">
        <v>0</v>
      </c>
      <c r="Q518" s="1566"/>
      <c r="R518" s="1566"/>
      <c r="S518" s="1566">
        <v>0</v>
      </c>
      <c r="T518" s="1566"/>
      <c r="U518" s="1566"/>
      <c r="V518" s="1566"/>
      <c r="W518" s="1566">
        <v>0</v>
      </c>
      <c r="X518" s="1566"/>
      <c r="Y518" s="1566"/>
      <c r="Z518" s="1566"/>
      <c r="AA518" s="1566">
        <v>0</v>
      </c>
      <c r="AB518" s="1566"/>
      <c r="AC518" s="1566"/>
      <c r="AD518" s="1566"/>
      <c r="AE518" s="1566"/>
      <c r="AF518" s="1566"/>
      <c r="AG518" s="1566">
        <v>0</v>
      </c>
      <c r="AH518" s="1566"/>
      <c r="AI518" s="1566"/>
      <c r="AJ518" s="1566"/>
      <c r="AK518" s="1566"/>
    </row>
    <row r="519" spans="2:37" ht="9.4" customHeight="1">
      <c r="B519" s="1568" t="s">
        <v>1326</v>
      </c>
      <c r="C519" s="1568"/>
      <c r="D519" s="1568"/>
      <c r="E519" s="1568" t="s">
        <v>5511</v>
      </c>
      <c r="F519" s="1568"/>
      <c r="G519" s="1568"/>
      <c r="H519" s="1568"/>
      <c r="J519" s="1568" t="s">
        <v>5512</v>
      </c>
      <c r="K519" s="1568"/>
      <c r="L519" s="1568"/>
      <c r="M519" s="1566">
        <v>15298.07</v>
      </c>
      <c r="N519" s="1566"/>
      <c r="O519" s="1566"/>
      <c r="P519" s="1566">
        <v>0</v>
      </c>
      <c r="Q519" s="1566"/>
      <c r="R519" s="1566"/>
      <c r="S519" s="1566">
        <v>0</v>
      </c>
      <c r="T519" s="1566"/>
      <c r="U519" s="1566"/>
      <c r="V519" s="1566"/>
      <c r="W519" s="1566">
        <v>0</v>
      </c>
      <c r="X519" s="1566"/>
      <c r="Y519" s="1566"/>
      <c r="Z519" s="1566"/>
      <c r="AA519" s="1566">
        <v>15298.07</v>
      </c>
      <c r="AB519" s="1566"/>
      <c r="AC519" s="1566"/>
      <c r="AD519" s="1566"/>
      <c r="AE519" s="1566"/>
      <c r="AF519" s="1566"/>
      <c r="AG519" s="1566">
        <v>0</v>
      </c>
      <c r="AH519" s="1566"/>
      <c r="AI519" s="1566"/>
      <c r="AJ519" s="1566"/>
      <c r="AK519" s="1566"/>
    </row>
    <row r="520" spans="2:37" ht="9.4" customHeight="1">
      <c r="B520" s="1568" t="s">
        <v>1326</v>
      </c>
      <c r="C520" s="1568"/>
      <c r="D520" s="1568"/>
      <c r="E520" s="1568" t="s">
        <v>1542</v>
      </c>
      <c r="F520" s="1568"/>
      <c r="G520" s="1568"/>
      <c r="H520" s="1568"/>
      <c r="J520" s="1568" t="s">
        <v>212</v>
      </c>
      <c r="K520" s="1568"/>
      <c r="L520" s="1568"/>
      <c r="M520" s="1566">
        <v>8220036.6399999997</v>
      </c>
      <c r="N520" s="1566"/>
      <c r="O520" s="1566"/>
      <c r="P520" s="1566">
        <v>0</v>
      </c>
      <c r="Q520" s="1566"/>
      <c r="R520" s="1566"/>
      <c r="S520" s="1566">
        <v>2508541.27</v>
      </c>
      <c r="T520" s="1566"/>
      <c r="U520" s="1566"/>
      <c r="V520" s="1566"/>
      <c r="W520" s="1566">
        <v>2177415.5499999998</v>
      </c>
      <c r="X520" s="1566"/>
      <c r="Y520" s="1566"/>
      <c r="Z520" s="1566"/>
      <c r="AA520" s="1566">
        <v>8551162.3599999994</v>
      </c>
      <c r="AB520" s="1566"/>
      <c r="AC520" s="1566"/>
      <c r="AD520" s="1566"/>
      <c r="AE520" s="1566"/>
      <c r="AF520" s="1566"/>
      <c r="AG520" s="1566">
        <v>0</v>
      </c>
      <c r="AH520" s="1566"/>
      <c r="AI520" s="1566"/>
      <c r="AJ520" s="1566"/>
      <c r="AK520" s="1566"/>
    </row>
    <row r="521" spans="2:37" ht="9.4" customHeight="1">
      <c r="B521" s="1568" t="s">
        <v>1326</v>
      </c>
      <c r="C521" s="1568"/>
      <c r="D521" s="1568"/>
      <c r="E521" s="1568" t="s">
        <v>1543</v>
      </c>
      <c r="F521" s="1568"/>
      <c r="G521" s="1568"/>
      <c r="H521" s="1568"/>
      <c r="J521" s="1568" t="s">
        <v>2174</v>
      </c>
      <c r="K521" s="1568"/>
      <c r="L521" s="1568"/>
      <c r="M521" s="1566">
        <v>0</v>
      </c>
      <c r="N521" s="1566"/>
      <c r="O521" s="1566"/>
      <c r="P521" s="1566">
        <v>0</v>
      </c>
      <c r="Q521" s="1566"/>
      <c r="R521" s="1566"/>
      <c r="S521" s="1566">
        <v>1783613.11</v>
      </c>
      <c r="T521" s="1566"/>
      <c r="U521" s="1566"/>
      <c r="V521" s="1566"/>
      <c r="W521" s="1566">
        <v>1783613.11</v>
      </c>
      <c r="X521" s="1566"/>
      <c r="Y521" s="1566"/>
      <c r="Z521" s="1566"/>
      <c r="AA521" s="1566">
        <v>0</v>
      </c>
      <c r="AB521" s="1566"/>
      <c r="AC521" s="1566"/>
      <c r="AD521" s="1566"/>
      <c r="AE521" s="1566"/>
      <c r="AF521" s="1566"/>
      <c r="AG521" s="1566">
        <v>0</v>
      </c>
      <c r="AH521" s="1566"/>
      <c r="AI521" s="1566"/>
      <c r="AJ521" s="1566"/>
      <c r="AK521" s="1566"/>
    </row>
    <row r="522" spans="2:37" ht="9.4" customHeight="1">
      <c r="B522" s="1568" t="s">
        <v>1326</v>
      </c>
      <c r="C522" s="1568"/>
      <c r="D522" s="1568"/>
      <c r="E522" s="1568" t="s">
        <v>1544</v>
      </c>
      <c r="F522" s="1568"/>
      <c r="G522" s="1568"/>
      <c r="H522" s="1568"/>
      <c r="J522" s="1568" t="s">
        <v>2175</v>
      </c>
      <c r="K522" s="1568"/>
      <c r="L522" s="1568"/>
      <c r="M522" s="1566">
        <v>0</v>
      </c>
      <c r="N522" s="1566"/>
      <c r="O522" s="1566"/>
      <c r="P522" s="1566">
        <v>0</v>
      </c>
      <c r="Q522" s="1566"/>
      <c r="R522" s="1566"/>
      <c r="S522" s="1566">
        <v>56615.81</v>
      </c>
      <c r="T522" s="1566"/>
      <c r="U522" s="1566"/>
      <c r="V522" s="1566"/>
      <c r="W522" s="1566">
        <v>56615.81</v>
      </c>
      <c r="X522" s="1566"/>
      <c r="Y522" s="1566"/>
      <c r="Z522" s="1566"/>
      <c r="AA522" s="1566">
        <v>0</v>
      </c>
      <c r="AB522" s="1566"/>
      <c r="AC522" s="1566"/>
      <c r="AD522" s="1566"/>
      <c r="AE522" s="1566"/>
      <c r="AF522" s="1566"/>
      <c r="AG522" s="1566">
        <v>0</v>
      </c>
      <c r="AH522" s="1566"/>
      <c r="AI522" s="1566"/>
      <c r="AJ522" s="1566"/>
      <c r="AK522" s="1566"/>
    </row>
    <row r="523" spans="2:37" ht="9.4" customHeight="1">
      <c r="B523" s="1568" t="s">
        <v>1326</v>
      </c>
      <c r="C523" s="1568"/>
      <c r="D523" s="1568"/>
      <c r="E523" s="1568" t="s">
        <v>1545</v>
      </c>
      <c r="F523" s="1568"/>
      <c r="G523" s="1568"/>
      <c r="H523" s="1568"/>
      <c r="J523" s="1568" t="s">
        <v>2176</v>
      </c>
      <c r="K523" s="1568"/>
      <c r="L523" s="1568"/>
      <c r="M523" s="1566">
        <v>71614.13</v>
      </c>
      <c r="N523" s="1566"/>
      <c r="O523" s="1566"/>
      <c r="P523" s="1566">
        <v>0</v>
      </c>
      <c r="Q523" s="1566"/>
      <c r="R523" s="1566"/>
      <c r="S523" s="1566">
        <v>648446.75</v>
      </c>
      <c r="T523" s="1566"/>
      <c r="U523" s="1566"/>
      <c r="V523" s="1566"/>
      <c r="W523" s="1566">
        <v>71614.13</v>
      </c>
      <c r="X523" s="1566"/>
      <c r="Y523" s="1566"/>
      <c r="Z523" s="1566"/>
      <c r="AA523" s="1566">
        <v>648446.75</v>
      </c>
      <c r="AB523" s="1566"/>
      <c r="AC523" s="1566"/>
      <c r="AD523" s="1566"/>
      <c r="AE523" s="1566"/>
      <c r="AF523" s="1566"/>
      <c r="AG523" s="1566">
        <v>0</v>
      </c>
      <c r="AH523" s="1566"/>
      <c r="AI523" s="1566"/>
      <c r="AJ523" s="1566"/>
      <c r="AK523" s="1566"/>
    </row>
    <row r="524" spans="2:37" ht="9.4" customHeight="1">
      <c r="B524" s="1568" t="s">
        <v>1326</v>
      </c>
      <c r="C524" s="1568"/>
      <c r="D524" s="1568"/>
      <c r="E524" s="1568" t="s">
        <v>1546</v>
      </c>
      <c r="F524" s="1568"/>
      <c r="G524" s="1568"/>
      <c r="H524" s="1568"/>
      <c r="J524" s="1568" t="s">
        <v>2177</v>
      </c>
      <c r="K524" s="1568"/>
      <c r="L524" s="1568"/>
      <c r="M524" s="1566">
        <v>2315.77</v>
      </c>
      <c r="N524" s="1566"/>
      <c r="O524" s="1566"/>
      <c r="P524" s="1566">
        <v>0</v>
      </c>
      <c r="Q524" s="1566"/>
      <c r="R524" s="1566"/>
      <c r="S524" s="1566">
        <v>19865.599999999999</v>
      </c>
      <c r="T524" s="1566"/>
      <c r="U524" s="1566"/>
      <c r="V524" s="1566"/>
      <c r="W524" s="1566">
        <v>12075.77</v>
      </c>
      <c r="X524" s="1566"/>
      <c r="Y524" s="1566"/>
      <c r="Z524" s="1566"/>
      <c r="AA524" s="1566">
        <v>10105.6</v>
      </c>
      <c r="AB524" s="1566"/>
      <c r="AC524" s="1566"/>
      <c r="AD524" s="1566"/>
      <c r="AE524" s="1566"/>
      <c r="AF524" s="1566"/>
      <c r="AG524" s="1566">
        <v>0</v>
      </c>
      <c r="AH524" s="1566"/>
      <c r="AI524" s="1566"/>
      <c r="AJ524" s="1566"/>
      <c r="AK524" s="1566"/>
    </row>
    <row r="525" spans="2:37" ht="9.4" customHeight="1">
      <c r="B525" s="1568" t="s">
        <v>1326</v>
      </c>
      <c r="C525" s="1568"/>
      <c r="D525" s="1568"/>
      <c r="E525" s="1568" t="s">
        <v>3254</v>
      </c>
      <c r="F525" s="1568"/>
      <c r="G525" s="1568"/>
      <c r="H525" s="1568"/>
      <c r="J525" s="1568" t="s">
        <v>3255</v>
      </c>
      <c r="K525" s="1568"/>
      <c r="L525" s="1568"/>
      <c r="M525" s="1566">
        <v>1029980.53</v>
      </c>
      <c r="N525" s="1566"/>
      <c r="O525" s="1566"/>
      <c r="P525" s="1566">
        <v>0</v>
      </c>
      <c r="Q525" s="1566"/>
      <c r="R525" s="1566"/>
      <c r="S525" s="1566">
        <v>0</v>
      </c>
      <c r="T525" s="1566"/>
      <c r="U525" s="1566"/>
      <c r="V525" s="1566"/>
      <c r="W525" s="1566">
        <v>253496.73</v>
      </c>
      <c r="X525" s="1566"/>
      <c r="Y525" s="1566"/>
      <c r="Z525" s="1566"/>
      <c r="AA525" s="1566">
        <v>776483.8</v>
      </c>
      <c r="AB525" s="1566"/>
      <c r="AC525" s="1566"/>
      <c r="AD525" s="1566"/>
      <c r="AE525" s="1566"/>
      <c r="AF525" s="1566"/>
      <c r="AG525" s="1566">
        <v>0</v>
      </c>
      <c r="AH525" s="1566"/>
      <c r="AI525" s="1566"/>
      <c r="AJ525" s="1566"/>
      <c r="AK525" s="1566"/>
    </row>
    <row r="526" spans="2:37" ht="9.4" customHeight="1">
      <c r="B526" s="1568" t="s">
        <v>1326</v>
      </c>
      <c r="C526" s="1568"/>
      <c r="D526" s="1568"/>
      <c r="E526" s="1568" t="s">
        <v>3277</v>
      </c>
      <c r="F526" s="1568"/>
      <c r="G526" s="1568"/>
      <c r="H526" s="1568"/>
      <c r="J526" s="1568" t="s">
        <v>3278</v>
      </c>
      <c r="K526" s="1568"/>
      <c r="L526" s="1568"/>
      <c r="M526" s="1566">
        <v>1424976.41</v>
      </c>
      <c r="N526" s="1566"/>
      <c r="O526" s="1566"/>
      <c r="P526" s="1566">
        <v>0</v>
      </c>
      <c r="Q526" s="1566"/>
      <c r="R526" s="1566"/>
      <c r="S526" s="1566">
        <v>0</v>
      </c>
      <c r="T526" s="1566"/>
      <c r="U526" s="1566"/>
      <c r="V526" s="1566"/>
      <c r="W526" s="1566">
        <v>0</v>
      </c>
      <c r="X526" s="1566"/>
      <c r="Y526" s="1566"/>
      <c r="Z526" s="1566"/>
      <c r="AA526" s="1566">
        <v>1424976.41</v>
      </c>
      <c r="AB526" s="1566"/>
      <c r="AC526" s="1566"/>
      <c r="AD526" s="1566"/>
      <c r="AE526" s="1566"/>
      <c r="AF526" s="1566"/>
      <c r="AG526" s="1566">
        <v>0</v>
      </c>
      <c r="AH526" s="1566"/>
      <c r="AI526" s="1566"/>
      <c r="AJ526" s="1566"/>
      <c r="AK526" s="1566"/>
    </row>
    <row r="527" spans="2:37" ht="9.4" customHeight="1">
      <c r="B527" s="1568" t="s">
        <v>1326</v>
      </c>
      <c r="C527" s="1568"/>
      <c r="D527" s="1568"/>
      <c r="E527" s="1568" t="s">
        <v>3371</v>
      </c>
      <c r="F527" s="1568"/>
      <c r="G527" s="1568"/>
      <c r="H527" s="1568"/>
      <c r="J527" s="1568" t="s">
        <v>3372</v>
      </c>
      <c r="K527" s="1568"/>
      <c r="L527" s="1568"/>
      <c r="M527" s="1566">
        <v>208519.1</v>
      </c>
      <c r="N527" s="1566"/>
      <c r="O527" s="1566"/>
      <c r="P527" s="1566">
        <v>0</v>
      </c>
      <c r="Q527" s="1566"/>
      <c r="R527" s="1566"/>
      <c r="S527" s="1566">
        <v>0</v>
      </c>
      <c r="T527" s="1566"/>
      <c r="U527" s="1566"/>
      <c r="V527" s="1566"/>
      <c r="W527" s="1566">
        <v>0</v>
      </c>
      <c r="X527" s="1566"/>
      <c r="Y527" s="1566"/>
      <c r="Z527" s="1566"/>
      <c r="AA527" s="1566">
        <v>208519.1</v>
      </c>
      <c r="AB527" s="1566"/>
      <c r="AC527" s="1566"/>
      <c r="AD527" s="1566"/>
      <c r="AE527" s="1566"/>
      <c r="AF527" s="1566"/>
      <c r="AG527" s="1566">
        <v>0</v>
      </c>
      <c r="AH527" s="1566"/>
      <c r="AI527" s="1566"/>
      <c r="AJ527" s="1566"/>
      <c r="AK527" s="1566"/>
    </row>
    <row r="528" spans="2:37" ht="9.4" customHeight="1">
      <c r="B528" s="1568" t="s">
        <v>1326</v>
      </c>
      <c r="C528" s="1568"/>
      <c r="D528" s="1568"/>
      <c r="E528" s="1568" t="s">
        <v>4117</v>
      </c>
      <c r="F528" s="1568"/>
      <c r="G528" s="1568"/>
      <c r="H528" s="1568"/>
      <c r="J528" s="1568" t="s">
        <v>4118</v>
      </c>
      <c r="K528" s="1568"/>
      <c r="L528" s="1568"/>
      <c r="M528" s="1566">
        <v>689146.37</v>
      </c>
      <c r="N528" s="1566"/>
      <c r="O528" s="1566"/>
      <c r="P528" s="1566">
        <v>0</v>
      </c>
      <c r="Q528" s="1566"/>
      <c r="R528" s="1566"/>
      <c r="S528" s="1566">
        <v>0</v>
      </c>
      <c r="T528" s="1566"/>
      <c r="U528" s="1566"/>
      <c r="V528" s="1566"/>
      <c r="W528" s="1566">
        <v>0</v>
      </c>
      <c r="X528" s="1566"/>
      <c r="Y528" s="1566"/>
      <c r="Z528" s="1566"/>
      <c r="AA528" s="1566">
        <v>689146.37</v>
      </c>
      <c r="AB528" s="1566"/>
      <c r="AC528" s="1566"/>
      <c r="AD528" s="1566"/>
      <c r="AE528" s="1566"/>
      <c r="AF528" s="1566"/>
      <c r="AG528" s="1566">
        <v>0</v>
      </c>
      <c r="AH528" s="1566"/>
      <c r="AI528" s="1566"/>
      <c r="AJ528" s="1566"/>
      <c r="AK528" s="1566"/>
    </row>
    <row r="529" spans="1:38" ht="9.4" customHeight="1">
      <c r="B529" s="1568" t="s">
        <v>1326</v>
      </c>
      <c r="C529" s="1568"/>
      <c r="D529" s="1568"/>
      <c r="E529" s="1568" t="s">
        <v>4136</v>
      </c>
      <c r="F529" s="1568"/>
      <c r="G529" s="1568"/>
      <c r="H529" s="1568"/>
      <c r="J529" s="1568" t="s">
        <v>4137</v>
      </c>
      <c r="K529" s="1568"/>
      <c r="L529" s="1568"/>
      <c r="M529" s="1566">
        <v>75219.7</v>
      </c>
      <c r="N529" s="1566"/>
      <c r="O529" s="1566"/>
      <c r="P529" s="1566">
        <v>0</v>
      </c>
      <c r="Q529" s="1566"/>
      <c r="R529" s="1566"/>
      <c r="S529" s="1566">
        <v>0</v>
      </c>
      <c r="T529" s="1566"/>
      <c r="U529" s="1566"/>
      <c r="V529" s="1566"/>
      <c r="W529" s="1566">
        <v>0</v>
      </c>
      <c r="X529" s="1566"/>
      <c r="Y529" s="1566"/>
      <c r="Z529" s="1566"/>
      <c r="AA529" s="1566">
        <v>75219.7</v>
      </c>
      <c r="AB529" s="1566"/>
      <c r="AC529" s="1566"/>
      <c r="AD529" s="1566"/>
      <c r="AE529" s="1566"/>
      <c r="AF529" s="1566"/>
      <c r="AG529" s="1566">
        <v>0</v>
      </c>
      <c r="AH529" s="1566"/>
      <c r="AI529" s="1566"/>
      <c r="AJ529" s="1566"/>
      <c r="AK529" s="1566"/>
    </row>
    <row r="530" spans="1:38" ht="9.4" customHeight="1">
      <c r="B530" s="1568" t="s">
        <v>1326</v>
      </c>
      <c r="C530" s="1568"/>
      <c r="D530" s="1568"/>
      <c r="E530" s="1568" t="s">
        <v>4161</v>
      </c>
      <c r="F530" s="1568"/>
      <c r="G530" s="1568"/>
      <c r="H530" s="1568"/>
      <c r="J530" s="1568" t="s">
        <v>4162</v>
      </c>
      <c r="K530" s="1568"/>
      <c r="L530" s="1568"/>
      <c r="M530" s="1566">
        <v>43727.77</v>
      </c>
      <c r="N530" s="1566"/>
      <c r="O530" s="1566"/>
      <c r="P530" s="1566">
        <v>0</v>
      </c>
      <c r="Q530" s="1566"/>
      <c r="R530" s="1566"/>
      <c r="S530" s="1566">
        <v>0</v>
      </c>
      <c r="T530" s="1566"/>
      <c r="U530" s="1566"/>
      <c r="V530" s="1566"/>
      <c r="W530" s="1566">
        <v>0</v>
      </c>
      <c r="X530" s="1566"/>
      <c r="Y530" s="1566"/>
      <c r="Z530" s="1566"/>
      <c r="AA530" s="1566">
        <v>43727.77</v>
      </c>
      <c r="AB530" s="1566"/>
      <c r="AC530" s="1566"/>
      <c r="AD530" s="1566"/>
      <c r="AE530" s="1566"/>
      <c r="AF530" s="1566"/>
      <c r="AG530" s="1566">
        <v>0</v>
      </c>
      <c r="AH530" s="1566"/>
      <c r="AI530" s="1566"/>
      <c r="AJ530" s="1566"/>
      <c r="AK530" s="1566"/>
    </row>
    <row r="531" spans="1:38" ht="9.4" customHeight="1">
      <c r="B531" s="1568" t="s">
        <v>1326</v>
      </c>
      <c r="C531" s="1568"/>
      <c r="D531" s="1568"/>
      <c r="E531" s="1568" t="s">
        <v>4200</v>
      </c>
      <c r="F531" s="1568"/>
      <c r="G531" s="1568"/>
      <c r="H531" s="1568"/>
      <c r="J531" s="1568" t="s">
        <v>4201</v>
      </c>
      <c r="K531" s="1568"/>
      <c r="L531" s="1568"/>
      <c r="M531" s="1566">
        <v>114484.01</v>
      </c>
      <c r="N531" s="1566"/>
      <c r="O531" s="1566"/>
      <c r="P531" s="1566">
        <v>0</v>
      </c>
      <c r="Q531" s="1566"/>
      <c r="R531" s="1566"/>
      <c r="S531" s="1566">
        <v>0</v>
      </c>
      <c r="T531" s="1566"/>
      <c r="U531" s="1566"/>
      <c r="V531" s="1566"/>
      <c r="W531" s="1566">
        <v>0</v>
      </c>
      <c r="X531" s="1566"/>
      <c r="Y531" s="1566"/>
      <c r="Z531" s="1566"/>
      <c r="AA531" s="1566">
        <v>114484.01</v>
      </c>
      <c r="AB531" s="1566"/>
      <c r="AC531" s="1566"/>
      <c r="AD531" s="1566"/>
      <c r="AE531" s="1566"/>
      <c r="AF531" s="1566"/>
      <c r="AG531" s="1566">
        <v>0</v>
      </c>
      <c r="AH531" s="1566"/>
      <c r="AI531" s="1566"/>
      <c r="AJ531" s="1566"/>
      <c r="AK531" s="1566"/>
    </row>
    <row r="532" spans="1:38" ht="9.4" customHeight="1">
      <c r="B532" s="1568" t="s">
        <v>1326</v>
      </c>
      <c r="C532" s="1568"/>
      <c r="D532" s="1568"/>
      <c r="E532" s="1568" t="s">
        <v>5382</v>
      </c>
      <c r="F532" s="1568"/>
      <c r="G532" s="1568"/>
      <c r="H532" s="1568"/>
      <c r="J532" s="1568" t="s">
        <v>5383</v>
      </c>
      <c r="K532" s="1568"/>
      <c r="L532" s="1568"/>
      <c r="M532" s="1566">
        <v>246012.26</v>
      </c>
      <c r="N532" s="1566"/>
      <c r="O532" s="1566"/>
      <c r="P532" s="1566">
        <v>0</v>
      </c>
      <c r="Q532" s="1566"/>
      <c r="R532" s="1566"/>
      <c r="S532" s="1566">
        <v>0</v>
      </c>
      <c r="T532" s="1566"/>
      <c r="U532" s="1566"/>
      <c r="V532" s="1566"/>
      <c r="W532" s="1566">
        <v>0</v>
      </c>
      <c r="X532" s="1566"/>
      <c r="Y532" s="1566"/>
      <c r="Z532" s="1566"/>
      <c r="AA532" s="1566">
        <v>246012.26</v>
      </c>
      <c r="AB532" s="1566"/>
      <c r="AC532" s="1566"/>
      <c r="AD532" s="1566"/>
      <c r="AE532" s="1566"/>
      <c r="AF532" s="1566"/>
      <c r="AG532" s="1566">
        <v>0</v>
      </c>
      <c r="AH532" s="1566"/>
      <c r="AI532" s="1566"/>
      <c r="AJ532" s="1566"/>
      <c r="AK532" s="1566"/>
    </row>
    <row r="533" spans="1:38" ht="9.4" customHeight="1">
      <c r="B533" s="1568" t="s">
        <v>1326</v>
      </c>
      <c r="C533" s="1568"/>
      <c r="D533" s="1568"/>
      <c r="E533" s="1568" t="s">
        <v>5513</v>
      </c>
      <c r="F533" s="1568"/>
      <c r="G533" s="1568"/>
      <c r="H533" s="1568"/>
      <c r="J533" s="1568" t="s">
        <v>5514</v>
      </c>
      <c r="K533" s="1568"/>
      <c r="L533" s="1568"/>
      <c r="M533" s="1566">
        <v>580268.98</v>
      </c>
      <c r="N533" s="1566"/>
      <c r="O533" s="1566"/>
      <c r="P533" s="1566">
        <v>0</v>
      </c>
      <c r="Q533" s="1566"/>
      <c r="R533" s="1566"/>
      <c r="S533" s="1566">
        <v>0</v>
      </c>
      <c r="T533" s="1566"/>
      <c r="U533" s="1566"/>
      <c r="V533" s="1566"/>
      <c r="W533" s="1566">
        <v>0</v>
      </c>
      <c r="X533" s="1566"/>
      <c r="Y533" s="1566"/>
      <c r="Z533" s="1566"/>
      <c r="AA533" s="1566">
        <v>580268.98</v>
      </c>
      <c r="AB533" s="1566"/>
      <c r="AC533" s="1566"/>
      <c r="AD533" s="1566"/>
      <c r="AE533" s="1566"/>
      <c r="AF533" s="1566"/>
      <c r="AG533" s="1566">
        <v>0</v>
      </c>
      <c r="AH533" s="1566"/>
      <c r="AI533" s="1566"/>
      <c r="AJ533" s="1566"/>
      <c r="AK533" s="1566"/>
    </row>
    <row r="534" spans="1:38" ht="9.4" customHeight="1">
      <c r="B534" s="1568" t="s">
        <v>1326</v>
      </c>
      <c r="C534" s="1568"/>
      <c r="D534" s="1568"/>
      <c r="E534" s="1568" t="s">
        <v>5827</v>
      </c>
      <c r="F534" s="1568"/>
      <c r="G534" s="1568"/>
      <c r="H534" s="1568"/>
      <c r="J534" s="1568" t="s">
        <v>5828</v>
      </c>
      <c r="K534" s="1568"/>
      <c r="L534" s="1568"/>
      <c r="M534" s="1566">
        <v>2197629.87</v>
      </c>
      <c r="N534" s="1566"/>
      <c r="O534" s="1566"/>
      <c r="P534" s="1566">
        <v>0</v>
      </c>
      <c r="Q534" s="1566"/>
      <c r="R534" s="1566"/>
      <c r="S534" s="1566">
        <v>0</v>
      </c>
      <c r="T534" s="1566"/>
      <c r="U534" s="1566"/>
      <c r="V534" s="1566"/>
      <c r="W534" s="1566">
        <v>0</v>
      </c>
      <c r="X534" s="1566"/>
      <c r="Y534" s="1566"/>
      <c r="Z534" s="1566"/>
      <c r="AA534" s="1566">
        <v>2197629.87</v>
      </c>
      <c r="AB534" s="1566"/>
      <c r="AC534" s="1566"/>
      <c r="AD534" s="1566"/>
      <c r="AE534" s="1566"/>
      <c r="AF534" s="1566"/>
      <c r="AG534" s="1566">
        <v>0</v>
      </c>
      <c r="AH534" s="1566"/>
      <c r="AI534" s="1566"/>
      <c r="AJ534" s="1566"/>
      <c r="AK534" s="1566"/>
    </row>
    <row r="535" spans="1:38" ht="9.4" customHeight="1">
      <c r="B535" s="1568" t="s">
        <v>1326</v>
      </c>
      <c r="C535" s="1568"/>
      <c r="D535" s="1568"/>
      <c r="E535" s="1568" t="s">
        <v>5979</v>
      </c>
      <c r="F535" s="1568"/>
      <c r="G535" s="1568"/>
      <c r="H535" s="1568"/>
      <c r="J535" s="1568" t="s">
        <v>5980</v>
      </c>
      <c r="K535" s="1568"/>
      <c r="L535" s="1568"/>
      <c r="M535" s="1566">
        <v>150794</v>
      </c>
      <c r="N535" s="1566"/>
      <c r="O535" s="1566"/>
      <c r="P535" s="1566">
        <v>0</v>
      </c>
      <c r="Q535" s="1566"/>
      <c r="R535" s="1566"/>
      <c r="S535" s="1566">
        <v>0</v>
      </c>
      <c r="T535" s="1566"/>
      <c r="U535" s="1566"/>
      <c r="V535" s="1566"/>
      <c r="W535" s="1566">
        <v>0</v>
      </c>
      <c r="X535" s="1566"/>
      <c r="Y535" s="1566"/>
      <c r="Z535" s="1566"/>
      <c r="AA535" s="1566">
        <v>150794</v>
      </c>
      <c r="AB535" s="1566"/>
      <c r="AC535" s="1566"/>
      <c r="AD535" s="1566"/>
      <c r="AE535" s="1566"/>
      <c r="AF535" s="1566"/>
      <c r="AG535" s="1566">
        <v>0</v>
      </c>
      <c r="AH535" s="1566"/>
      <c r="AI535" s="1566"/>
      <c r="AJ535" s="1566"/>
      <c r="AK535" s="1566"/>
    </row>
    <row r="536" spans="1:38" ht="9.4" customHeight="1">
      <c r="B536" s="1568" t="s">
        <v>1326</v>
      </c>
      <c r="C536" s="1568"/>
      <c r="D536" s="1568"/>
      <c r="E536" s="1568" t="s">
        <v>6217</v>
      </c>
      <c r="F536" s="1568"/>
      <c r="G536" s="1568"/>
      <c r="H536" s="1568"/>
      <c r="J536" s="1568" t="s">
        <v>6218</v>
      </c>
      <c r="K536" s="1568"/>
      <c r="L536" s="1568"/>
      <c r="M536" s="1566">
        <v>1385347.74</v>
      </c>
      <c r="N536" s="1566"/>
      <c r="O536" s="1566"/>
      <c r="P536" s="1566">
        <v>0</v>
      </c>
      <c r="Q536" s="1566"/>
      <c r="R536" s="1566"/>
      <c r="S536" s="1566">
        <v>0</v>
      </c>
      <c r="T536" s="1566"/>
      <c r="U536" s="1566"/>
      <c r="V536" s="1566"/>
      <c r="W536" s="1566">
        <v>0</v>
      </c>
      <c r="X536" s="1566"/>
      <c r="Y536" s="1566"/>
      <c r="Z536" s="1566"/>
      <c r="AA536" s="1566">
        <v>1385347.74</v>
      </c>
      <c r="AB536" s="1566"/>
      <c r="AC536" s="1566"/>
      <c r="AD536" s="1566"/>
      <c r="AE536" s="1566"/>
      <c r="AF536" s="1566"/>
      <c r="AG536" s="1566">
        <v>0</v>
      </c>
      <c r="AH536" s="1566"/>
      <c r="AI536" s="1566"/>
      <c r="AJ536" s="1566"/>
      <c r="AK536" s="1566"/>
    </row>
    <row r="537" spans="1:38" ht="7.5" customHeight="1"/>
    <row r="538" spans="1:38" ht="14.1" customHeight="1">
      <c r="AG538" s="1565" t="s">
        <v>2210</v>
      </c>
      <c r="AH538" s="1565"/>
      <c r="AI538" s="1565"/>
      <c r="AJ538" s="1565"/>
      <c r="AK538" s="1565"/>
      <c r="AL538" s="1565"/>
    </row>
    <row r="539" spans="1:38" ht="7.15" customHeight="1">
      <c r="D539" s="1578" t="s">
        <v>2992</v>
      </c>
      <c r="E539" s="1578"/>
      <c r="F539" s="1578"/>
      <c r="G539" s="1578"/>
      <c r="H539" s="1578"/>
      <c r="I539" s="1578"/>
      <c r="J539" s="1578"/>
      <c r="K539" s="1578"/>
      <c r="L539" s="1578"/>
      <c r="M539" s="1578"/>
      <c r="N539" s="1578"/>
      <c r="O539" s="1578"/>
      <c r="P539" s="1578"/>
      <c r="Q539" s="1578"/>
      <c r="R539" s="1578"/>
      <c r="S539" s="1578"/>
      <c r="T539" s="1578"/>
      <c r="U539" s="1578"/>
      <c r="V539" s="1578"/>
      <c r="W539" s="1578"/>
      <c r="X539" s="1578"/>
      <c r="Y539" s="1578"/>
      <c r="Z539" s="1578"/>
      <c r="AA539" s="1578"/>
      <c r="AB539" s="1578"/>
      <c r="AC539" s="1578"/>
      <c r="AD539" s="1578"/>
      <c r="AE539" s="1578"/>
      <c r="AF539" s="1578"/>
      <c r="AG539" s="1578"/>
      <c r="AH539" s="1578"/>
    </row>
    <row r="540" spans="1:38" ht="9.6" customHeight="1">
      <c r="A540" s="1579"/>
      <c r="B540" s="1579"/>
      <c r="C540" s="1579"/>
      <c r="D540" s="1579"/>
      <c r="E540" s="1579"/>
      <c r="F540" s="1579"/>
      <c r="G540" s="1579"/>
      <c r="H540" s="1579"/>
      <c r="I540" s="1579"/>
      <c r="J540" s="1578"/>
      <c r="K540" s="1578"/>
      <c r="L540" s="1578"/>
      <c r="M540" s="1578"/>
      <c r="N540" s="1578"/>
      <c r="O540" s="1578"/>
      <c r="P540" s="1578"/>
      <c r="Q540" s="1578"/>
      <c r="R540" s="1578"/>
      <c r="S540" s="1578"/>
      <c r="T540" s="1578"/>
      <c r="U540" s="1578"/>
      <c r="V540" s="1578"/>
      <c r="W540" s="1578"/>
      <c r="X540" s="1578"/>
      <c r="Y540" s="1578"/>
      <c r="Z540" s="1578"/>
      <c r="AA540" s="1578"/>
      <c r="AB540" s="1578"/>
      <c r="AC540" s="1578"/>
      <c r="AD540" s="1578"/>
      <c r="AE540" s="1578"/>
      <c r="AF540" s="1578"/>
      <c r="AG540" s="1578"/>
      <c r="AH540" s="1578"/>
    </row>
    <row r="541" spans="1:38" ht="13.35" customHeight="1">
      <c r="A541" s="1579"/>
      <c r="B541" s="1579"/>
      <c r="C541" s="1579"/>
      <c r="D541" s="1579"/>
      <c r="E541" s="1579"/>
      <c r="F541" s="1579"/>
      <c r="G541" s="1579"/>
      <c r="H541" s="1579"/>
      <c r="I541" s="1579"/>
      <c r="J541" s="1580" t="s">
        <v>79</v>
      </c>
      <c r="K541" s="1580"/>
      <c r="L541" s="1580"/>
      <c r="M541" s="1580"/>
      <c r="N541" s="1580"/>
      <c r="O541" s="1580"/>
      <c r="P541" s="1580"/>
      <c r="Q541" s="1580"/>
      <c r="R541" s="1580"/>
      <c r="S541" s="1580"/>
      <c r="T541" s="1580"/>
      <c r="U541" s="1580"/>
      <c r="V541" s="1580"/>
      <c r="W541" s="1580"/>
      <c r="X541" s="1580"/>
      <c r="Y541" s="1580"/>
      <c r="Z541" s="1580"/>
      <c r="AA541" s="1580"/>
      <c r="AB541" s="1580"/>
      <c r="AC541" s="1580"/>
      <c r="AD541" s="1580"/>
      <c r="AE541" s="1580"/>
      <c r="AF541" s="1580"/>
    </row>
    <row r="542" spans="1:38" ht="5.25" customHeight="1">
      <c r="A542" s="1579"/>
      <c r="B542" s="1579"/>
      <c r="C542" s="1579"/>
      <c r="D542" s="1579"/>
      <c r="E542" s="1579"/>
      <c r="F542" s="1579"/>
      <c r="G542" s="1579"/>
      <c r="H542" s="1579"/>
      <c r="I542" s="1579"/>
      <c r="J542" s="1573" t="s">
        <v>6760</v>
      </c>
      <c r="K542" s="1573"/>
      <c r="L542" s="1573"/>
      <c r="M542" s="1573"/>
      <c r="N542" s="1573"/>
      <c r="O542" s="1573"/>
      <c r="P542" s="1573"/>
      <c r="Q542" s="1573"/>
      <c r="R542" s="1573"/>
      <c r="S542" s="1573"/>
      <c r="T542" s="1573"/>
      <c r="U542" s="1573"/>
      <c r="V542" s="1573"/>
      <c r="W542" s="1573"/>
      <c r="X542" s="1573"/>
      <c r="Y542" s="1573"/>
      <c r="Z542" s="1573"/>
      <c r="AA542" s="1573"/>
      <c r="AB542" s="1573"/>
      <c r="AC542" s="1573"/>
      <c r="AD542" s="1573"/>
      <c r="AE542" s="1573"/>
    </row>
    <row r="543" spans="1:38" ht="8.1" customHeight="1">
      <c r="C543" s="1572" t="s">
        <v>1920</v>
      </c>
      <c r="D543" s="1572"/>
      <c r="E543" s="1572"/>
      <c r="F543" s="1572"/>
      <c r="G543" s="1572"/>
      <c r="H543" s="1572"/>
      <c r="I543" s="1572"/>
      <c r="J543" s="1572"/>
      <c r="K543" s="1573"/>
      <c r="L543" s="1573"/>
      <c r="M543" s="1573"/>
      <c r="N543" s="1573"/>
      <c r="O543" s="1573"/>
      <c r="P543" s="1573"/>
      <c r="Q543" s="1573"/>
      <c r="R543" s="1573"/>
      <c r="S543" s="1573"/>
      <c r="T543" s="1573"/>
      <c r="U543" s="1573"/>
      <c r="V543" s="1573"/>
      <c r="W543" s="1573"/>
      <c r="X543" s="1573"/>
      <c r="Y543" s="1574" t="s">
        <v>5920</v>
      </c>
      <c r="Z543" s="1574"/>
      <c r="AA543" s="1574"/>
      <c r="AB543" s="1574"/>
      <c r="AC543" s="1574"/>
      <c r="AD543" s="1574"/>
      <c r="AE543" s="1574"/>
      <c r="AF543" s="1574"/>
      <c r="AG543" s="1574"/>
      <c r="AH543" s="1575" t="s">
        <v>6761</v>
      </c>
      <c r="AI543" s="1575"/>
      <c r="AJ543" s="1575"/>
      <c r="AK543" s="1575"/>
      <c r="AL543" s="1575"/>
    </row>
    <row r="544" spans="1:38" ht="6" customHeight="1">
      <c r="C544" s="1572"/>
      <c r="D544" s="1572"/>
      <c r="E544" s="1572"/>
      <c r="F544" s="1572"/>
      <c r="G544" s="1572"/>
      <c r="H544" s="1572"/>
      <c r="I544" s="1572"/>
      <c r="J544" s="1572"/>
      <c r="K544" s="1576" t="s">
        <v>1999</v>
      </c>
      <c r="L544" s="1576"/>
      <c r="M544" s="1576"/>
      <c r="N544" s="1576"/>
      <c r="O544" s="1576"/>
      <c r="P544" s="1576"/>
      <c r="Q544" s="1576"/>
      <c r="R544" s="1576"/>
      <c r="S544" s="1576"/>
      <c r="T544" s="1576"/>
      <c r="U544" s="1576"/>
      <c r="V544" s="1576"/>
      <c r="W544" s="1576"/>
      <c r="X544" s="1576"/>
      <c r="Y544" s="1574"/>
      <c r="Z544" s="1574"/>
      <c r="AA544" s="1574"/>
      <c r="AB544" s="1574"/>
      <c r="AC544" s="1574"/>
      <c r="AD544" s="1574"/>
      <c r="AE544" s="1574"/>
      <c r="AF544" s="1574"/>
      <c r="AG544" s="1574"/>
      <c r="AH544" s="1575"/>
      <c r="AI544" s="1575"/>
      <c r="AJ544" s="1575"/>
      <c r="AK544" s="1575"/>
      <c r="AL544" s="1575"/>
    </row>
    <row r="545" spans="2:37" ht="7.35" customHeight="1">
      <c r="C545" s="1572" t="s">
        <v>1998</v>
      </c>
      <c r="D545" s="1572"/>
      <c r="E545" s="1572"/>
      <c r="F545" s="1572"/>
      <c r="G545" s="1577"/>
      <c r="H545" s="1577"/>
      <c r="I545" s="1577"/>
      <c r="J545" s="1577"/>
      <c r="K545" s="1577"/>
      <c r="L545" s="1577"/>
      <c r="M545" s="1577"/>
      <c r="N545" s="1577"/>
      <c r="O545" s="1577"/>
      <c r="P545" s="1577"/>
      <c r="Q545" s="1577"/>
      <c r="R545" s="1577"/>
      <c r="S545" s="1577"/>
      <c r="T545" s="1577"/>
      <c r="U545" s="1577"/>
      <c r="V545" s="1577"/>
      <c r="W545" s="1577"/>
      <c r="X545" s="1577"/>
      <c r="Y545" s="1577"/>
      <c r="Z545" s="1577"/>
      <c r="AA545" s="1577"/>
      <c r="AB545" s="1577"/>
      <c r="AC545" s="1577"/>
      <c r="AD545" s="1577"/>
      <c r="AE545" s="1577"/>
      <c r="AF545" s="1574"/>
      <c r="AG545" s="1574"/>
      <c r="AH545" s="1574" t="s">
        <v>6762</v>
      </c>
      <c r="AI545" s="1574"/>
    </row>
    <row r="546" spans="2:37" ht="6.75" customHeight="1">
      <c r="G546" s="1577"/>
      <c r="H546" s="1577"/>
      <c r="I546" s="1577"/>
      <c r="J546" s="1577"/>
      <c r="K546" s="1577"/>
      <c r="L546" s="1577"/>
      <c r="M546" s="1577"/>
      <c r="N546" s="1577"/>
      <c r="O546" s="1577"/>
      <c r="P546" s="1577"/>
      <c r="Q546" s="1577"/>
      <c r="R546" s="1577"/>
      <c r="S546" s="1577"/>
      <c r="T546" s="1577"/>
      <c r="U546" s="1577"/>
      <c r="V546" s="1577"/>
      <c r="W546" s="1577"/>
      <c r="X546" s="1577"/>
      <c r="Y546" s="1577"/>
      <c r="Z546" s="1577"/>
      <c r="AA546" s="1577"/>
      <c r="AB546" s="1577"/>
      <c r="AC546" s="1577"/>
      <c r="AD546" s="1577"/>
      <c r="AE546" s="1577"/>
      <c r="AF546" s="1574"/>
      <c r="AG546" s="1574"/>
      <c r="AH546" s="1574"/>
      <c r="AI546" s="1574"/>
    </row>
    <row r="547" spans="2:37" ht="11.25" customHeight="1">
      <c r="O547" s="1570" t="s">
        <v>1318</v>
      </c>
      <c r="P547" s="1570"/>
      <c r="Q547" s="1570"/>
      <c r="V547" s="1570" t="s">
        <v>1319</v>
      </c>
      <c r="W547" s="1570"/>
      <c r="X547" s="1570"/>
      <c r="Y547" s="1570"/>
      <c r="AD547" s="1570" t="s">
        <v>1320</v>
      </c>
      <c r="AE547" s="1570"/>
      <c r="AF547" s="1570"/>
      <c r="AG547" s="1570"/>
      <c r="AH547" s="1570"/>
      <c r="AI547" s="1570"/>
      <c r="AJ547" s="1570"/>
    </row>
    <row r="548" spans="2:37" ht="8.4499999999999993" customHeight="1">
      <c r="B548" s="1571" t="s">
        <v>1321</v>
      </c>
      <c r="C548" s="1571"/>
      <c r="D548" s="1571"/>
      <c r="E548" s="1571" t="s">
        <v>1322</v>
      </c>
      <c r="F548" s="1571"/>
      <c r="G548" s="1571"/>
      <c r="J548" s="1571" t="s">
        <v>1323</v>
      </c>
      <c r="K548" s="1571"/>
      <c r="L548" s="1571"/>
      <c r="M548" s="1571"/>
      <c r="N548" s="1571"/>
      <c r="O548" s="1402" t="s">
        <v>1324</v>
      </c>
      <c r="Q548" s="1569" t="s">
        <v>1325</v>
      </c>
      <c r="R548" s="1569"/>
      <c r="U548" s="1569" t="s">
        <v>1324</v>
      </c>
      <c r="V548" s="1569"/>
      <c r="X548" s="1569" t="s">
        <v>1325</v>
      </c>
      <c r="Y548" s="1569"/>
      <c r="Z548" s="1569"/>
      <c r="AC548" s="1569" t="s">
        <v>1324</v>
      </c>
      <c r="AD548" s="1569"/>
      <c r="AE548" s="1569"/>
      <c r="AF548" s="1569"/>
      <c r="AH548" s="1569" t="s">
        <v>1325</v>
      </c>
      <c r="AI548" s="1569"/>
      <c r="AJ548" s="1569"/>
      <c r="AK548" s="1569"/>
    </row>
    <row r="549" spans="2:37" ht="9.9499999999999993" customHeight="1">
      <c r="B549" s="1568" t="s">
        <v>1326</v>
      </c>
      <c r="C549" s="1568"/>
      <c r="D549" s="1568"/>
      <c r="E549" s="1568" t="s">
        <v>2178</v>
      </c>
      <c r="F549" s="1568"/>
      <c r="G549" s="1568"/>
      <c r="H549" s="1568"/>
      <c r="J549" s="1568" t="s">
        <v>2179</v>
      </c>
      <c r="K549" s="1568"/>
      <c r="L549" s="1568"/>
      <c r="M549" s="1566">
        <v>7600</v>
      </c>
      <c r="N549" s="1566"/>
      <c r="O549" s="1566"/>
      <c r="P549" s="1566">
        <v>0</v>
      </c>
      <c r="Q549" s="1566"/>
      <c r="R549" s="1566"/>
      <c r="S549" s="1566">
        <v>0</v>
      </c>
      <c r="T549" s="1566"/>
      <c r="U549" s="1566"/>
      <c r="V549" s="1566"/>
      <c r="W549" s="1566">
        <v>7600</v>
      </c>
      <c r="X549" s="1566"/>
      <c r="Y549" s="1566"/>
      <c r="Z549" s="1566"/>
      <c r="AA549" s="1566">
        <v>0</v>
      </c>
      <c r="AB549" s="1566"/>
      <c r="AC549" s="1566"/>
      <c r="AD549" s="1566"/>
      <c r="AE549" s="1566"/>
      <c r="AF549" s="1566"/>
      <c r="AG549" s="1566">
        <v>0</v>
      </c>
      <c r="AH549" s="1566"/>
      <c r="AI549" s="1566"/>
      <c r="AJ549" s="1566"/>
      <c r="AK549" s="1566"/>
    </row>
    <row r="550" spans="2:37" ht="9.1999999999999993" customHeight="1">
      <c r="J550" s="1568"/>
      <c r="K550" s="1568"/>
      <c r="L550" s="1568"/>
    </row>
    <row r="551" spans="2:37" ht="8.4499999999999993" customHeight="1">
      <c r="B551" s="1568" t="s">
        <v>1326</v>
      </c>
      <c r="C551" s="1568"/>
      <c r="D551" s="1568"/>
      <c r="E551" s="1568" t="s">
        <v>6494</v>
      </c>
      <c r="F551" s="1568"/>
      <c r="G551" s="1568"/>
      <c r="H551" s="1568"/>
      <c r="J551" s="1568" t="s">
        <v>6500</v>
      </c>
      <c r="K551" s="1568"/>
      <c r="L551" s="1568"/>
      <c r="M551" s="1566">
        <v>3600</v>
      </c>
      <c r="N551" s="1566"/>
      <c r="O551" s="1566"/>
      <c r="P551" s="1566">
        <v>0</v>
      </c>
      <c r="Q551" s="1566"/>
      <c r="R551" s="1566"/>
      <c r="S551" s="1566">
        <v>0</v>
      </c>
      <c r="T551" s="1566"/>
      <c r="U551" s="1566"/>
      <c r="V551" s="1566"/>
      <c r="W551" s="1566">
        <v>3600</v>
      </c>
      <c r="X551" s="1566"/>
      <c r="Y551" s="1566"/>
      <c r="Z551" s="1566"/>
      <c r="AA551" s="1566">
        <v>0</v>
      </c>
      <c r="AB551" s="1566"/>
      <c r="AC551" s="1566"/>
      <c r="AD551" s="1566"/>
      <c r="AE551" s="1566"/>
      <c r="AF551" s="1566"/>
      <c r="AG551" s="1566">
        <v>0</v>
      </c>
      <c r="AH551" s="1566"/>
      <c r="AI551" s="1566"/>
      <c r="AJ551" s="1566"/>
      <c r="AK551" s="1566"/>
    </row>
    <row r="552" spans="2:37" ht="9.4" customHeight="1">
      <c r="B552" s="1568" t="s">
        <v>1326</v>
      </c>
      <c r="C552" s="1568"/>
      <c r="D552" s="1568"/>
      <c r="E552" s="1568" t="s">
        <v>6495</v>
      </c>
      <c r="F552" s="1568"/>
      <c r="G552" s="1568"/>
      <c r="H552" s="1568"/>
      <c r="J552" s="1568" t="s">
        <v>6501</v>
      </c>
      <c r="K552" s="1568"/>
      <c r="L552" s="1568"/>
      <c r="M552" s="1566">
        <v>4000</v>
      </c>
      <c r="N552" s="1566"/>
      <c r="O552" s="1566"/>
      <c r="P552" s="1566">
        <v>0</v>
      </c>
      <c r="Q552" s="1566"/>
      <c r="R552" s="1566"/>
      <c r="S552" s="1566">
        <v>0</v>
      </c>
      <c r="T552" s="1566"/>
      <c r="U552" s="1566"/>
      <c r="V552" s="1566"/>
      <c r="W552" s="1566">
        <v>4000</v>
      </c>
      <c r="X552" s="1566"/>
      <c r="Y552" s="1566"/>
      <c r="Z552" s="1566"/>
      <c r="AA552" s="1566">
        <v>0</v>
      </c>
      <c r="AB552" s="1566"/>
      <c r="AC552" s="1566"/>
      <c r="AD552" s="1566"/>
      <c r="AE552" s="1566"/>
      <c r="AF552" s="1566"/>
      <c r="AG552" s="1566">
        <v>0</v>
      </c>
      <c r="AH552" s="1566"/>
      <c r="AI552" s="1566"/>
      <c r="AJ552" s="1566"/>
      <c r="AK552" s="1566"/>
    </row>
    <row r="553" spans="2:37" ht="9.4" customHeight="1">
      <c r="B553" s="1568" t="s">
        <v>1326</v>
      </c>
      <c r="C553" s="1568"/>
      <c r="D553" s="1568"/>
      <c r="E553" s="1568" t="s">
        <v>3143</v>
      </c>
      <c r="F553" s="1568"/>
      <c r="G553" s="1568"/>
      <c r="H553" s="1568"/>
      <c r="J553" s="1568" t="s">
        <v>3152</v>
      </c>
      <c r="K553" s="1568"/>
      <c r="L553" s="1568"/>
      <c r="M553" s="1566">
        <v>0</v>
      </c>
      <c r="N553" s="1566"/>
      <c r="O553" s="1566"/>
      <c r="P553" s="1566">
        <v>0</v>
      </c>
      <c r="Q553" s="1566"/>
      <c r="R553" s="1566"/>
      <c r="S553" s="1566">
        <v>0</v>
      </c>
      <c r="T553" s="1566"/>
      <c r="U553" s="1566"/>
      <c r="V553" s="1566"/>
      <c r="W553" s="1566">
        <v>0</v>
      </c>
      <c r="X553" s="1566"/>
      <c r="Y553" s="1566"/>
      <c r="Z553" s="1566"/>
      <c r="AA553" s="1566">
        <v>0</v>
      </c>
      <c r="AB553" s="1566"/>
      <c r="AC553" s="1566"/>
      <c r="AD553" s="1566"/>
      <c r="AE553" s="1566"/>
      <c r="AF553" s="1566"/>
      <c r="AG553" s="1566">
        <v>0</v>
      </c>
      <c r="AH553" s="1566"/>
      <c r="AI553" s="1566"/>
      <c r="AJ553" s="1566"/>
      <c r="AK553" s="1566"/>
    </row>
    <row r="554" spans="2:37" ht="9.4" customHeight="1">
      <c r="B554" s="1568" t="s">
        <v>1326</v>
      </c>
      <c r="C554" s="1568"/>
      <c r="D554" s="1568"/>
      <c r="E554" s="1568" t="s">
        <v>2180</v>
      </c>
      <c r="F554" s="1568"/>
      <c r="G554" s="1568"/>
      <c r="H554" s="1568"/>
      <c r="J554" s="1568" t="s">
        <v>1012</v>
      </c>
      <c r="K554" s="1568"/>
      <c r="L554" s="1568"/>
      <c r="M554" s="1566">
        <v>872135.75</v>
      </c>
      <c r="N554" s="1566"/>
      <c r="O554" s="1566"/>
      <c r="P554" s="1566">
        <v>0</v>
      </c>
      <c r="Q554" s="1566"/>
      <c r="R554" s="1566"/>
      <c r="S554" s="1566">
        <v>762</v>
      </c>
      <c r="T554" s="1566"/>
      <c r="U554" s="1566"/>
      <c r="V554" s="1566"/>
      <c r="W554" s="1566">
        <v>87512.44</v>
      </c>
      <c r="X554" s="1566"/>
      <c r="Y554" s="1566"/>
      <c r="Z554" s="1566"/>
      <c r="AA554" s="1566">
        <v>785385.31</v>
      </c>
      <c r="AB554" s="1566"/>
      <c r="AC554" s="1566"/>
      <c r="AD554" s="1566"/>
      <c r="AE554" s="1566"/>
      <c r="AF554" s="1566"/>
      <c r="AG554" s="1566">
        <v>0</v>
      </c>
      <c r="AH554" s="1566"/>
      <c r="AI554" s="1566"/>
      <c r="AJ554" s="1566"/>
      <c r="AK554" s="1566"/>
    </row>
    <row r="555" spans="2:37" ht="9.4" customHeight="1">
      <c r="B555" s="1568" t="s">
        <v>1326</v>
      </c>
      <c r="C555" s="1568"/>
      <c r="D555" s="1568"/>
      <c r="E555" s="1568" t="s">
        <v>1547</v>
      </c>
      <c r="F555" s="1568"/>
      <c r="G555" s="1568"/>
      <c r="H555" s="1568"/>
      <c r="J555" s="1568" t="s">
        <v>2181</v>
      </c>
      <c r="K555" s="1568"/>
      <c r="L555" s="1568"/>
      <c r="M555" s="1566">
        <v>8604.6</v>
      </c>
      <c r="N555" s="1566"/>
      <c r="O555" s="1566"/>
      <c r="P555" s="1566">
        <v>0</v>
      </c>
      <c r="Q555" s="1566"/>
      <c r="R555" s="1566"/>
      <c r="S555" s="1566">
        <v>762</v>
      </c>
      <c r="T555" s="1566"/>
      <c r="U555" s="1566"/>
      <c r="V555" s="1566"/>
      <c r="W555" s="1566">
        <v>762</v>
      </c>
      <c r="X555" s="1566"/>
      <c r="Y555" s="1566"/>
      <c r="Z555" s="1566"/>
      <c r="AA555" s="1566">
        <v>8604.6</v>
      </c>
      <c r="AB555" s="1566"/>
      <c r="AC555" s="1566"/>
      <c r="AD555" s="1566"/>
      <c r="AE555" s="1566"/>
      <c r="AF555" s="1566"/>
      <c r="AG555" s="1566">
        <v>0</v>
      </c>
      <c r="AH555" s="1566"/>
      <c r="AI555" s="1566"/>
      <c r="AJ555" s="1566"/>
      <c r="AK555" s="1566"/>
    </row>
    <row r="556" spans="2:37" ht="9.1999999999999993" customHeight="1">
      <c r="J556" s="1568"/>
      <c r="K556" s="1568"/>
      <c r="L556" s="1568"/>
    </row>
    <row r="557" spans="2:37" ht="8.4499999999999993" customHeight="1">
      <c r="B557" s="1568" t="s">
        <v>1326</v>
      </c>
      <c r="C557" s="1568"/>
      <c r="D557" s="1568"/>
      <c r="E557" s="1568" t="s">
        <v>6219</v>
      </c>
      <c r="F557" s="1568"/>
      <c r="G557" s="1568"/>
      <c r="H557" s="1568"/>
      <c r="J557" s="1568" t="s">
        <v>6220</v>
      </c>
      <c r="K557" s="1568"/>
      <c r="L557" s="1568"/>
      <c r="M557" s="1566">
        <v>0</v>
      </c>
      <c r="N557" s="1566"/>
      <c r="O557" s="1566"/>
      <c r="P557" s="1566">
        <v>0</v>
      </c>
      <c r="Q557" s="1566"/>
      <c r="R557" s="1566"/>
      <c r="S557" s="1566">
        <v>762</v>
      </c>
      <c r="T557" s="1566"/>
      <c r="U557" s="1566"/>
      <c r="V557" s="1566"/>
      <c r="W557" s="1566">
        <v>762</v>
      </c>
      <c r="X557" s="1566"/>
      <c r="Y557" s="1566"/>
      <c r="Z557" s="1566"/>
      <c r="AA557" s="1566">
        <v>0</v>
      </c>
      <c r="AB557" s="1566"/>
      <c r="AC557" s="1566"/>
      <c r="AD557" s="1566"/>
      <c r="AE557" s="1566"/>
      <c r="AF557" s="1566"/>
      <c r="AG557" s="1566">
        <v>0</v>
      </c>
      <c r="AH557" s="1566"/>
      <c r="AI557" s="1566"/>
      <c r="AJ557" s="1566"/>
      <c r="AK557" s="1566"/>
    </row>
    <row r="558" spans="2:37" ht="9.4" customHeight="1">
      <c r="B558" s="1568" t="s">
        <v>1326</v>
      </c>
      <c r="C558" s="1568"/>
      <c r="D558" s="1568"/>
      <c r="E558" s="1568" t="s">
        <v>3234</v>
      </c>
      <c r="F558" s="1568"/>
      <c r="G558" s="1568"/>
      <c r="H558" s="1568"/>
      <c r="J558" s="1568" t="s">
        <v>3247</v>
      </c>
      <c r="K558" s="1568"/>
      <c r="L558" s="1568"/>
      <c r="M558" s="1566">
        <v>0</v>
      </c>
      <c r="N558" s="1566"/>
      <c r="O558" s="1566"/>
      <c r="P558" s="1566">
        <v>0</v>
      </c>
      <c r="Q558" s="1566"/>
      <c r="R558" s="1566"/>
      <c r="S558" s="1566">
        <v>0</v>
      </c>
      <c r="T558" s="1566"/>
      <c r="U558" s="1566"/>
      <c r="V558" s="1566"/>
      <c r="W558" s="1566">
        <v>0</v>
      </c>
      <c r="X558" s="1566"/>
      <c r="Y558" s="1566"/>
      <c r="Z558" s="1566"/>
      <c r="AA558" s="1566">
        <v>0</v>
      </c>
      <c r="AB558" s="1566"/>
      <c r="AC558" s="1566"/>
      <c r="AD558" s="1566"/>
      <c r="AE558" s="1566"/>
      <c r="AF558" s="1566"/>
      <c r="AG558" s="1566">
        <v>0</v>
      </c>
      <c r="AH558" s="1566"/>
      <c r="AI558" s="1566"/>
      <c r="AJ558" s="1566"/>
      <c r="AK558" s="1566"/>
    </row>
    <row r="559" spans="2:37" ht="9.4" customHeight="1">
      <c r="B559" s="1568" t="s">
        <v>1326</v>
      </c>
      <c r="C559" s="1568"/>
      <c r="D559" s="1568"/>
      <c r="E559" s="1568" t="s">
        <v>6194</v>
      </c>
      <c r="F559" s="1568"/>
      <c r="G559" s="1568"/>
      <c r="H559" s="1568"/>
      <c r="J559" s="1568" t="s">
        <v>2244</v>
      </c>
      <c r="K559" s="1568"/>
      <c r="L559" s="1568"/>
      <c r="M559" s="1566">
        <v>0</v>
      </c>
      <c r="N559" s="1566"/>
      <c r="O559" s="1566"/>
      <c r="P559" s="1566">
        <v>0</v>
      </c>
      <c r="Q559" s="1566"/>
      <c r="R559" s="1566"/>
      <c r="S559" s="1566">
        <v>0</v>
      </c>
      <c r="T559" s="1566"/>
      <c r="U559" s="1566"/>
      <c r="V559" s="1566"/>
      <c r="W559" s="1566">
        <v>0</v>
      </c>
      <c r="X559" s="1566"/>
      <c r="Y559" s="1566"/>
      <c r="Z559" s="1566"/>
      <c r="AA559" s="1566">
        <v>0</v>
      </c>
      <c r="AB559" s="1566"/>
      <c r="AC559" s="1566"/>
      <c r="AD559" s="1566"/>
      <c r="AE559" s="1566"/>
      <c r="AF559" s="1566"/>
      <c r="AG559" s="1566">
        <v>0</v>
      </c>
      <c r="AH559" s="1566"/>
      <c r="AI559" s="1566"/>
      <c r="AJ559" s="1566"/>
      <c r="AK559" s="1566"/>
    </row>
    <row r="560" spans="2:37" ht="9.4" customHeight="1">
      <c r="B560" s="1568" t="s">
        <v>1326</v>
      </c>
      <c r="C560" s="1568"/>
      <c r="D560" s="1568"/>
      <c r="E560" s="1568" t="s">
        <v>6491</v>
      </c>
      <c r="F560" s="1568"/>
      <c r="G560" s="1568"/>
      <c r="H560" s="1568"/>
      <c r="J560" s="1568" t="s">
        <v>6502</v>
      </c>
      <c r="K560" s="1568"/>
      <c r="L560" s="1568"/>
      <c r="M560" s="1566">
        <v>8604.6</v>
      </c>
      <c r="N560" s="1566"/>
      <c r="O560" s="1566"/>
      <c r="P560" s="1566">
        <v>0</v>
      </c>
      <c r="Q560" s="1566"/>
      <c r="R560" s="1566"/>
      <c r="S560" s="1566">
        <v>0</v>
      </c>
      <c r="T560" s="1566"/>
      <c r="U560" s="1566"/>
      <c r="V560" s="1566"/>
      <c r="W560" s="1566">
        <v>0</v>
      </c>
      <c r="X560" s="1566"/>
      <c r="Y560" s="1566"/>
      <c r="Z560" s="1566"/>
      <c r="AA560" s="1566">
        <v>8604.6</v>
      </c>
      <c r="AB560" s="1566"/>
      <c r="AC560" s="1566"/>
      <c r="AD560" s="1566"/>
      <c r="AE560" s="1566"/>
      <c r="AF560" s="1566"/>
      <c r="AG560" s="1566">
        <v>0</v>
      </c>
      <c r="AH560" s="1566"/>
      <c r="AI560" s="1566"/>
      <c r="AJ560" s="1566"/>
      <c r="AK560" s="1566"/>
    </row>
    <row r="561" spans="2:37" ht="9.4" customHeight="1">
      <c r="B561" s="1568" t="s">
        <v>1326</v>
      </c>
      <c r="C561" s="1568"/>
      <c r="D561" s="1568"/>
      <c r="E561" s="1568" t="s">
        <v>1548</v>
      </c>
      <c r="F561" s="1568"/>
      <c r="G561" s="1568"/>
      <c r="H561" s="1568"/>
      <c r="J561" s="1568" t="s">
        <v>2182</v>
      </c>
      <c r="K561" s="1568"/>
      <c r="L561" s="1568"/>
      <c r="M561" s="1566">
        <v>168709.46</v>
      </c>
      <c r="N561" s="1566"/>
      <c r="O561" s="1566"/>
      <c r="P561" s="1566">
        <v>0</v>
      </c>
      <c r="Q561" s="1566"/>
      <c r="R561" s="1566"/>
      <c r="S561" s="1566">
        <v>0</v>
      </c>
      <c r="T561" s="1566"/>
      <c r="U561" s="1566"/>
      <c r="V561" s="1566"/>
      <c r="W561" s="1566">
        <v>40599.74</v>
      </c>
      <c r="X561" s="1566"/>
      <c r="Y561" s="1566"/>
      <c r="Z561" s="1566"/>
      <c r="AA561" s="1566">
        <v>128109.72</v>
      </c>
      <c r="AB561" s="1566"/>
      <c r="AC561" s="1566"/>
      <c r="AD561" s="1566"/>
      <c r="AE561" s="1566"/>
      <c r="AF561" s="1566"/>
      <c r="AG561" s="1566">
        <v>0</v>
      </c>
      <c r="AH561" s="1566"/>
      <c r="AI561" s="1566"/>
      <c r="AJ561" s="1566"/>
      <c r="AK561" s="1566"/>
    </row>
    <row r="562" spans="2:37" ht="9.1999999999999993" customHeight="1">
      <c r="J562" s="1568"/>
      <c r="K562" s="1568"/>
      <c r="L562" s="1568"/>
    </row>
    <row r="563" spans="2:37" ht="8.4499999999999993" customHeight="1">
      <c r="B563" s="1568" t="s">
        <v>1326</v>
      </c>
      <c r="C563" s="1568"/>
      <c r="D563" s="1568"/>
      <c r="E563" s="1568" t="s">
        <v>1549</v>
      </c>
      <c r="F563" s="1568"/>
      <c r="G563" s="1568"/>
      <c r="H563" s="1568"/>
      <c r="J563" s="1568" t="s">
        <v>2183</v>
      </c>
      <c r="K563" s="1568"/>
      <c r="L563" s="1568"/>
      <c r="M563" s="1566">
        <v>101353.23</v>
      </c>
      <c r="N563" s="1566"/>
      <c r="O563" s="1566"/>
      <c r="P563" s="1566">
        <v>0</v>
      </c>
      <c r="Q563" s="1566"/>
      <c r="R563" s="1566"/>
      <c r="S563" s="1566">
        <v>0</v>
      </c>
      <c r="T563" s="1566"/>
      <c r="U563" s="1566"/>
      <c r="V563" s="1566"/>
      <c r="W563" s="1566">
        <v>29995.599999999999</v>
      </c>
      <c r="X563" s="1566"/>
      <c r="Y563" s="1566"/>
      <c r="Z563" s="1566"/>
      <c r="AA563" s="1566">
        <v>71357.63</v>
      </c>
      <c r="AB563" s="1566"/>
      <c r="AC563" s="1566"/>
      <c r="AD563" s="1566"/>
      <c r="AE563" s="1566"/>
      <c r="AF563" s="1566"/>
      <c r="AG563" s="1566">
        <v>0</v>
      </c>
      <c r="AH563" s="1566"/>
      <c r="AI563" s="1566"/>
      <c r="AJ563" s="1566"/>
      <c r="AK563" s="1566"/>
    </row>
    <row r="564" spans="2:37" ht="9.4" customHeight="1">
      <c r="B564" s="1568" t="s">
        <v>1326</v>
      </c>
      <c r="C564" s="1568"/>
      <c r="D564" s="1568"/>
      <c r="E564" s="1568" t="s">
        <v>1550</v>
      </c>
      <c r="F564" s="1568"/>
      <c r="G564" s="1568"/>
      <c r="H564" s="1568"/>
      <c r="J564" s="1568" t="s">
        <v>2184</v>
      </c>
      <c r="K564" s="1568"/>
      <c r="L564" s="1568"/>
      <c r="M564" s="1566">
        <v>67356.23</v>
      </c>
      <c r="N564" s="1566"/>
      <c r="O564" s="1566"/>
      <c r="P564" s="1566">
        <v>0</v>
      </c>
      <c r="Q564" s="1566"/>
      <c r="R564" s="1566"/>
      <c r="S564" s="1566">
        <v>0</v>
      </c>
      <c r="T564" s="1566"/>
      <c r="U564" s="1566"/>
      <c r="V564" s="1566"/>
      <c r="W564" s="1566">
        <v>10604.14</v>
      </c>
      <c r="X564" s="1566"/>
      <c r="Y564" s="1566"/>
      <c r="Z564" s="1566"/>
      <c r="AA564" s="1566">
        <v>56752.09</v>
      </c>
      <c r="AB564" s="1566"/>
      <c r="AC564" s="1566"/>
      <c r="AD564" s="1566"/>
      <c r="AE564" s="1566"/>
      <c r="AF564" s="1566"/>
      <c r="AG564" s="1566">
        <v>0</v>
      </c>
      <c r="AH564" s="1566"/>
      <c r="AI564" s="1566"/>
      <c r="AJ564" s="1566"/>
      <c r="AK564" s="1566"/>
    </row>
    <row r="565" spans="2:37" ht="9.4" customHeight="1">
      <c r="B565" s="1568" t="s">
        <v>1326</v>
      </c>
      <c r="C565" s="1568"/>
      <c r="D565" s="1568"/>
      <c r="E565" s="1568" t="s">
        <v>6503</v>
      </c>
      <c r="F565" s="1568"/>
      <c r="G565" s="1568"/>
      <c r="H565" s="1568"/>
      <c r="J565" s="1568" t="s">
        <v>6504</v>
      </c>
      <c r="K565" s="1568"/>
      <c r="L565" s="1568"/>
      <c r="M565" s="1566">
        <v>694821.69</v>
      </c>
      <c r="N565" s="1566"/>
      <c r="O565" s="1566"/>
      <c r="P565" s="1566">
        <v>0</v>
      </c>
      <c r="Q565" s="1566"/>
      <c r="R565" s="1566"/>
      <c r="S565" s="1566">
        <v>0</v>
      </c>
      <c r="T565" s="1566"/>
      <c r="U565" s="1566"/>
      <c r="V565" s="1566"/>
      <c r="W565" s="1566">
        <v>46150.7</v>
      </c>
      <c r="X565" s="1566"/>
      <c r="Y565" s="1566"/>
      <c r="Z565" s="1566"/>
      <c r="AA565" s="1566">
        <v>648670.99</v>
      </c>
      <c r="AB565" s="1566"/>
      <c r="AC565" s="1566"/>
      <c r="AD565" s="1566"/>
      <c r="AE565" s="1566"/>
      <c r="AF565" s="1566"/>
      <c r="AG565" s="1566">
        <v>0</v>
      </c>
      <c r="AH565" s="1566"/>
      <c r="AI565" s="1566"/>
      <c r="AJ565" s="1566"/>
      <c r="AK565" s="1566"/>
    </row>
    <row r="566" spans="2:37" ht="9.1999999999999993" customHeight="1">
      <c r="J566" s="1568"/>
      <c r="K566" s="1568"/>
      <c r="L566" s="1568"/>
    </row>
    <row r="567" spans="2:37" ht="8.4499999999999993" customHeight="1">
      <c r="B567" s="1568" t="s">
        <v>1326</v>
      </c>
      <c r="C567" s="1568"/>
      <c r="D567" s="1568"/>
      <c r="E567" s="1568" t="s">
        <v>6505</v>
      </c>
      <c r="F567" s="1568"/>
      <c r="G567" s="1568"/>
      <c r="H567" s="1568"/>
      <c r="J567" s="1568" t="s">
        <v>6506</v>
      </c>
      <c r="K567" s="1568"/>
      <c r="L567" s="1568"/>
      <c r="M567" s="1566">
        <v>694821.69</v>
      </c>
      <c r="N567" s="1566"/>
      <c r="O567" s="1566"/>
      <c r="P567" s="1566">
        <v>0</v>
      </c>
      <c r="Q567" s="1566"/>
      <c r="R567" s="1566"/>
      <c r="S567" s="1566">
        <v>0</v>
      </c>
      <c r="T567" s="1566"/>
      <c r="U567" s="1566"/>
      <c r="V567" s="1566"/>
      <c r="W567" s="1566">
        <v>46150.7</v>
      </c>
      <c r="X567" s="1566"/>
      <c r="Y567" s="1566"/>
      <c r="Z567" s="1566"/>
      <c r="AA567" s="1566">
        <v>648670.99</v>
      </c>
      <c r="AB567" s="1566"/>
      <c r="AC567" s="1566"/>
      <c r="AD567" s="1566"/>
      <c r="AE567" s="1566"/>
      <c r="AF567" s="1566"/>
      <c r="AG567" s="1566">
        <v>0</v>
      </c>
      <c r="AH567" s="1566"/>
      <c r="AI567" s="1566"/>
      <c r="AJ567" s="1566"/>
      <c r="AK567" s="1566"/>
    </row>
    <row r="568" spans="2:37" ht="9.4" customHeight="1">
      <c r="B568" s="1568" t="s">
        <v>1326</v>
      </c>
      <c r="C568" s="1568"/>
      <c r="D568" s="1568"/>
      <c r="E568" s="1568" t="s">
        <v>2186</v>
      </c>
      <c r="F568" s="1568"/>
      <c r="G568" s="1568"/>
      <c r="H568" s="1568"/>
      <c r="J568" s="1568" t="s">
        <v>1013</v>
      </c>
      <c r="K568" s="1568"/>
      <c r="L568" s="1568"/>
      <c r="M568" s="1566">
        <v>163103.14000000001</v>
      </c>
      <c r="N568" s="1566"/>
      <c r="O568" s="1566"/>
      <c r="P568" s="1566">
        <v>0</v>
      </c>
      <c r="Q568" s="1566"/>
      <c r="R568" s="1566"/>
      <c r="S568" s="1566">
        <v>0</v>
      </c>
      <c r="T568" s="1566"/>
      <c r="U568" s="1566"/>
      <c r="V568" s="1566"/>
      <c r="W568" s="1566">
        <v>0</v>
      </c>
      <c r="X568" s="1566"/>
      <c r="Y568" s="1566"/>
      <c r="Z568" s="1566"/>
      <c r="AA568" s="1566">
        <v>163103.14000000001</v>
      </c>
      <c r="AB568" s="1566"/>
      <c r="AC568" s="1566"/>
      <c r="AD568" s="1566"/>
      <c r="AE568" s="1566"/>
      <c r="AF568" s="1566"/>
      <c r="AG568" s="1566">
        <v>0</v>
      </c>
      <c r="AH568" s="1566"/>
      <c r="AI568" s="1566"/>
      <c r="AJ568" s="1566"/>
      <c r="AK568" s="1566"/>
    </row>
    <row r="569" spans="2:37" ht="9.4" customHeight="1">
      <c r="B569" s="1568" t="s">
        <v>1326</v>
      </c>
      <c r="C569" s="1568"/>
      <c r="D569" s="1568"/>
      <c r="E569" s="1568" t="s">
        <v>1551</v>
      </c>
      <c r="F569" s="1568"/>
      <c r="G569" s="1568"/>
      <c r="H569" s="1568"/>
      <c r="J569" s="1568" t="s">
        <v>191</v>
      </c>
      <c r="K569" s="1568"/>
      <c r="L569" s="1568"/>
      <c r="M569" s="1566">
        <v>163103.14000000001</v>
      </c>
      <c r="N569" s="1566"/>
      <c r="O569" s="1566"/>
      <c r="P569" s="1566">
        <v>0</v>
      </c>
      <c r="Q569" s="1566"/>
      <c r="R569" s="1566"/>
      <c r="S569" s="1566">
        <v>0</v>
      </c>
      <c r="T569" s="1566"/>
      <c r="U569" s="1566"/>
      <c r="V569" s="1566"/>
      <c r="W569" s="1566">
        <v>0</v>
      </c>
      <c r="X569" s="1566"/>
      <c r="Y569" s="1566"/>
      <c r="Z569" s="1566"/>
      <c r="AA569" s="1566">
        <v>163103.14000000001</v>
      </c>
      <c r="AB569" s="1566"/>
      <c r="AC569" s="1566"/>
      <c r="AD569" s="1566"/>
      <c r="AE569" s="1566"/>
      <c r="AF569" s="1566"/>
      <c r="AG569" s="1566">
        <v>0</v>
      </c>
      <c r="AH569" s="1566"/>
      <c r="AI569" s="1566"/>
      <c r="AJ569" s="1566"/>
      <c r="AK569" s="1566"/>
    </row>
    <row r="570" spans="2:37" ht="9.4" customHeight="1">
      <c r="B570" s="1568" t="s">
        <v>1326</v>
      </c>
      <c r="C570" s="1568"/>
      <c r="D570" s="1568"/>
      <c r="E570" s="1568" t="s">
        <v>1552</v>
      </c>
      <c r="F570" s="1568"/>
      <c r="G570" s="1568"/>
      <c r="H570" s="1568"/>
      <c r="J570" s="1568" t="s">
        <v>2187</v>
      </c>
      <c r="K570" s="1568"/>
      <c r="L570" s="1568"/>
      <c r="M570" s="1566">
        <v>163103.14000000001</v>
      </c>
      <c r="N570" s="1566"/>
      <c r="O570" s="1566"/>
      <c r="P570" s="1566">
        <v>0</v>
      </c>
      <c r="Q570" s="1566"/>
      <c r="R570" s="1566"/>
      <c r="S570" s="1566">
        <v>0</v>
      </c>
      <c r="T570" s="1566"/>
      <c r="U570" s="1566"/>
      <c r="V570" s="1566"/>
      <c r="W570" s="1566">
        <v>0</v>
      </c>
      <c r="X570" s="1566"/>
      <c r="Y570" s="1566"/>
      <c r="Z570" s="1566"/>
      <c r="AA570" s="1566">
        <v>163103.14000000001</v>
      </c>
      <c r="AB570" s="1566"/>
      <c r="AC570" s="1566"/>
      <c r="AD570" s="1566"/>
      <c r="AE570" s="1566"/>
      <c r="AF570" s="1566"/>
      <c r="AG570" s="1566">
        <v>0</v>
      </c>
      <c r="AH570" s="1566"/>
      <c r="AI570" s="1566"/>
      <c r="AJ570" s="1566"/>
      <c r="AK570" s="1566"/>
    </row>
    <row r="571" spans="2:37" ht="9.4" customHeight="1">
      <c r="B571" s="1568" t="s">
        <v>1326</v>
      </c>
      <c r="C571" s="1568"/>
      <c r="D571" s="1568"/>
      <c r="E571" s="1568" t="s">
        <v>2188</v>
      </c>
      <c r="F571" s="1568"/>
      <c r="G571" s="1568"/>
      <c r="H571" s="1568"/>
      <c r="J571" s="1568" t="s">
        <v>1014</v>
      </c>
      <c r="K571" s="1568"/>
      <c r="L571" s="1568"/>
      <c r="M571" s="1566">
        <v>957421567.34000003</v>
      </c>
      <c r="N571" s="1566"/>
      <c r="O571" s="1566"/>
      <c r="P571" s="1566">
        <v>0</v>
      </c>
      <c r="Q571" s="1566"/>
      <c r="R571" s="1566"/>
      <c r="S571" s="1566">
        <v>9059441.8399999999</v>
      </c>
      <c r="T571" s="1566"/>
      <c r="U571" s="1566"/>
      <c r="V571" s="1566"/>
      <c r="W571" s="1566">
        <v>341180.7</v>
      </c>
      <c r="X571" s="1566"/>
      <c r="Y571" s="1566"/>
      <c r="Z571" s="1566"/>
      <c r="AA571" s="1566">
        <v>966139828.48000002</v>
      </c>
      <c r="AB571" s="1566"/>
      <c r="AC571" s="1566"/>
      <c r="AD571" s="1566"/>
      <c r="AE571" s="1566"/>
      <c r="AF571" s="1566"/>
      <c r="AG571" s="1566">
        <v>0</v>
      </c>
      <c r="AH571" s="1566"/>
      <c r="AI571" s="1566"/>
      <c r="AJ571" s="1566"/>
      <c r="AK571" s="1566"/>
    </row>
    <row r="572" spans="2:37" ht="9.4" customHeight="1">
      <c r="B572" s="1568" t="s">
        <v>1326</v>
      </c>
      <c r="C572" s="1568"/>
      <c r="D572" s="1568"/>
      <c r="E572" s="1568" t="s">
        <v>2189</v>
      </c>
      <c r="F572" s="1568"/>
      <c r="G572" s="1568"/>
      <c r="H572" s="1568"/>
      <c r="J572" s="1568" t="s">
        <v>1015</v>
      </c>
      <c r="K572" s="1568"/>
      <c r="L572" s="1568"/>
      <c r="M572" s="1566">
        <v>1758830</v>
      </c>
      <c r="N572" s="1566"/>
      <c r="O572" s="1566"/>
      <c r="P572" s="1566">
        <v>0</v>
      </c>
      <c r="Q572" s="1566"/>
      <c r="R572" s="1566"/>
      <c r="S572" s="1566">
        <v>0</v>
      </c>
      <c r="T572" s="1566"/>
      <c r="U572" s="1566"/>
      <c r="V572" s="1566"/>
      <c r="W572" s="1566">
        <v>0</v>
      </c>
      <c r="X572" s="1566"/>
      <c r="Y572" s="1566"/>
      <c r="Z572" s="1566"/>
      <c r="AA572" s="1566">
        <v>1758830</v>
      </c>
      <c r="AB572" s="1566"/>
      <c r="AC572" s="1566"/>
      <c r="AD572" s="1566"/>
      <c r="AE572" s="1566"/>
      <c r="AF572" s="1566"/>
      <c r="AG572" s="1566">
        <v>0</v>
      </c>
      <c r="AH572" s="1566"/>
      <c r="AI572" s="1566"/>
      <c r="AJ572" s="1566"/>
      <c r="AK572" s="1566"/>
    </row>
    <row r="573" spans="2:37" ht="9.4" customHeight="1">
      <c r="B573" s="1568" t="s">
        <v>1326</v>
      </c>
      <c r="C573" s="1568"/>
      <c r="D573" s="1568"/>
      <c r="E573" s="1568" t="s">
        <v>1553</v>
      </c>
      <c r="F573" s="1568"/>
      <c r="G573" s="1568"/>
      <c r="H573" s="1568"/>
      <c r="J573" s="1568" t="s">
        <v>1554</v>
      </c>
      <c r="K573" s="1568"/>
      <c r="L573" s="1568"/>
      <c r="M573" s="1566">
        <v>1758830</v>
      </c>
      <c r="N573" s="1566"/>
      <c r="O573" s="1566"/>
      <c r="P573" s="1566">
        <v>0</v>
      </c>
      <c r="Q573" s="1566"/>
      <c r="R573" s="1566"/>
      <c r="S573" s="1566">
        <v>0</v>
      </c>
      <c r="T573" s="1566"/>
      <c r="U573" s="1566"/>
      <c r="V573" s="1566"/>
      <c r="W573" s="1566">
        <v>0</v>
      </c>
      <c r="X573" s="1566"/>
      <c r="Y573" s="1566"/>
      <c r="Z573" s="1566"/>
      <c r="AA573" s="1566">
        <v>1758830</v>
      </c>
      <c r="AB573" s="1566"/>
      <c r="AC573" s="1566"/>
      <c r="AD573" s="1566"/>
      <c r="AE573" s="1566"/>
      <c r="AF573" s="1566"/>
      <c r="AG573" s="1566">
        <v>0</v>
      </c>
      <c r="AH573" s="1566"/>
      <c r="AI573" s="1566"/>
      <c r="AJ573" s="1566"/>
      <c r="AK573" s="1566"/>
    </row>
    <row r="574" spans="2:37" ht="9.4" customHeight="1">
      <c r="B574" s="1568" t="s">
        <v>1326</v>
      </c>
      <c r="C574" s="1568"/>
      <c r="D574" s="1568"/>
      <c r="E574" s="1568" t="s">
        <v>1555</v>
      </c>
      <c r="F574" s="1568"/>
      <c r="G574" s="1568"/>
      <c r="H574" s="1568"/>
      <c r="J574" s="1568" t="s">
        <v>1556</v>
      </c>
      <c r="K574" s="1568"/>
      <c r="L574" s="1568"/>
      <c r="M574" s="1566">
        <v>1758830</v>
      </c>
      <c r="N574" s="1566"/>
      <c r="O574" s="1566"/>
      <c r="P574" s="1566">
        <v>0</v>
      </c>
      <c r="Q574" s="1566"/>
      <c r="R574" s="1566"/>
      <c r="S574" s="1566">
        <v>0</v>
      </c>
      <c r="T574" s="1566"/>
      <c r="U574" s="1566"/>
      <c r="V574" s="1566"/>
      <c r="W574" s="1566">
        <v>0</v>
      </c>
      <c r="X574" s="1566"/>
      <c r="Y574" s="1566"/>
      <c r="Z574" s="1566"/>
      <c r="AA574" s="1566">
        <v>1758830</v>
      </c>
      <c r="AB574" s="1566"/>
      <c r="AC574" s="1566"/>
      <c r="AD574" s="1566"/>
      <c r="AE574" s="1566"/>
      <c r="AF574" s="1566"/>
      <c r="AG574" s="1566">
        <v>0</v>
      </c>
      <c r="AH574" s="1566"/>
      <c r="AI574" s="1566"/>
      <c r="AJ574" s="1566"/>
      <c r="AK574" s="1566"/>
    </row>
    <row r="575" spans="2:37" ht="9.4" customHeight="1">
      <c r="B575" s="1568" t="s">
        <v>1326</v>
      </c>
      <c r="C575" s="1568"/>
      <c r="D575" s="1568"/>
      <c r="E575" s="1568" t="s">
        <v>1557</v>
      </c>
      <c r="F575" s="1568"/>
      <c r="G575" s="1568"/>
      <c r="H575" s="1568"/>
      <c r="J575" s="1568" t="s">
        <v>2190</v>
      </c>
      <c r="K575" s="1568"/>
      <c r="L575" s="1568"/>
      <c r="M575" s="1566">
        <v>8830</v>
      </c>
      <c r="N575" s="1566"/>
      <c r="O575" s="1566"/>
      <c r="P575" s="1566">
        <v>0</v>
      </c>
      <c r="Q575" s="1566"/>
      <c r="R575" s="1566"/>
      <c r="S575" s="1566">
        <v>0</v>
      </c>
      <c r="T575" s="1566"/>
      <c r="U575" s="1566"/>
      <c r="V575" s="1566"/>
      <c r="W575" s="1566">
        <v>0</v>
      </c>
      <c r="X575" s="1566"/>
      <c r="Y575" s="1566"/>
      <c r="Z575" s="1566"/>
      <c r="AA575" s="1566">
        <v>8830</v>
      </c>
      <c r="AB575" s="1566"/>
      <c r="AC575" s="1566"/>
      <c r="AD575" s="1566"/>
      <c r="AE575" s="1566"/>
      <c r="AF575" s="1566"/>
      <c r="AG575" s="1566">
        <v>0</v>
      </c>
      <c r="AH575" s="1566"/>
      <c r="AI575" s="1566"/>
      <c r="AJ575" s="1566"/>
      <c r="AK575" s="1566"/>
    </row>
    <row r="576" spans="2:37" ht="9.4" customHeight="1">
      <c r="B576" s="1568" t="s">
        <v>1326</v>
      </c>
      <c r="C576" s="1568"/>
      <c r="D576" s="1568"/>
      <c r="E576" s="1568" t="s">
        <v>1558</v>
      </c>
      <c r="F576" s="1568"/>
      <c r="G576" s="1568"/>
      <c r="H576" s="1568"/>
      <c r="J576" s="1568" t="s">
        <v>2191</v>
      </c>
      <c r="K576" s="1568"/>
      <c r="L576" s="1568"/>
      <c r="M576" s="1566">
        <v>1750000</v>
      </c>
      <c r="N576" s="1566"/>
      <c r="O576" s="1566"/>
      <c r="P576" s="1566">
        <v>0</v>
      </c>
      <c r="Q576" s="1566"/>
      <c r="R576" s="1566"/>
      <c r="S576" s="1566">
        <v>0</v>
      </c>
      <c r="T576" s="1566"/>
      <c r="U576" s="1566"/>
      <c r="V576" s="1566"/>
      <c r="W576" s="1566">
        <v>0</v>
      </c>
      <c r="X576" s="1566"/>
      <c r="Y576" s="1566"/>
      <c r="Z576" s="1566"/>
      <c r="AA576" s="1566">
        <v>1750000</v>
      </c>
      <c r="AB576" s="1566"/>
      <c r="AC576" s="1566"/>
      <c r="AD576" s="1566"/>
      <c r="AE576" s="1566"/>
      <c r="AF576" s="1566"/>
      <c r="AG576" s="1566">
        <v>0</v>
      </c>
      <c r="AH576" s="1566"/>
      <c r="AI576" s="1566"/>
      <c r="AJ576" s="1566"/>
      <c r="AK576" s="1566"/>
    </row>
    <row r="577" spans="2:37" ht="9.4" customHeight="1">
      <c r="B577" s="1568" t="s">
        <v>1326</v>
      </c>
      <c r="C577" s="1568"/>
      <c r="D577" s="1568"/>
      <c r="E577" s="1568" t="s">
        <v>2192</v>
      </c>
      <c r="F577" s="1568"/>
      <c r="G577" s="1568"/>
      <c r="H577" s="1568"/>
      <c r="J577" s="1568" t="s">
        <v>1016</v>
      </c>
      <c r="K577" s="1568"/>
      <c r="L577" s="1568"/>
      <c r="M577" s="1566">
        <v>971238209.24000001</v>
      </c>
      <c r="N577" s="1566"/>
      <c r="O577" s="1566"/>
      <c r="P577" s="1566">
        <v>0</v>
      </c>
      <c r="Q577" s="1566"/>
      <c r="R577" s="1566"/>
      <c r="S577" s="1566">
        <v>9059441.8399999999</v>
      </c>
      <c r="T577" s="1566"/>
      <c r="U577" s="1566"/>
      <c r="V577" s="1566"/>
      <c r="W577" s="1566">
        <v>0</v>
      </c>
      <c r="X577" s="1566"/>
      <c r="Y577" s="1566"/>
      <c r="Z577" s="1566"/>
      <c r="AA577" s="1566">
        <v>980297651.08000004</v>
      </c>
      <c r="AB577" s="1566"/>
      <c r="AC577" s="1566"/>
      <c r="AD577" s="1566"/>
      <c r="AE577" s="1566"/>
      <c r="AF577" s="1566"/>
      <c r="AG577" s="1566">
        <v>0</v>
      </c>
      <c r="AH577" s="1566"/>
      <c r="AI577" s="1566"/>
      <c r="AJ577" s="1566"/>
      <c r="AK577" s="1566"/>
    </row>
    <row r="578" spans="2:37" ht="9.1999999999999993" customHeight="1">
      <c r="J578" s="1568"/>
      <c r="K578" s="1568"/>
      <c r="L578" s="1568"/>
    </row>
    <row r="579" spans="2:37" ht="8.4499999999999993" customHeight="1">
      <c r="B579" s="1568" t="s">
        <v>1326</v>
      </c>
      <c r="C579" s="1568"/>
      <c r="D579" s="1568"/>
      <c r="E579" s="1568" t="s">
        <v>1559</v>
      </c>
      <c r="F579" s="1568"/>
      <c r="G579" s="1568"/>
      <c r="H579" s="1568"/>
      <c r="J579" s="1568" t="s">
        <v>194</v>
      </c>
      <c r="K579" s="1568"/>
      <c r="L579" s="1568"/>
      <c r="M579" s="1566">
        <v>768669276.60000002</v>
      </c>
      <c r="N579" s="1566"/>
      <c r="O579" s="1566"/>
      <c r="P579" s="1566">
        <v>0</v>
      </c>
      <c r="Q579" s="1566"/>
      <c r="R579" s="1566"/>
      <c r="S579" s="1566">
        <v>657519.86</v>
      </c>
      <c r="T579" s="1566"/>
      <c r="U579" s="1566"/>
      <c r="V579" s="1566"/>
      <c r="W579" s="1566">
        <v>0</v>
      </c>
      <c r="X579" s="1566"/>
      <c r="Y579" s="1566"/>
      <c r="Z579" s="1566"/>
      <c r="AA579" s="1566">
        <v>769326796.46000004</v>
      </c>
      <c r="AB579" s="1566"/>
      <c r="AC579" s="1566"/>
      <c r="AD579" s="1566"/>
      <c r="AE579" s="1566"/>
      <c r="AF579" s="1566"/>
      <c r="AG579" s="1566">
        <v>0</v>
      </c>
      <c r="AH579" s="1566"/>
      <c r="AI579" s="1566"/>
      <c r="AJ579" s="1566"/>
      <c r="AK579" s="1566"/>
    </row>
    <row r="580" spans="2:37" ht="9.4" customHeight="1">
      <c r="B580" s="1568" t="s">
        <v>1326</v>
      </c>
      <c r="C580" s="1568"/>
      <c r="D580" s="1568"/>
      <c r="E580" s="1568" t="s">
        <v>3164</v>
      </c>
      <c r="F580" s="1568"/>
      <c r="G580" s="1568"/>
      <c r="H580" s="1568"/>
      <c r="J580" s="1568" t="s">
        <v>2193</v>
      </c>
      <c r="K580" s="1568"/>
      <c r="L580" s="1568"/>
      <c r="M580" s="1566">
        <v>334400526.79000002</v>
      </c>
      <c r="N580" s="1566"/>
      <c r="O580" s="1566"/>
      <c r="P580" s="1566">
        <v>0</v>
      </c>
      <c r="Q580" s="1566"/>
      <c r="R580" s="1566"/>
      <c r="S580" s="1566">
        <v>165469.01999999999</v>
      </c>
      <c r="T580" s="1566"/>
      <c r="U580" s="1566"/>
      <c r="V580" s="1566"/>
      <c r="W580" s="1566">
        <v>0</v>
      </c>
      <c r="X580" s="1566"/>
      <c r="Y580" s="1566"/>
      <c r="Z580" s="1566"/>
      <c r="AA580" s="1566">
        <v>334565995.81</v>
      </c>
      <c r="AB580" s="1566"/>
      <c r="AC580" s="1566"/>
      <c r="AD580" s="1566"/>
      <c r="AE580" s="1566"/>
      <c r="AF580" s="1566"/>
      <c r="AG580" s="1566">
        <v>0</v>
      </c>
      <c r="AH580" s="1566"/>
      <c r="AI580" s="1566"/>
      <c r="AJ580" s="1566"/>
      <c r="AK580" s="1566"/>
    </row>
    <row r="581" spans="2:37" ht="9.4" customHeight="1">
      <c r="B581" s="1568" t="s">
        <v>1326</v>
      </c>
      <c r="C581" s="1568"/>
      <c r="D581" s="1568"/>
      <c r="E581" s="1568" t="s">
        <v>3165</v>
      </c>
      <c r="F581" s="1568"/>
      <c r="G581" s="1568"/>
      <c r="H581" s="1568"/>
      <c r="J581" s="1568" t="s">
        <v>2194</v>
      </c>
      <c r="K581" s="1568"/>
      <c r="L581" s="1568"/>
      <c r="M581" s="1566">
        <v>111173878.45999999</v>
      </c>
      <c r="N581" s="1566"/>
      <c r="O581" s="1566"/>
      <c r="P581" s="1566">
        <v>0</v>
      </c>
      <c r="Q581" s="1566"/>
      <c r="R581" s="1566"/>
      <c r="S581" s="1566">
        <v>126145.23</v>
      </c>
      <c r="T581" s="1566"/>
      <c r="U581" s="1566"/>
      <c r="V581" s="1566"/>
      <c r="W581" s="1566">
        <v>0</v>
      </c>
      <c r="X581" s="1566"/>
      <c r="Y581" s="1566"/>
      <c r="Z581" s="1566"/>
      <c r="AA581" s="1566">
        <v>111300023.69</v>
      </c>
      <c r="AB581" s="1566"/>
      <c r="AC581" s="1566"/>
      <c r="AD581" s="1566"/>
      <c r="AE581" s="1566"/>
      <c r="AF581" s="1566"/>
      <c r="AG581" s="1566">
        <v>0</v>
      </c>
      <c r="AH581" s="1566"/>
      <c r="AI581" s="1566"/>
      <c r="AJ581" s="1566"/>
      <c r="AK581" s="1566"/>
    </row>
    <row r="582" spans="2:37" ht="9.4" customHeight="1">
      <c r="B582" s="1568" t="s">
        <v>1326</v>
      </c>
      <c r="C582" s="1568"/>
      <c r="D582" s="1568"/>
      <c r="E582" s="1568" t="s">
        <v>3166</v>
      </c>
      <c r="F582" s="1568"/>
      <c r="G582" s="1568"/>
      <c r="H582" s="1568"/>
      <c r="J582" s="1568" t="s">
        <v>2195</v>
      </c>
      <c r="K582" s="1568"/>
      <c r="L582" s="1568"/>
      <c r="M582" s="1566">
        <v>102164027.19</v>
      </c>
      <c r="N582" s="1566"/>
      <c r="O582" s="1566"/>
      <c r="P582" s="1566">
        <v>0</v>
      </c>
      <c r="Q582" s="1566"/>
      <c r="R582" s="1566"/>
      <c r="S582" s="1566">
        <v>82673.179999999993</v>
      </c>
      <c r="T582" s="1566"/>
      <c r="U582" s="1566"/>
      <c r="V582" s="1566"/>
      <c r="W582" s="1566">
        <v>0</v>
      </c>
      <c r="X582" s="1566"/>
      <c r="Y582" s="1566"/>
      <c r="Z582" s="1566"/>
      <c r="AA582" s="1566">
        <v>102246700.37</v>
      </c>
      <c r="AB582" s="1566"/>
      <c r="AC582" s="1566"/>
      <c r="AD582" s="1566"/>
      <c r="AE582" s="1566"/>
      <c r="AF582" s="1566"/>
      <c r="AG582" s="1566">
        <v>0</v>
      </c>
      <c r="AH582" s="1566"/>
      <c r="AI582" s="1566"/>
      <c r="AJ582" s="1566"/>
      <c r="AK582" s="1566"/>
    </row>
    <row r="583" spans="2:37" ht="9.4" customHeight="1">
      <c r="B583" s="1568" t="s">
        <v>1326</v>
      </c>
      <c r="C583" s="1568"/>
      <c r="D583" s="1568"/>
      <c r="E583" s="1568" t="s">
        <v>3167</v>
      </c>
      <c r="F583" s="1568"/>
      <c r="G583" s="1568"/>
      <c r="H583" s="1568"/>
      <c r="J583" s="1568" t="s">
        <v>2196</v>
      </c>
      <c r="K583" s="1568"/>
      <c r="L583" s="1568"/>
      <c r="M583" s="1566">
        <v>19366689.239999998</v>
      </c>
      <c r="N583" s="1566"/>
      <c r="O583" s="1566"/>
      <c r="P583" s="1566">
        <v>0</v>
      </c>
      <c r="Q583" s="1566"/>
      <c r="R583" s="1566"/>
      <c r="S583" s="1566">
        <v>0</v>
      </c>
      <c r="T583" s="1566"/>
      <c r="U583" s="1566"/>
      <c r="V583" s="1566"/>
      <c r="W583" s="1566">
        <v>0</v>
      </c>
      <c r="X583" s="1566"/>
      <c r="Y583" s="1566"/>
      <c r="Z583" s="1566"/>
      <c r="AA583" s="1566">
        <v>19366689.239999998</v>
      </c>
      <c r="AB583" s="1566"/>
      <c r="AC583" s="1566"/>
      <c r="AD583" s="1566"/>
      <c r="AE583" s="1566"/>
      <c r="AF583" s="1566"/>
      <c r="AG583" s="1566">
        <v>0</v>
      </c>
      <c r="AH583" s="1566"/>
      <c r="AI583" s="1566"/>
      <c r="AJ583" s="1566"/>
      <c r="AK583" s="1566"/>
    </row>
    <row r="584" spans="2:37" ht="9.4" customHeight="1">
      <c r="B584" s="1568" t="s">
        <v>1326</v>
      </c>
      <c r="C584" s="1568"/>
      <c r="D584" s="1568"/>
      <c r="E584" s="1568" t="s">
        <v>3168</v>
      </c>
      <c r="F584" s="1568"/>
      <c r="G584" s="1568"/>
      <c r="H584" s="1568"/>
      <c r="J584" s="1568" t="s">
        <v>2197</v>
      </c>
      <c r="K584" s="1568"/>
      <c r="L584" s="1568"/>
      <c r="M584" s="1566">
        <v>32845318.489999998</v>
      </c>
      <c r="N584" s="1566"/>
      <c r="O584" s="1566"/>
      <c r="P584" s="1566">
        <v>0</v>
      </c>
      <c r="Q584" s="1566"/>
      <c r="R584" s="1566"/>
      <c r="S584" s="1566">
        <v>283232.43</v>
      </c>
      <c r="T584" s="1566"/>
      <c r="U584" s="1566"/>
      <c r="V584" s="1566"/>
      <c r="W584" s="1566">
        <v>0</v>
      </c>
      <c r="X584" s="1566"/>
      <c r="Y584" s="1566"/>
      <c r="Z584" s="1566"/>
      <c r="AA584" s="1566">
        <v>33128550.920000002</v>
      </c>
      <c r="AB584" s="1566"/>
      <c r="AC584" s="1566"/>
      <c r="AD584" s="1566"/>
      <c r="AE584" s="1566"/>
      <c r="AF584" s="1566"/>
      <c r="AG584" s="1566">
        <v>0</v>
      </c>
      <c r="AH584" s="1566"/>
      <c r="AI584" s="1566"/>
      <c r="AJ584" s="1566"/>
      <c r="AK584" s="1566"/>
    </row>
    <row r="585" spans="2:37" ht="9.4" customHeight="1">
      <c r="B585" s="1568" t="s">
        <v>1326</v>
      </c>
      <c r="C585" s="1568"/>
      <c r="D585" s="1568"/>
      <c r="E585" s="1568" t="s">
        <v>3169</v>
      </c>
      <c r="F585" s="1568"/>
      <c r="G585" s="1568"/>
      <c r="H585" s="1568"/>
      <c r="J585" s="1568" t="s">
        <v>3170</v>
      </c>
      <c r="K585" s="1568"/>
      <c r="L585" s="1568"/>
      <c r="M585" s="1566">
        <v>29497077.57</v>
      </c>
      <c r="N585" s="1566"/>
      <c r="O585" s="1566"/>
      <c r="P585" s="1566">
        <v>0</v>
      </c>
      <c r="Q585" s="1566"/>
      <c r="R585" s="1566"/>
      <c r="S585" s="1566">
        <v>0</v>
      </c>
      <c r="T585" s="1566"/>
      <c r="U585" s="1566"/>
      <c r="V585" s="1566"/>
      <c r="W585" s="1566">
        <v>0</v>
      </c>
      <c r="X585" s="1566"/>
      <c r="Y585" s="1566"/>
      <c r="Z585" s="1566"/>
      <c r="AA585" s="1566">
        <v>29497077.57</v>
      </c>
      <c r="AB585" s="1566"/>
      <c r="AC585" s="1566"/>
      <c r="AD585" s="1566"/>
      <c r="AE585" s="1566"/>
      <c r="AF585" s="1566"/>
      <c r="AG585" s="1566">
        <v>0</v>
      </c>
      <c r="AH585" s="1566"/>
      <c r="AI585" s="1566"/>
      <c r="AJ585" s="1566"/>
      <c r="AK585" s="1566"/>
    </row>
    <row r="586" spans="2:37" ht="9.4" customHeight="1">
      <c r="B586" s="1568" t="s">
        <v>1326</v>
      </c>
      <c r="C586" s="1568"/>
      <c r="D586" s="1568"/>
      <c r="E586" s="1568" t="s">
        <v>3171</v>
      </c>
      <c r="F586" s="1568"/>
      <c r="G586" s="1568"/>
      <c r="H586" s="1568"/>
      <c r="J586" s="1568" t="s">
        <v>2198</v>
      </c>
      <c r="K586" s="1568"/>
      <c r="L586" s="1568"/>
      <c r="M586" s="1566">
        <v>24647094.699999999</v>
      </c>
      <c r="N586" s="1566"/>
      <c r="O586" s="1566"/>
      <c r="P586" s="1566">
        <v>0</v>
      </c>
      <c r="Q586" s="1566"/>
      <c r="R586" s="1566"/>
      <c r="S586" s="1566">
        <v>0</v>
      </c>
      <c r="T586" s="1566"/>
      <c r="U586" s="1566"/>
      <c r="V586" s="1566"/>
      <c r="W586" s="1566">
        <v>0</v>
      </c>
      <c r="X586" s="1566"/>
      <c r="Y586" s="1566"/>
      <c r="Z586" s="1566"/>
      <c r="AA586" s="1566">
        <v>24647094.699999999</v>
      </c>
      <c r="AB586" s="1566"/>
      <c r="AC586" s="1566"/>
      <c r="AD586" s="1566"/>
      <c r="AE586" s="1566"/>
      <c r="AF586" s="1566"/>
      <c r="AG586" s="1566">
        <v>0</v>
      </c>
      <c r="AH586" s="1566"/>
      <c r="AI586" s="1566"/>
      <c r="AJ586" s="1566"/>
      <c r="AK586" s="1566"/>
    </row>
    <row r="587" spans="2:37" ht="9.4" customHeight="1">
      <c r="B587" s="1568" t="s">
        <v>1326</v>
      </c>
      <c r="C587" s="1568"/>
      <c r="D587" s="1568"/>
      <c r="E587" s="1568" t="s">
        <v>3172</v>
      </c>
      <c r="F587" s="1568"/>
      <c r="G587" s="1568"/>
      <c r="H587" s="1568"/>
      <c r="J587" s="1568" t="s">
        <v>2199</v>
      </c>
      <c r="K587" s="1568"/>
      <c r="L587" s="1568"/>
      <c r="M587" s="1566">
        <v>9537506.0199999996</v>
      </c>
      <c r="N587" s="1566"/>
      <c r="O587" s="1566"/>
      <c r="P587" s="1566">
        <v>0</v>
      </c>
      <c r="Q587" s="1566"/>
      <c r="R587" s="1566"/>
      <c r="S587" s="1566">
        <v>0</v>
      </c>
      <c r="T587" s="1566"/>
      <c r="U587" s="1566"/>
      <c r="V587" s="1566"/>
      <c r="W587" s="1566">
        <v>0</v>
      </c>
      <c r="X587" s="1566"/>
      <c r="Y587" s="1566"/>
      <c r="Z587" s="1566"/>
      <c r="AA587" s="1566">
        <v>9537506.0199999996</v>
      </c>
      <c r="AB587" s="1566"/>
      <c r="AC587" s="1566"/>
      <c r="AD587" s="1566"/>
      <c r="AE587" s="1566"/>
      <c r="AF587" s="1566"/>
      <c r="AG587" s="1566">
        <v>0</v>
      </c>
      <c r="AH587" s="1566"/>
      <c r="AI587" s="1566"/>
      <c r="AJ587" s="1566"/>
      <c r="AK587" s="1566"/>
    </row>
    <row r="588" spans="2:37" ht="9.4" customHeight="1">
      <c r="B588" s="1568" t="s">
        <v>1326</v>
      </c>
      <c r="C588" s="1568"/>
      <c r="D588" s="1568"/>
      <c r="E588" s="1568" t="s">
        <v>3173</v>
      </c>
      <c r="F588" s="1568"/>
      <c r="G588" s="1568"/>
      <c r="H588" s="1568"/>
      <c r="J588" s="1568" t="s">
        <v>2200</v>
      </c>
      <c r="K588" s="1568"/>
      <c r="L588" s="1568"/>
      <c r="M588" s="1566">
        <v>42541941.060000002</v>
      </c>
      <c r="N588" s="1566"/>
      <c r="O588" s="1566"/>
      <c r="P588" s="1566">
        <v>0</v>
      </c>
      <c r="Q588" s="1566"/>
      <c r="R588" s="1566"/>
      <c r="S588" s="1566">
        <v>0</v>
      </c>
      <c r="T588" s="1566"/>
      <c r="U588" s="1566"/>
      <c r="V588" s="1566"/>
      <c r="W588" s="1566">
        <v>0</v>
      </c>
      <c r="X588" s="1566"/>
      <c r="Y588" s="1566"/>
      <c r="Z588" s="1566"/>
      <c r="AA588" s="1566">
        <v>42541941.060000002</v>
      </c>
      <c r="AB588" s="1566"/>
      <c r="AC588" s="1566"/>
      <c r="AD588" s="1566"/>
      <c r="AE588" s="1566"/>
      <c r="AF588" s="1566"/>
      <c r="AG588" s="1566">
        <v>0</v>
      </c>
      <c r="AH588" s="1566"/>
      <c r="AI588" s="1566"/>
      <c r="AJ588" s="1566"/>
      <c r="AK588" s="1566"/>
    </row>
    <row r="589" spans="2:37" ht="9.4" customHeight="1">
      <c r="B589" s="1568" t="s">
        <v>1326</v>
      </c>
      <c r="C589" s="1568"/>
      <c r="D589" s="1568"/>
      <c r="E589" s="1568" t="s">
        <v>3174</v>
      </c>
      <c r="F589" s="1568"/>
      <c r="G589" s="1568"/>
      <c r="H589" s="1568"/>
      <c r="J589" s="1568" t="s">
        <v>2201</v>
      </c>
      <c r="K589" s="1568"/>
      <c r="L589" s="1568"/>
      <c r="M589" s="1566">
        <v>52573470.68</v>
      </c>
      <c r="N589" s="1566"/>
      <c r="O589" s="1566"/>
      <c r="P589" s="1566">
        <v>0</v>
      </c>
      <c r="Q589" s="1566"/>
      <c r="R589" s="1566"/>
      <c r="S589" s="1566">
        <v>0</v>
      </c>
      <c r="T589" s="1566"/>
      <c r="U589" s="1566"/>
      <c r="V589" s="1566"/>
      <c r="W589" s="1566">
        <v>0</v>
      </c>
      <c r="X589" s="1566"/>
      <c r="Y589" s="1566"/>
      <c r="Z589" s="1566"/>
      <c r="AA589" s="1566">
        <v>52573470.68</v>
      </c>
      <c r="AB589" s="1566"/>
      <c r="AC589" s="1566"/>
      <c r="AD589" s="1566"/>
      <c r="AE589" s="1566"/>
      <c r="AF589" s="1566"/>
      <c r="AG589" s="1566">
        <v>0</v>
      </c>
      <c r="AH589" s="1566"/>
      <c r="AI589" s="1566"/>
      <c r="AJ589" s="1566"/>
      <c r="AK589" s="1566"/>
    </row>
    <row r="590" spans="2:37" ht="9.4" customHeight="1">
      <c r="B590" s="1568" t="s">
        <v>1326</v>
      </c>
      <c r="C590" s="1568"/>
      <c r="D590" s="1568"/>
      <c r="E590" s="1568" t="s">
        <v>3175</v>
      </c>
      <c r="F590" s="1568"/>
      <c r="G590" s="1568"/>
      <c r="H590" s="1568"/>
      <c r="J590" s="1568" t="s">
        <v>2202</v>
      </c>
      <c r="K590" s="1568"/>
      <c r="L590" s="1568"/>
      <c r="M590" s="1566">
        <v>6520761.4800000004</v>
      </c>
      <c r="N590" s="1566"/>
      <c r="O590" s="1566"/>
      <c r="P590" s="1566">
        <v>0</v>
      </c>
      <c r="Q590" s="1566"/>
      <c r="R590" s="1566"/>
      <c r="S590" s="1566">
        <v>0</v>
      </c>
      <c r="T590" s="1566"/>
      <c r="U590" s="1566"/>
      <c r="V590" s="1566"/>
      <c r="W590" s="1566">
        <v>0</v>
      </c>
      <c r="X590" s="1566"/>
      <c r="Y590" s="1566"/>
      <c r="Z590" s="1566"/>
      <c r="AA590" s="1566">
        <v>6520761.4800000004</v>
      </c>
      <c r="AB590" s="1566"/>
      <c r="AC590" s="1566"/>
      <c r="AD590" s="1566"/>
      <c r="AE590" s="1566"/>
      <c r="AF590" s="1566"/>
      <c r="AG590" s="1566">
        <v>0</v>
      </c>
      <c r="AH590" s="1566"/>
      <c r="AI590" s="1566"/>
      <c r="AJ590" s="1566"/>
      <c r="AK590" s="1566"/>
    </row>
    <row r="591" spans="2:37" ht="9.4" customHeight="1">
      <c r="B591" s="1568" t="s">
        <v>1326</v>
      </c>
      <c r="C591" s="1568"/>
      <c r="D591" s="1568"/>
      <c r="E591" s="1568" t="s">
        <v>3176</v>
      </c>
      <c r="F591" s="1568"/>
      <c r="G591" s="1568"/>
      <c r="H591" s="1568"/>
      <c r="J591" s="1568" t="s">
        <v>2203</v>
      </c>
      <c r="K591" s="1568"/>
      <c r="L591" s="1568"/>
      <c r="M591" s="1566">
        <v>3400984.92</v>
      </c>
      <c r="N591" s="1566"/>
      <c r="O591" s="1566"/>
      <c r="P591" s="1566">
        <v>0</v>
      </c>
      <c r="Q591" s="1566"/>
      <c r="R591" s="1566"/>
      <c r="S591" s="1566">
        <v>0</v>
      </c>
      <c r="T591" s="1566"/>
      <c r="U591" s="1566"/>
      <c r="V591" s="1566"/>
      <c r="W591" s="1566">
        <v>0</v>
      </c>
      <c r="X591" s="1566"/>
      <c r="Y591" s="1566"/>
      <c r="Z591" s="1566"/>
      <c r="AA591" s="1566">
        <v>3400984.92</v>
      </c>
      <c r="AB591" s="1566"/>
      <c r="AC591" s="1566"/>
      <c r="AD591" s="1566"/>
      <c r="AE591" s="1566"/>
      <c r="AF591" s="1566"/>
      <c r="AG591" s="1566">
        <v>0</v>
      </c>
      <c r="AH591" s="1566"/>
      <c r="AI591" s="1566"/>
      <c r="AJ591" s="1566"/>
      <c r="AK591" s="1566"/>
    </row>
    <row r="592" spans="2:37" ht="9.4" customHeight="1">
      <c r="B592" s="1568" t="s">
        <v>1326</v>
      </c>
      <c r="C592" s="1568"/>
      <c r="D592" s="1568"/>
      <c r="E592" s="1568" t="s">
        <v>1560</v>
      </c>
      <c r="F592" s="1568"/>
      <c r="G592" s="1568"/>
      <c r="H592" s="1568"/>
      <c r="J592" s="1568" t="s">
        <v>195</v>
      </c>
      <c r="K592" s="1568"/>
      <c r="L592" s="1568"/>
      <c r="M592" s="1566">
        <v>95294994.420000002</v>
      </c>
      <c r="N592" s="1566"/>
      <c r="O592" s="1566"/>
      <c r="P592" s="1566">
        <v>0</v>
      </c>
      <c r="Q592" s="1566"/>
      <c r="R592" s="1566"/>
      <c r="S592" s="1566">
        <v>0</v>
      </c>
      <c r="T592" s="1566"/>
      <c r="U592" s="1566"/>
      <c r="V592" s="1566"/>
      <c r="W592" s="1566">
        <v>0</v>
      </c>
      <c r="X592" s="1566"/>
      <c r="Y592" s="1566"/>
      <c r="Z592" s="1566"/>
      <c r="AA592" s="1566">
        <v>95294994.420000002</v>
      </c>
      <c r="AB592" s="1566"/>
      <c r="AC592" s="1566"/>
      <c r="AD592" s="1566"/>
      <c r="AE592" s="1566"/>
      <c r="AF592" s="1566"/>
      <c r="AG592" s="1566">
        <v>0</v>
      </c>
      <c r="AH592" s="1566"/>
      <c r="AI592" s="1566"/>
      <c r="AJ592" s="1566"/>
      <c r="AK592" s="1566"/>
    </row>
    <row r="593" spans="1:38" ht="9.4" customHeight="1">
      <c r="B593" s="1568" t="s">
        <v>1326</v>
      </c>
      <c r="C593" s="1568"/>
      <c r="D593" s="1568"/>
      <c r="E593" s="1568" t="s">
        <v>2204</v>
      </c>
      <c r="F593" s="1568"/>
      <c r="G593" s="1568"/>
      <c r="H593" s="1568"/>
      <c r="J593" s="1568" t="s">
        <v>2205</v>
      </c>
      <c r="K593" s="1568"/>
      <c r="L593" s="1568"/>
      <c r="M593" s="1566">
        <v>95294994.420000002</v>
      </c>
      <c r="N593" s="1566"/>
      <c r="O593" s="1566"/>
      <c r="P593" s="1566">
        <v>0</v>
      </c>
      <c r="Q593" s="1566"/>
      <c r="R593" s="1566"/>
      <c r="S593" s="1566">
        <v>0</v>
      </c>
      <c r="T593" s="1566"/>
      <c r="U593" s="1566"/>
      <c r="V593" s="1566"/>
      <c r="W593" s="1566">
        <v>0</v>
      </c>
      <c r="X593" s="1566"/>
      <c r="Y593" s="1566"/>
      <c r="Z593" s="1566"/>
      <c r="AA593" s="1566">
        <v>95294994.420000002</v>
      </c>
      <c r="AB593" s="1566"/>
      <c r="AC593" s="1566"/>
      <c r="AD593" s="1566"/>
      <c r="AE593" s="1566"/>
      <c r="AF593" s="1566"/>
      <c r="AG593" s="1566">
        <v>0</v>
      </c>
      <c r="AH593" s="1566"/>
      <c r="AI593" s="1566"/>
      <c r="AJ593" s="1566"/>
      <c r="AK593" s="1566"/>
    </row>
    <row r="594" spans="1:38" ht="9.4" customHeight="1">
      <c r="B594" s="1568" t="s">
        <v>1326</v>
      </c>
      <c r="C594" s="1568"/>
      <c r="D594" s="1568"/>
      <c r="E594" s="1568" t="s">
        <v>1561</v>
      </c>
      <c r="F594" s="1568"/>
      <c r="G594" s="1568"/>
      <c r="H594" s="1568"/>
      <c r="J594" s="1568" t="s">
        <v>195</v>
      </c>
      <c r="K594" s="1568"/>
      <c r="L594" s="1568"/>
      <c r="M594" s="1566">
        <v>95294994.420000002</v>
      </c>
      <c r="N594" s="1566"/>
      <c r="O594" s="1566"/>
      <c r="P594" s="1566">
        <v>0</v>
      </c>
      <c r="Q594" s="1566"/>
      <c r="R594" s="1566"/>
      <c r="S594" s="1566">
        <v>0</v>
      </c>
      <c r="T594" s="1566"/>
      <c r="U594" s="1566"/>
      <c r="V594" s="1566"/>
      <c r="W594" s="1566">
        <v>0</v>
      </c>
      <c r="X594" s="1566"/>
      <c r="Y594" s="1566"/>
      <c r="Z594" s="1566"/>
      <c r="AA594" s="1566">
        <v>95294994.420000002</v>
      </c>
      <c r="AB594" s="1566"/>
      <c r="AC594" s="1566"/>
      <c r="AD594" s="1566"/>
      <c r="AE594" s="1566"/>
      <c r="AF594" s="1566"/>
      <c r="AG594" s="1566">
        <v>0</v>
      </c>
      <c r="AH594" s="1566"/>
      <c r="AI594" s="1566"/>
      <c r="AJ594" s="1566"/>
      <c r="AK594" s="1566"/>
    </row>
    <row r="595" spans="1:38" ht="9.4" customHeight="1">
      <c r="B595" s="1568" t="s">
        <v>1326</v>
      </c>
      <c r="C595" s="1568"/>
      <c r="D595" s="1568"/>
      <c r="E595" s="1568" t="s">
        <v>2884</v>
      </c>
      <c r="F595" s="1568"/>
      <c r="G595" s="1568"/>
      <c r="H595" s="1568"/>
      <c r="J595" s="1568" t="s">
        <v>2885</v>
      </c>
      <c r="K595" s="1568"/>
      <c r="L595" s="1568"/>
      <c r="M595" s="1566">
        <v>107273938.22</v>
      </c>
      <c r="N595" s="1566"/>
      <c r="O595" s="1566"/>
      <c r="P595" s="1566">
        <v>0</v>
      </c>
      <c r="Q595" s="1566"/>
      <c r="R595" s="1566"/>
      <c r="S595" s="1566">
        <v>8401921.9800000004</v>
      </c>
      <c r="T595" s="1566"/>
      <c r="U595" s="1566"/>
      <c r="V595" s="1566"/>
      <c r="W595" s="1566">
        <v>0</v>
      </c>
      <c r="X595" s="1566"/>
      <c r="Y595" s="1566"/>
      <c r="Z595" s="1566"/>
      <c r="AA595" s="1566">
        <v>115675860.2</v>
      </c>
      <c r="AB595" s="1566"/>
      <c r="AC595" s="1566"/>
      <c r="AD595" s="1566"/>
      <c r="AE595" s="1566"/>
      <c r="AF595" s="1566"/>
      <c r="AG595" s="1566">
        <v>0</v>
      </c>
      <c r="AH595" s="1566"/>
      <c r="AI595" s="1566"/>
      <c r="AJ595" s="1566"/>
      <c r="AK595" s="1566"/>
    </row>
    <row r="596" spans="1:38" ht="9.4" customHeight="1">
      <c r="B596" s="1568" t="s">
        <v>1326</v>
      </c>
      <c r="C596" s="1568"/>
      <c r="D596" s="1568"/>
      <c r="E596" s="1568" t="s">
        <v>2886</v>
      </c>
      <c r="F596" s="1568"/>
      <c r="G596" s="1568"/>
      <c r="H596" s="1568"/>
      <c r="J596" s="1568" t="s">
        <v>2887</v>
      </c>
      <c r="K596" s="1568"/>
      <c r="L596" s="1568"/>
      <c r="M596" s="1566">
        <v>106947978.53</v>
      </c>
      <c r="N596" s="1566"/>
      <c r="O596" s="1566"/>
      <c r="P596" s="1566">
        <v>0</v>
      </c>
      <c r="Q596" s="1566"/>
      <c r="R596" s="1566"/>
      <c r="S596" s="1566">
        <v>8380384.9900000002</v>
      </c>
      <c r="T596" s="1566"/>
      <c r="U596" s="1566"/>
      <c r="V596" s="1566"/>
      <c r="W596" s="1566">
        <v>0</v>
      </c>
      <c r="X596" s="1566"/>
      <c r="Y596" s="1566"/>
      <c r="Z596" s="1566"/>
      <c r="AA596" s="1566">
        <v>115328363.52</v>
      </c>
      <c r="AB596" s="1566"/>
      <c r="AC596" s="1566"/>
      <c r="AD596" s="1566"/>
      <c r="AE596" s="1566"/>
      <c r="AF596" s="1566"/>
      <c r="AG596" s="1566">
        <v>0</v>
      </c>
      <c r="AH596" s="1566"/>
      <c r="AI596" s="1566"/>
      <c r="AJ596" s="1566"/>
      <c r="AK596" s="1566"/>
    </row>
    <row r="597" spans="1:38" ht="9.6" customHeight="1"/>
    <row r="598" spans="1:38" ht="14.1" customHeight="1">
      <c r="AG598" s="1565" t="s">
        <v>2245</v>
      </c>
      <c r="AH598" s="1565"/>
      <c r="AI598" s="1565"/>
      <c r="AJ598" s="1565"/>
      <c r="AK598" s="1565"/>
      <c r="AL598" s="1565"/>
    </row>
    <row r="599" spans="1:38" ht="7.15" customHeight="1">
      <c r="D599" s="1578" t="s">
        <v>2992</v>
      </c>
      <c r="E599" s="1578"/>
      <c r="F599" s="1578"/>
      <c r="G599" s="1578"/>
      <c r="H599" s="1578"/>
      <c r="I599" s="1578"/>
      <c r="J599" s="1578"/>
      <c r="K599" s="1578"/>
      <c r="L599" s="1578"/>
      <c r="M599" s="1578"/>
      <c r="N599" s="1578"/>
      <c r="O599" s="1578"/>
      <c r="P599" s="1578"/>
      <c r="Q599" s="1578"/>
      <c r="R599" s="1578"/>
      <c r="S599" s="1578"/>
      <c r="T599" s="1578"/>
      <c r="U599" s="1578"/>
      <c r="V599" s="1578"/>
      <c r="W599" s="1578"/>
      <c r="X599" s="1578"/>
      <c r="Y599" s="1578"/>
      <c r="Z599" s="1578"/>
      <c r="AA599" s="1578"/>
      <c r="AB599" s="1578"/>
      <c r="AC599" s="1578"/>
      <c r="AD599" s="1578"/>
      <c r="AE599" s="1578"/>
      <c r="AF599" s="1578"/>
      <c r="AG599" s="1578"/>
      <c r="AH599" s="1578"/>
    </row>
    <row r="600" spans="1:38" ht="9.6" customHeight="1">
      <c r="A600" s="1579"/>
      <c r="B600" s="1579"/>
      <c r="C600" s="1579"/>
      <c r="D600" s="1579"/>
      <c r="E600" s="1579"/>
      <c r="F600" s="1579"/>
      <c r="G600" s="1579"/>
      <c r="H600" s="1579"/>
      <c r="I600" s="1579"/>
      <c r="J600" s="1578"/>
      <c r="K600" s="1578"/>
      <c r="L600" s="1578"/>
      <c r="M600" s="1578"/>
      <c r="N600" s="1578"/>
      <c r="O600" s="1578"/>
      <c r="P600" s="1578"/>
      <c r="Q600" s="1578"/>
      <c r="R600" s="1578"/>
      <c r="S600" s="1578"/>
      <c r="T600" s="1578"/>
      <c r="U600" s="1578"/>
      <c r="V600" s="1578"/>
      <c r="W600" s="1578"/>
      <c r="X600" s="1578"/>
      <c r="Y600" s="1578"/>
      <c r="Z600" s="1578"/>
      <c r="AA600" s="1578"/>
      <c r="AB600" s="1578"/>
      <c r="AC600" s="1578"/>
      <c r="AD600" s="1578"/>
      <c r="AE600" s="1578"/>
      <c r="AF600" s="1578"/>
      <c r="AG600" s="1578"/>
      <c r="AH600" s="1578"/>
    </row>
    <row r="601" spans="1:38" ht="13.35" customHeight="1">
      <c r="A601" s="1579"/>
      <c r="B601" s="1579"/>
      <c r="C601" s="1579"/>
      <c r="D601" s="1579"/>
      <c r="E601" s="1579"/>
      <c r="F601" s="1579"/>
      <c r="G601" s="1579"/>
      <c r="H601" s="1579"/>
      <c r="I601" s="1579"/>
      <c r="J601" s="1580" t="s">
        <v>79</v>
      </c>
      <c r="K601" s="1580"/>
      <c r="L601" s="1580"/>
      <c r="M601" s="1580"/>
      <c r="N601" s="1580"/>
      <c r="O601" s="1580"/>
      <c r="P601" s="1580"/>
      <c r="Q601" s="1580"/>
      <c r="R601" s="1580"/>
      <c r="S601" s="1580"/>
      <c r="T601" s="1580"/>
      <c r="U601" s="1580"/>
      <c r="V601" s="1580"/>
      <c r="W601" s="1580"/>
      <c r="X601" s="1580"/>
      <c r="Y601" s="1580"/>
      <c r="Z601" s="1580"/>
      <c r="AA601" s="1580"/>
      <c r="AB601" s="1580"/>
      <c r="AC601" s="1580"/>
      <c r="AD601" s="1580"/>
      <c r="AE601" s="1580"/>
      <c r="AF601" s="1580"/>
    </row>
    <row r="602" spans="1:38" ht="5.25" customHeight="1">
      <c r="A602" s="1579"/>
      <c r="B602" s="1579"/>
      <c r="C602" s="1579"/>
      <c r="D602" s="1579"/>
      <c r="E602" s="1579"/>
      <c r="F602" s="1579"/>
      <c r="G602" s="1579"/>
      <c r="H602" s="1579"/>
      <c r="I602" s="1579"/>
      <c r="J602" s="1573" t="s">
        <v>6760</v>
      </c>
      <c r="K602" s="1573"/>
      <c r="L602" s="1573"/>
      <c r="M602" s="1573"/>
      <c r="N602" s="1573"/>
      <c r="O602" s="1573"/>
      <c r="P602" s="1573"/>
      <c r="Q602" s="1573"/>
      <c r="R602" s="1573"/>
      <c r="S602" s="1573"/>
      <c r="T602" s="1573"/>
      <c r="U602" s="1573"/>
      <c r="V602" s="1573"/>
      <c r="W602" s="1573"/>
      <c r="X602" s="1573"/>
      <c r="Y602" s="1573"/>
      <c r="Z602" s="1573"/>
      <c r="AA602" s="1573"/>
      <c r="AB602" s="1573"/>
      <c r="AC602" s="1573"/>
      <c r="AD602" s="1573"/>
      <c r="AE602" s="1573"/>
    </row>
    <row r="603" spans="1:38" ht="8.1" customHeight="1">
      <c r="C603" s="1572" t="s">
        <v>1920</v>
      </c>
      <c r="D603" s="1572"/>
      <c r="E603" s="1572"/>
      <c r="F603" s="1572"/>
      <c r="G603" s="1572"/>
      <c r="H603" s="1572"/>
      <c r="I603" s="1572"/>
      <c r="J603" s="1572"/>
      <c r="K603" s="1573"/>
      <c r="L603" s="1573"/>
      <c r="M603" s="1573"/>
      <c r="N603" s="1573"/>
      <c r="O603" s="1573"/>
      <c r="P603" s="1573"/>
      <c r="Q603" s="1573"/>
      <c r="R603" s="1573"/>
      <c r="S603" s="1573"/>
      <c r="T603" s="1573"/>
      <c r="U603" s="1573"/>
      <c r="V603" s="1573"/>
      <c r="W603" s="1573"/>
      <c r="X603" s="1573"/>
      <c r="Y603" s="1574" t="s">
        <v>5920</v>
      </c>
      <c r="Z603" s="1574"/>
      <c r="AA603" s="1574"/>
      <c r="AB603" s="1574"/>
      <c r="AC603" s="1574"/>
      <c r="AD603" s="1574"/>
      <c r="AE603" s="1574"/>
      <c r="AF603" s="1574"/>
      <c r="AG603" s="1574"/>
      <c r="AH603" s="1575" t="s">
        <v>6761</v>
      </c>
      <c r="AI603" s="1575"/>
      <c r="AJ603" s="1575"/>
      <c r="AK603" s="1575"/>
      <c r="AL603" s="1575"/>
    </row>
    <row r="604" spans="1:38" ht="6" customHeight="1">
      <c r="C604" s="1572"/>
      <c r="D604" s="1572"/>
      <c r="E604" s="1572"/>
      <c r="F604" s="1572"/>
      <c r="G604" s="1572"/>
      <c r="H604" s="1572"/>
      <c r="I604" s="1572"/>
      <c r="J604" s="1572"/>
      <c r="K604" s="1576" t="s">
        <v>1999</v>
      </c>
      <c r="L604" s="1576"/>
      <c r="M604" s="1576"/>
      <c r="N604" s="1576"/>
      <c r="O604" s="1576"/>
      <c r="P604" s="1576"/>
      <c r="Q604" s="1576"/>
      <c r="R604" s="1576"/>
      <c r="S604" s="1576"/>
      <c r="T604" s="1576"/>
      <c r="U604" s="1576"/>
      <c r="V604" s="1576"/>
      <c r="W604" s="1576"/>
      <c r="X604" s="1576"/>
      <c r="Y604" s="1574"/>
      <c r="Z604" s="1574"/>
      <c r="AA604" s="1574"/>
      <c r="AB604" s="1574"/>
      <c r="AC604" s="1574"/>
      <c r="AD604" s="1574"/>
      <c r="AE604" s="1574"/>
      <c r="AF604" s="1574"/>
      <c r="AG604" s="1574"/>
      <c r="AH604" s="1575"/>
      <c r="AI604" s="1575"/>
      <c r="AJ604" s="1575"/>
      <c r="AK604" s="1575"/>
      <c r="AL604" s="1575"/>
    </row>
    <row r="605" spans="1:38" ht="7.35" customHeight="1">
      <c r="C605" s="1572" t="s">
        <v>1998</v>
      </c>
      <c r="D605" s="1572"/>
      <c r="E605" s="1572"/>
      <c r="F605" s="1572"/>
      <c r="G605" s="1577"/>
      <c r="H605" s="1577"/>
      <c r="I605" s="1577"/>
      <c r="J605" s="1577"/>
      <c r="K605" s="1577"/>
      <c r="L605" s="1577"/>
      <c r="M605" s="1577"/>
      <c r="N605" s="1577"/>
      <c r="O605" s="1577"/>
      <c r="P605" s="1577"/>
      <c r="Q605" s="1577"/>
      <c r="R605" s="1577"/>
      <c r="S605" s="1577"/>
      <c r="T605" s="1577"/>
      <c r="U605" s="1577"/>
      <c r="V605" s="1577"/>
      <c r="W605" s="1577"/>
      <c r="X605" s="1577"/>
      <c r="Y605" s="1577"/>
      <c r="Z605" s="1577"/>
      <c r="AA605" s="1577"/>
      <c r="AB605" s="1577"/>
      <c r="AC605" s="1577"/>
      <c r="AD605" s="1577"/>
      <c r="AE605" s="1577"/>
      <c r="AF605" s="1574"/>
      <c r="AG605" s="1574"/>
      <c r="AH605" s="1574" t="s">
        <v>6762</v>
      </c>
      <c r="AI605" s="1574"/>
    </row>
    <row r="606" spans="1:38" ht="6.75" customHeight="1">
      <c r="G606" s="1577"/>
      <c r="H606" s="1577"/>
      <c r="I606" s="1577"/>
      <c r="J606" s="1577"/>
      <c r="K606" s="1577"/>
      <c r="L606" s="1577"/>
      <c r="M606" s="1577"/>
      <c r="N606" s="1577"/>
      <c r="O606" s="1577"/>
      <c r="P606" s="1577"/>
      <c r="Q606" s="1577"/>
      <c r="R606" s="1577"/>
      <c r="S606" s="1577"/>
      <c r="T606" s="1577"/>
      <c r="U606" s="1577"/>
      <c r="V606" s="1577"/>
      <c r="W606" s="1577"/>
      <c r="X606" s="1577"/>
      <c r="Y606" s="1577"/>
      <c r="Z606" s="1577"/>
      <c r="AA606" s="1577"/>
      <c r="AB606" s="1577"/>
      <c r="AC606" s="1577"/>
      <c r="AD606" s="1577"/>
      <c r="AE606" s="1577"/>
      <c r="AF606" s="1574"/>
      <c r="AG606" s="1574"/>
      <c r="AH606" s="1574"/>
      <c r="AI606" s="1574"/>
    </row>
    <row r="607" spans="1:38" ht="11.25" customHeight="1">
      <c r="O607" s="1570" t="s">
        <v>1318</v>
      </c>
      <c r="P607" s="1570"/>
      <c r="Q607" s="1570"/>
      <c r="V607" s="1570" t="s">
        <v>1319</v>
      </c>
      <c r="W607" s="1570"/>
      <c r="X607" s="1570"/>
      <c r="Y607" s="1570"/>
      <c r="AD607" s="1570" t="s">
        <v>1320</v>
      </c>
      <c r="AE607" s="1570"/>
      <c r="AF607" s="1570"/>
      <c r="AG607" s="1570"/>
      <c r="AH607" s="1570"/>
      <c r="AI607" s="1570"/>
      <c r="AJ607" s="1570"/>
    </row>
    <row r="608" spans="1:38" ht="8.4499999999999993" customHeight="1">
      <c r="B608" s="1571" t="s">
        <v>1321</v>
      </c>
      <c r="C608" s="1571"/>
      <c r="D608" s="1571"/>
      <c r="E608" s="1571" t="s">
        <v>1322</v>
      </c>
      <c r="F608" s="1571"/>
      <c r="G608" s="1571"/>
      <c r="J608" s="1571" t="s">
        <v>1323</v>
      </c>
      <c r="K608" s="1571"/>
      <c r="L608" s="1571"/>
      <c r="M608" s="1571"/>
      <c r="N608" s="1571"/>
      <c r="O608" s="1402" t="s">
        <v>1324</v>
      </c>
      <c r="Q608" s="1569" t="s">
        <v>1325</v>
      </c>
      <c r="R608" s="1569"/>
      <c r="U608" s="1569" t="s">
        <v>1324</v>
      </c>
      <c r="V608" s="1569"/>
      <c r="X608" s="1569" t="s">
        <v>1325</v>
      </c>
      <c r="Y608" s="1569"/>
      <c r="Z608" s="1569"/>
      <c r="AC608" s="1569" t="s">
        <v>1324</v>
      </c>
      <c r="AD608" s="1569"/>
      <c r="AE608" s="1569"/>
      <c r="AF608" s="1569"/>
      <c r="AH608" s="1569" t="s">
        <v>1325</v>
      </c>
      <c r="AI608" s="1569"/>
      <c r="AJ608" s="1569"/>
      <c r="AK608" s="1569"/>
    </row>
    <row r="609" spans="2:37" ht="9.9499999999999993" customHeight="1">
      <c r="B609" s="1568" t="s">
        <v>1326</v>
      </c>
      <c r="C609" s="1568"/>
      <c r="D609" s="1568"/>
      <c r="E609" s="1568" t="s">
        <v>3256</v>
      </c>
      <c r="F609" s="1568"/>
      <c r="G609" s="1568"/>
      <c r="H609" s="1568"/>
      <c r="J609" s="1568" t="s">
        <v>3257</v>
      </c>
      <c r="K609" s="1568"/>
      <c r="L609" s="1568"/>
      <c r="M609" s="1566">
        <v>106947978.53</v>
      </c>
      <c r="N609" s="1566"/>
      <c r="O609" s="1566"/>
      <c r="P609" s="1566">
        <v>0</v>
      </c>
      <c r="Q609" s="1566"/>
      <c r="R609" s="1566"/>
      <c r="S609" s="1566">
        <v>8380384.9900000002</v>
      </c>
      <c r="T609" s="1566"/>
      <c r="U609" s="1566"/>
      <c r="V609" s="1566"/>
      <c r="W609" s="1566">
        <v>0</v>
      </c>
      <c r="X609" s="1566"/>
      <c r="Y609" s="1566"/>
      <c r="Z609" s="1566"/>
      <c r="AA609" s="1566">
        <v>115328363.52</v>
      </c>
      <c r="AB609" s="1566"/>
      <c r="AC609" s="1566"/>
      <c r="AD609" s="1566"/>
      <c r="AE609" s="1566"/>
      <c r="AF609" s="1566"/>
      <c r="AG609" s="1566">
        <v>0</v>
      </c>
      <c r="AH609" s="1566"/>
      <c r="AI609" s="1566"/>
      <c r="AJ609" s="1566"/>
      <c r="AK609" s="1566"/>
    </row>
    <row r="610" spans="2:37" ht="9.4" customHeight="1">
      <c r="B610" s="1568" t="s">
        <v>1326</v>
      </c>
      <c r="C610" s="1568"/>
      <c r="D610" s="1568"/>
      <c r="E610" s="1568" t="s">
        <v>5829</v>
      </c>
      <c r="F610" s="1568"/>
      <c r="G610" s="1568"/>
      <c r="H610" s="1568"/>
      <c r="J610" s="1568" t="s">
        <v>5830</v>
      </c>
      <c r="K610" s="1568"/>
      <c r="L610" s="1568"/>
      <c r="M610" s="1566">
        <v>325959.69</v>
      </c>
      <c r="N610" s="1566"/>
      <c r="O610" s="1566"/>
      <c r="P610" s="1566">
        <v>0</v>
      </c>
      <c r="Q610" s="1566"/>
      <c r="R610" s="1566"/>
      <c r="S610" s="1566">
        <v>21536.99</v>
      </c>
      <c r="T610" s="1566"/>
      <c r="U610" s="1566"/>
      <c r="V610" s="1566"/>
      <c r="W610" s="1566">
        <v>0</v>
      </c>
      <c r="X610" s="1566"/>
      <c r="Y610" s="1566"/>
      <c r="Z610" s="1566"/>
      <c r="AA610" s="1566">
        <v>347496.68</v>
      </c>
      <c r="AB610" s="1566"/>
      <c r="AC610" s="1566"/>
      <c r="AD610" s="1566"/>
      <c r="AE610" s="1566"/>
      <c r="AF610" s="1566"/>
      <c r="AG610" s="1566">
        <v>0</v>
      </c>
      <c r="AH610" s="1566"/>
      <c r="AI610" s="1566"/>
      <c r="AJ610" s="1566"/>
      <c r="AK610" s="1566"/>
    </row>
    <row r="611" spans="2:37" ht="9.4" customHeight="1">
      <c r="B611" s="1568" t="s">
        <v>1326</v>
      </c>
      <c r="C611" s="1568"/>
      <c r="D611" s="1568"/>
      <c r="E611" s="1568" t="s">
        <v>5831</v>
      </c>
      <c r="F611" s="1568"/>
      <c r="G611" s="1568"/>
      <c r="H611" s="1568"/>
      <c r="J611" s="1568" t="s">
        <v>5832</v>
      </c>
      <c r="K611" s="1568"/>
      <c r="L611" s="1568"/>
      <c r="M611" s="1566">
        <v>325959.69</v>
      </c>
      <c r="N611" s="1566"/>
      <c r="O611" s="1566"/>
      <c r="P611" s="1566">
        <v>0</v>
      </c>
      <c r="Q611" s="1566"/>
      <c r="R611" s="1566"/>
      <c r="S611" s="1566">
        <v>21536.99</v>
      </c>
      <c r="T611" s="1566"/>
      <c r="U611" s="1566"/>
      <c r="V611" s="1566"/>
      <c r="W611" s="1566">
        <v>0</v>
      </c>
      <c r="X611" s="1566"/>
      <c r="Y611" s="1566"/>
      <c r="Z611" s="1566"/>
      <c r="AA611" s="1566">
        <v>347496.68</v>
      </c>
      <c r="AB611" s="1566"/>
      <c r="AC611" s="1566"/>
      <c r="AD611" s="1566"/>
      <c r="AE611" s="1566"/>
      <c r="AF611" s="1566"/>
      <c r="AG611" s="1566">
        <v>0</v>
      </c>
      <c r="AH611" s="1566"/>
      <c r="AI611" s="1566"/>
      <c r="AJ611" s="1566"/>
      <c r="AK611" s="1566"/>
    </row>
    <row r="612" spans="2:37" ht="9.4" customHeight="1">
      <c r="B612" s="1568" t="s">
        <v>1326</v>
      </c>
      <c r="C612" s="1568"/>
      <c r="D612" s="1568"/>
      <c r="E612" s="1568" t="s">
        <v>2206</v>
      </c>
      <c r="F612" s="1568"/>
      <c r="G612" s="1568"/>
      <c r="H612" s="1568"/>
      <c r="J612" s="1568" t="s">
        <v>1017</v>
      </c>
      <c r="K612" s="1568"/>
      <c r="L612" s="1568"/>
      <c r="M612" s="1566">
        <v>12318241.439999999</v>
      </c>
      <c r="N612" s="1566"/>
      <c r="O612" s="1566"/>
      <c r="P612" s="1566">
        <v>0</v>
      </c>
      <c r="Q612" s="1566"/>
      <c r="R612" s="1566"/>
      <c r="S612" s="1566">
        <v>0</v>
      </c>
      <c r="T612" s="1566"/>
      <c r="U612" s="1566"/>
      <c r="V612" s="1566"/>
      <c r="W612" s="1566">
        <v>0</v>
      </c>
      <c r="X612" s="1566"/>
      <c r="Y612" s="1566"/>
      <c r="Z612" s="1566"/>
      <c r="AA612" s="1566">
        <v>12318241.439999999</v>
      </c>
      <c r="AB612" s="1566"/>
      <c r="AC612" s="1566"/>
      <c r="AD612" s="1566"/>
      <c r="AE612" s="1566"/>
      <c r="AF612" s="1566"/>
      <c r="AG612" s="1566">
        <v>0</v>
      </c>
      <c r="AH612" s="1566"/>
      <c r="AI612" s="1566"/>
      <c r="AJ612" s="1566"/>
      <c r="AK612" s="1566"/>
    </row>
    <row r="613" spans="2:37" ht="9.4" customHeight="1">
      <c r="B613" s="1568" t="s">
        <v>1326</v>
      </c>
      <c r="C613" s="1568"/>
      <c r="D613" s="1568"/>
      <c r="E613" s="1568" t="s">
        <v>1562</v>
      </c>
      <c r="F613" s="1568"/>
      <c r="G613" s="1568"/>
      <c r="H613" s="1568"/>
      <c r="J613" s="1568" t="s">
        <v>1563</v>
      </c>
      <c r="K613" s="1568"/>
      <c r="L613" s="1568"/>
      <c r="M613" s="1566">
        <v>3613906.97</v>
      </c>
      <c r="N613" s="1566"/>
      <c r="O613" s="1566"/>
      <c r="P613" s="1566">
        <v>0</v>
      </c>
      <c r="Q613" s="1566"/>
      <c r="R613" s="1566"/>
      <c r="S613" s="1566">
        <v>0</v>
      </c>
      <c r="T613" s="1566"/>
      <c r="U613" s="1566"/>
      <c r="V613" s="1566"/>
      <c r="W613" s="1566">
        <v>0</v>
      </c>
      <c r="X613" s="1566"/>
      <c r="Y613" s="1566"/>
      <c r="Z613" s="1566"/>
      <c r="AA613" s="1566">
        <v>3613906.97</v>
      </c>
      <c r="AB613" s="1566"/>
      <c r="AC613" s="1566"/>
      <c r="AD613" s="1566"/>
      <c r="AE613" s="1566"/>
      <c r="AF613" s="1566"/>
      <c r="AG613" s="1566">
        <v>0</v>
      </c>
      <c r="AH613" s="1566"/>
      <c r="AI613" s="1566"/>
      <c r="AJ613" s="1566"/>
      <c r="AK613" s="1566"/>
    </row>
    <row r="614" spans="2:37" ht="9.4" customHeight="1">
      <c r="B614" s="1568" t="s">
        <v>1326</v>
      </c>
      <c r="C614" s="1568"/>
      <c r="D614" s="1568"/>
      <c r="E614" s="1568" t="s">
        <v>1564</v>
      </c>
      <c r="F614" s="1568"/>
      <c r="G614" s="1568"/>
      <c r="H614" s="1568"/>
      <c r="J614" s="1568" t="s">
        <v>2207</v>
      </c>
      <c r="K614" s="1568"/>
      <c r="L614" s="1568"/>
      <c r="M614" s="1566">
        <v>1470377.73</v>
      </c>
      <c r="N614" s="1566"/>
      <c r="O614" s="1566"/>
      <c r="P614" s="1566">
        <v>0</v>
      </c>
      <c r="Q614" s="1566"/>
      <c r="R614" s="1566"/>
      <c r="S614" s="1566">
        <v>0</v>
      </c>
      <c r="T614" s="1566"/>
      <c r="U614" s="1566"/>
      <c r="V614" s="1566"/>
      <c r="W614" s="1566">
        <v>0</v>
      </c>
      <c r="X614" s="1566"/>
      <c r="Y614" s="1566"/>
      <c r="Z614" s="1566"/>
      <c r="AA614" s="1566">
        <v>1470377.73</v>
      </c>
      <c r="AB614" s="1566"/>
      <c r="AC614" s="1566"/>
      <c r="AD614" s="1566"/>
      <c r="AE614" s="1566"/>
      <c r="AF614" s="1566"/>
      <c r="AG614" s="1566">
        <v>0</v>
      </c>
      <c r="AH614" s="1566"/>
      <c r="AI614" s="1566"/>
      <c r="AJ614" s="1566"/>
      <c r="AK614" s="1566"/>
    </row>
    <row r="615" spans="2:37" ht="9.4" customHeight="1">
      <c r="B615" s="1568" t="s">
        <v>1326</v>
      </c>
      <c r="C615" s="1568"/>
      <c r="D615" s="1568"/>
      <c r="E615" s="1568" t="s">
        <v>1565</v>
      </c>
      <c r="F615" s="1568"/>
      <c r="G615" s="1568"/>
      <c r="H615" s="1568"/>
      <c r="J615" s="1568" t="s">
        <v>2208</v>
      </c>
      <c r="K615" s="1568"/>
      <c r="L615" s="1568"/>
      <c r="M615" s="1566">
        <v>2143529.2400000002</v>
      </c>
      <c r="N615" s="1566"/>
      <c r="O615" s="1566"/>
      <c r="P615" s="1566">
        <v>0</v>
      </c>
      <c r="Q615" s="1566"/>
      <c r="R615" s="1566"/>
      <c r="S615" s="1566">
        <v>0</v>
      </c>
      <c r="T615" s="1566"/>
      <c r="U615" s="1566"/>
      <c r="V615" s="1566"/>
      <c r="W615" s="1566">
        <v>0</v>
      </c>
      <c r="X615" s="1566"/>
      <c r="Y615" s="1566"/>
      <c r="Z615" s="1566"/>
      <c r="AA615" s="1566">
        <v>2143529.2400000002</v>
      </c>
      <c r="AB615" s="1566"/>
      <c r="AC615" s="1566"/>
      <c r="AD615" s="1566"/>
      <c r="AE615" s="1566"/>
      <c r="AF615" s="1566"/>
      <c r="AG615" s="1566">
        <v>0</v>
      </c>
      <c r="AH615" s="1566"/>
      <c r="AI615" s="1566"/>
      <c r="AJ615" s="1566"/>
      <c r="AK615" s="1566"/>
    </row>
    <row r="616" spans="2:37" ht="9.4" customHeight="1">
      <c r="B616" s="1568" t="s">
        <v>1326</v>
      </c>
      <c r="C616" s="1568"/>
      <c r="D616" s="1568"/>
      <c r="E616" s="1568" t="s">
        <v>1566</v>
      </c>
      <c r="F616" s="1568"/>
      <c r="G616" s="1568"/>
      <c r="H616" s="1568"/>
      <c r="J616" s="1568" t="s">
        <v>3001</v>
      </c>
      <c r="K616" s="1568"/>
      <c r="L616" s="1568"/>
      <c r="M616" s="1566">
        <v>4309336.95</v>
      </c>
      <c r="N616" s="1566"/>
      <c r="O616" s="1566"/>
      <c r="P616" s="1566">
        <v>0</v>
      </c>
      <c r="Q616" s="1566"/>
      <c r="R616" s="1566"/>
      <c r="S616" s="1566">
        <v>0</v>
      </c>
      <c r="T616" s="1566"/>
      <c r="U616" s="1566"/>
      <c r="V616" s="1566"/>
      <c r="W616" s="1566">
        <v>0</v>
      </c>
      <c r="X616" s="1566"/>
      <c r="Y616" s="1566"/>
      <c r="Z616" s="1566"/>
      <c r="AA616" s="1566">
        <v>4309336.95</v>
      </c>
      <c r="AB616" s="1566"/>
      <c r="AC616" s="1566"/>
      <c r="AD616" s="1566"/>
      <c r="AE616" s="1566"/>
      <c r="AF616" s="1566"/>
      <c r="AG616" s="1566">
        <v>0</v>
      </c>
      <c r="AH616" s="1566"/>
      <c r="AI616" s="1566"/>
      <c r="AJ616" s="1566"/>
      <c r="AK616" s="1566"/>
    </row>
    <row r="617" spans="2:37" ht="9.4" customHeight="1">
      <c r="B617" s="1568" t="s">
        <v>1326</v>
      </c>
      <c r="C617" s="1568"/>
      <c r="D617" s="1568"/>
      <c r="E617" s="1568" t="s">
        <v>1567</v>
      </c>
      <c r="F617" s="1568"/>
      <c r="G617" s="1568"/>
      <c r="H617" s="1568"/>
      <c r="J617" s="1568" t="s">
        <v>1568</v>
      </c>
      <c r="K617" s="1568"/>
      <c r="L617" s="1568"/>
      <c r="M617" s="1566">
        <v>4309336.95</v>
      </c>
      <c r="N617" s="1566"/>
      <c r="O617" s="1566"/>
      <c r="P617" s="1566">
        <v>0</v>
      </c>
      <c r="Q617" s="1566"/>
      <c r="R617" s="1566"/>
      <c r="S617" s="1566">
        <v>0</v>
      </c>
      <c r="T617" s="1566"/>
      <c r="U617" s="1566"/>
      <c r="V617" s="1566"/>
      <c r="W617" s="1566">
        <v>0</v>
      </c>
      <c r="X617" s="1566"/>
      <c r="Y617" s="1566"/>
      <c r="Z617" s="1566"/>
      <c r="AA617" s="1566">
        <v>4309336.95</v>
      </c>
      <c r="AB617" s="1566"/>
      <c r="AC617" s="1566"/>
      <c r="AD617" s="1566"/>
      <c r="AE617" s="1566"/>
      <c r="AF617" s="1566"/>
      <c r="AG617" s="1566">
        <v>0</v>
      </c>
      <c r="AH617" s="1566"/>
      <c r="AI617" s="1566"/>
      <c r="AJ617" s="1566"/>
      <c r="AK617" s="1566"/>
    </row>
    <row r="618" spans="2:37" ht="9.4" customHeight="1">
      <c r="B618" s="1568" t="s">
        <v>1326</v>
      </c>
      <c r="C618" s="1568"/>
      <c r="D618" s="1568"/>
      <c r="E618" s="1568" t="s">
        <v>1569</v>
      </c>
      <c r="F618" s="1568"/>
      <c r="G618" s="1568"/>
      <c r="H618" s="1568"/>
      <c r="J618" s="1568" t="s">
        <v>2209</v>
      </c>
      <c r="K618" s="1568"/>
      <c r="L618" s="1568"/>
      <c r="M618" s="1566">
        <v>4309336.95</v>
      </c>
      <c r="N618" s="1566"/>
      <c r="O618" s="1566"/>
      <c r="P618" s="1566">
        <v>0</v>
      </c>
      <c r="Q618" s="1566"/>
      <c r="R618" s="1566"/>
      <c r="S618" s="1566">
        <v>0</v>
      </c>
      <c r="T618" s="1566"/>
      <c r="U618" s="1566"/>
      <c r="V618" s="1566"/>
      <c r="W618" s="1566">
        <v>0</v>
      </c>
      <c r="X618" s="1566"/>
      <c r="Y618" s="1566"/>
      <c r="Z618" s="1566"/>
      <c r="AA618" s="1566">
        <v>4309336.95</v>
      </c>
      <c r="AB618" s="1566"/>
      <c r="AC618" s="1566"/>
      <c r="AD618" s="1566"/>
      <c r="AE618" s="1566"/>
      <c r="AF618" s="1566"/>
      <c r="AG618" s="1566">
        <v>0</v>
      </c>
      <c r="AH618" s="1566"/>
      <c r="AI618" s="1566"/>
      <c r="AJ618" s="1566"/>
      <c r="AK618" s="1566"/>
    </row>
    <row r="619" spans="2:37" ht="9.4" customHeight="1">
      <c r="B619" s="1568" t="s">
        <v>1326</v>
      </c>
      <c r="C619" s="1568"/>
      <c r="D619" s="1568"/>
      <c r="E619" s="1568" t="s">
        <v>1570</v>
      </c>
      <c r="F619" s="1568"/>
      <c r="G619" s="1568"/>
      <c r="H619" s="1568"/>
      <c r="J619" s="1568" t="s">
        <v>1571</v>
      </c>
      <c r="K619" s="1568"/>
      <c r="L619" s="1568"/>
      <c r="M619" s="1566">
        <v>4394997.5199999996</v>
      </c>
      <c r="N619" s="1566"/>
      <c r="O619" s="1566"/>
      <c r="P619" s="1566">
        <v>0</v>
      </c>
      <c r="Q619" s="1566"/>
      <c r="R619" s="1566"/>
      <c r="S619" s="1566">
        <v>0</v>
      </c>
      <c r="T619" s="1566"/>
      <c r="U619" s="1566"/>
      <c r="V619" s="1566"/>
      <c r="W619" s="1566">
        <v>0</v>
      </c>
      <c r="X619" s="1566"/>
      <c r="Y619" s="1566"/>
      <c r="Z619" s="1566"/>
      <c r="AA619" s="1566">
        <v>4394997.5199999996</v>
      </c>
      <c r="AB619" s="1566"/>
      <c r="AC619" s="1566"/>
      <c r="AD619" s="1566"/>
      <c r="AE619" s="1566"/>
      <c r="AF619" s="1566"/>
      <c r="AG619" s="1566">
        <v>0</v>
      </c>
      <c r="AH619" s="1566"/>
      <c r="AI619" s="1566"/>
      <c r="AJ619" s="1566"/>
      <c r="AK619" s="1566"/>
    </row>
    <row r="620" spans="2:37" ht="9.4" customHeight="1">
      <c r="B620" s="1568" t="s">
        <v>1326</v>
      </c>
      <c r="C620" s="1568"/>
      <c r="D620" s="1568"/>
      <c r="E620" s="1568" t="s">
        <v>1572</v>
      </c>
      <c r="F620" s="1568"/>
      <c r="G620" s="1568"/>
      <c r="H620" s="1568"/>
      <c r="J620" s="1568" t="s">
        <v>1573</v>
      </c>
      <c r="K620" s="1568"/>
      <c r="L620" s="1568"/>
      <c r="M620" s="1566">
        <v>4394997.5199999996</v>
      </c>
      <c r="N620" s="1566"/>
      <c r="O620" s="1566"/>
      <c r="P620" s="1566">
        <v>0</v>
      </c>
      <c r="Q620" s="1566"/>
      <c r="R620" s="1566"/>
      <c r="S620" s="1566">
        <v>0</v>
      </c>
      <c r="T620" s="1566"/>
      <c r="U620" s="1566"/>
      <c r="V620" s="1566"/>
      <c r="W620" s="1566">
        <v>0</v>
      </c>
      <c r="X620" s="1566"/>
      <c r="Y620" s="1566"/>
      <c r="Z620" s="1566"/>
      <c r="AA620" s="1566">
        <v>4394997.5199999996</v>
      </c>
      <c r="AB620" s="1566"/>
      <c r="AC620" s="1566"/>
      <c r="AD620" s="1566"/>
      <c r="AE620" s="1566"/>
      <c r="AF620" s="1566"/>
      <c r="AG620" s="1566">
        <v>0</v>
      </c>
      <c r="AH620" s="1566"/>
      <c r="AI620" s="1566"/>
      <c r="AJ620" s="1566"/>
      <c r="AK620" s="1566"/>
    </row>
    <row r="621" spans="2:37" ht="9.4" customHeight="1">
      <c r="B621" s="1568" t="s">
        <v>1326</v>
      </c>
      <c r="C621" s="1568"/>
      <c r="D621" s="1568"/>
      <c r="E621" s="1568" t="s">
        <v>1574</v>
      </c>
      <c r="F621" s="1568"/>
      <c r="G621" s="1568"/>
      <c r="H621" s="1568"/>
      <c r="J621" s="1568" t="s">
        <v>2211</v>
      </c>
      <c r="K621" s="1568"/>
      <c r="L621" s="1568"/>
      <c r="M621" s="1566">
        <v>4394997.5199999996</v>
      </c>
      <c r="N621" s="1566"/>
      <c r="O621" s="1566"/>
      <c r="P621" s="1566">
        <v>0</v>
      </c>
      <c r="Q621" s="1566"/>
      <c r="R621" s="1566"/>
      <c r="S621" s="1566">
        <v>0</v>
      </c>
      <c r="T621" s="1566"/>
      <c r="U621" s="1566"/>
      <c r="V621" s="1566"/>
      <c r="W621" s="1566">
        <v>0</v>
      </c>
      <c r="X621" s="1566"/>
      <c r="Y621" s="1566"/>
      <c r="Z621" s="1566"/>
      <c r="AA621" s="1566">
        <v>4394997.5199999996</v>
      </c>
      <c r="AB621" s="1566"/>
      <c r="AC621" s="1566"/>
      <c r="AD621" s="1566"/>
      <c r="AE621" s="1566"/>
      <c r="AF621" s="1566"/>
      <c r="AG621" s="1566">
        <v>0</v>
      </c>
      <c r="AH621" s="1566"/>
      <c r="AI621" s="1566"/>
      <c r="AJ621" s="1566"/>
      <c r="AK621" s="1566"/>
    </row>
    <row r="622" spans="2:37" ht="9.4" customHeight="1">
      <c r="B622" s="1568" t="s">
        <v>1326</v>
      </c>
      <c r="C622" s="1568"/>
      <c r="D622" s="1568"/>
      <c r="E622" s="1568" t="s">
        <v>1575</v>
      </c>
      <c r="F622" s="1568"/>
      <c r="G622" s="1568"/>
      <c r="H622" s="1568"/>
      <c r="J622" s="1568" t="s">
        <v>198</v>
      </c>
      <c r="K622" s="1568"/>
      <c r="L622" s="1568"/>
      <c r="M622" s="1566">
        <v>8744971.7599999998</v>
      </c>
      <c r="N622" s="1566"/>
      <c r="O622" s="1566"/>
      <c r="P622" s="1566">
        <v>0</v>
      </c>
      <c r="Q622" s="1566"/>
      <c r="R622" s="1566"/>
      <c r="S622" s="1566">
        <v>0</v>
      </c>
      <c r="T622" s="1566"/>
      <c r="U622" s="1566"/>
      <c r="V622" s="1566"/>
      <c r="W622" s="1566">
        <v>0</v>
      </c>
      <c r="X622" s="1566"/>
      <c r="Y622" s="1566"/>
      <c r="Z622" s="1566"/>
      <c r="AA622" s="1566">
        <v>8744971.7599999998</v>
      </c>
      <c r="AB622" s="1566"/>
      <c r="AC622" s="1566"/>
      <c r="AD622" s="1566"/>
      <c r="AE622" s="1566"/>
      <c r="AF622" s="1566"/>
      <c r="AG622" s="1566">
        <v>0</v>
      </c>
      <c r="AH622" s="1566"/>
      <c r="AI622" s="1566"/>
      <c r="AJ622" s="1566"/>
      <c r="AK622" s="1566"/>
    </row>
    <row r="623" spans="2:37" ht="9.4" customHeight="1">
      <c r="B623" s="1568" t="s">
        <v>1326</v>
      </c>
      <c r="C623" s="1568"/>
      <c r="D623" s="1568"/>
      <c r="E623" s="1568" t="s">
        <v>2212</v>
      </c>
      <c r="F623" s="1568"/>
      <c r="G623" s="1568"/>
      <c r="H623" s="1568"/>
      <c r="J623" s="1568" t="s">
        <v>2213</v>
      </c>
      <c r="K623" s="1568"/>
      <c r="L623" s="1568"/>
      <c r="M623" s="1566">
        <v>8666095.5999999996</v>
      </c>
      <c r="N623" s="1566"/>
      <c r="O623" s="1566"/>
      <c r="P623" s="1566">
        <v>0</v>
      </c>
      <c r="Q623" s="1566"/>
      <c r="R623" s="1566"/>
      <c r="S623" s="1566">
        <v>0</v>
      </c>
      <c r="T623" s="1566"/>
      <c r="U623" s="1566"/>
      <c r="V623" s="1566"/>
      <c r="W623" s="1566">
        <v>0</v>
      </c>
      <c r="X623" s="1566"/>
      <c r="Y623" s="1566"/>
      <c r="Z623" s="1566"/>
      <c r="AA623" s="1566">
        <v>8666095.5999999996</v>
      </c>
      <c r="AB623" s="1566"/>
      <c r="AC623" s="1566"/>
      <c r="AD623" s="1566"/>
      <c r="AE623" s="1566"/>
      <c r="AF623" s="1566"/>
      <c r="AG623" s="1566">
        <v>0</v>
      </c>
      <c r="AH623" s="1566"/>
      <c r="AI623" s="1566"/>
      <c r="AJ623" s="1566"/>
      <c r="AK623" s="1566"/>
    </row>
    <row r="624" spans="2:37" ht="9.4" customHeight="1">
      <c r="B624" s="1568" t="s">
        <v>1326</v>
      </c>
      <c r="C624" s="1568"/>
      <c r="D624" s="1568"/>
      <c r="E624" s="1568" t="s">
        <v>2214</v>
      </c>
      <c r="F624" s="1568"/>
      <c r="G624" s="1568"/>
      <c r="H624" s="1568"/>
      <c r="J624" s="1568" t="s">
        <v>2215</v>
      </c>
      <c r="K624" s="1568"/>
      <c r="L624" s="1568"/>
      <c r="M624" s="1566">
        <v>8666095.5999999996</v>
      </c>
      <c r="N624" s="1566"/>
      <c r="O624" s="1566"/>
      <c r="P624" s="1566">
        <v>0</v>
      </c>
      <c r="Q624" s="1566"/>
      <c r="R624" s="1566"/>
      <c r="S624" s="1566">
        <v>0</v>
      </c>
      <c r="T624" s="1566"/>
      <c r="U624" s="1566"/>
      <c r="V624" s="1566"/>
      <c r="W624" s="1566">
        <v>0</v>
      </c>
      <c r="X624" s="1566"/>
      <c r="Y624" s="1566"/>
      <c r="Z624" s="1566"/>
      <c r="AA624" s="1566">
        <v>8666095.5999999996</v>
      </c>
      <c r="AB624" s="1566"/>
      <c r="AC624" s="1566"/>
      <c r="AD624" s="1566"/>
      <c r="AE624" s="1566"/>
      <c r="AF624" s="1566"/>
      <c r="AG624" s="1566">
        <v>0</v>
      </c>
      <c r="AH624" s="1566"/>
      <c r="AI624" s="1566"/>
      <c r="AJ624" s="1566"/>
      <c r="AK624" s="1566"/>
    </row>
    <row r="625" spans="2:37" ht="9.4" customHeight="1">
      <c r="B625" s="1568" t="s">
        <v>1326</v>
      </c>
      <c r="C625" s="1568"/>
      <c r="D625" s="1568"/>
      <c r="E625" s="1568" t="s">
        <v>2216</v>
      </c>
      <c r="F625" s="1568"/>
      <c r="G625" s="1568"/>
      <c r="H625" s="1568"/>
      <c r="J625" s="1568" t="s">
        <v>2217</v>
      </c>
      <c r="K625" s="1568"/>
      <c r="L625" s="1568"/>
      <c r="M625" s="1566">
        <v>78876.160000000003</v>
      </c>
      <c r="N625" s="1566"/>
      <c r="O625" s="1566"/>
      <c r="P625" s="1566">
        <v>0</v>
      </c>
      <c r="Q625" s="1566"/>
      <c r="R625" s="1566"/>
      <c r="S625" s="1566">
        <v>0</v>
      </c>
      <c r="T625" s="1566"/>
      <c r="U625" s="1566"/>
      <c r="V625" s="1566"/>
      <c r="W625" s="1566">
        <v>0</v>
      </c>
      <c r="X625" s="1566"/>
      <c r="Y625" s="1566"/>
      <c r="Z625" s="1566"/>
      <c r="AA625" s="1566">
        <v>78876.160000000003</v>
      </c>
      <c r="AB625" s="1566"/>
      <c r="AC625" s="1566"/>
      <c r="AD625" s="1566"/>
      <c r="AE625" s="1566"/>
      <c r="AF625" s="1566"/>
      <c r="AG625" s="1566">
        <v>0</v>
      </c>
      <c r="AH625" s="1566"/>
      <c r="AI625" s="1566"/>
      <c r="AJ625" s="1566"/>
      <c r="AK625" s="1566"/>
    </row>
    <row r="626" spans="2:37" ht="9.4" customHeight="1">
      <c r="B626" s="1568" t="s">
        <v>1326</v>
      </c>
      <c r="C626" s="1568"/>
      <c r="D626" s="1568"/>
      <c r="E626" s="1568" t="s">
        <v>2218</v>
      </c>
      <c r="F626" s="1568"/>
      <c r="G626" s="1568"/>
      <c r="H626" s="1568"/>
      <c r="J626" s="1568" t="s">
        <v>2217</v>
      </c>
      <c r="K626" s="1568"/>
      <c r="L626" s="1568"/>
      <c r="M626" s="1566">
        <v>78876.160000000003</v>
      </c>
      <c r="N626" s="1566"/>
      <c r="O626" s="1566"/>
      <c r="P626" s="1566">
        <v>0</v>
      </c>
      <c r="Q626" s="1566"/>
      <c r="R626" s="1566"/>
      <c r="S626" s="1566">
        <v>0</v>
      </c>
      <c r="T626" s="1566"/>
      <c r="U626" s="1566"/>
      <c r="V626" s="1566"/>
      <c r="W626" s="1566">
        <v>0</v>
      </c>
      <c r="X626" s="1566"/>
      <c r="Y626" s="1566"/>
      <c r="Z626" s="1566"/>
      <c r="AA626" s="1566">
        <v>78876.160000000003</v>
      </c>
      <c r="AB626" s="1566"/>
      <c r="AC626" s="1566"/>
      <c r="AD626" s="1566"/>
      <c r="AE626" s="1566"/>
      <c r="AF626" s="1566"/>
      <c r="AG626" s="1566">
        <v>0</v>
      </c>
      <c r="AH626" s="1566"/>
      <c r="AI626" s="1566"/>
      <c r="AJ626" s="1566"/>
      <c r="AK626" s="1566"/>
    </row>
    <row r="627" spans="2:37" ht="9.4" customHeight="1">
      <c r="B627" s="1568" t="s">
        <v>345</v>
      </c>
      <c r="C627" s="1568"/>
      <c r="D627" s="1568"/>
      <c r="E627" s="1568" t="s">
        <v>2219</v>
      </c>
      <c r="F627" s="1568"/>
      <c r="G627" s="1568"/>
      <c r="H627" s="1568"/>
      <c r="J627" s="1568" t="s">
        <v>1018</v>
      </c>
      <c r="K627" s="1568"/>
      <c r="L627" s="1568"/>
      <c r="M627" s="1566">
        <v>0</v>
      </c>
      <c r="N627" s="1566"/>
      <c r="O627" s="1566"/>
      <c r="P627" s="1566">
        <v>36638685.100000001</v>
      </c>
      <c r="Q627" s="1566"/>
      <c r="R627" s="1566"/>
      <c r="S627" s="1566">
        <v>0</v>
      </c>
      <c r="T627" s="1566"/>
      <c r="U627" s="1566"/>
      <c r="V627" s="1566"/>
      <c r="W627" s="1566">
        <v>341180.7</v>
      </c>
      <c r="X627" s="1566"/>
      <c r="Y627" s="1566"/>
      <c r="Z627" s="1566"/>
      <c r="AA627" s="1566">
        <v>0</v>
      </c>
      <c r="AB627" s="1566"/>
      <c r="AC627" s="1566"/>
      <c r="AD627" s="1566"/>
      <c r="AE627" s="1566"/>
      <c r="AF627" s="1566"/>
      <c r="AG627" s="1566">
        <v>36979865.799999997</v>
      </c>
      <c r="AH627" s="1566"/>
      <c r="AI627" s="1566"/>
      <c r="AJ627" s="1566"/>
      <c r="AK627" s="1566"/>
    </row>
    <row r="628" spans="2:37" ht="9.1999999999999993" customHeight="1">
      <c r="J628" s="1568"/>
      <c r="K628" s="1568"/>
      <c r="L628" s="1568"/>
    </row>
    <row r="629" spans="2:37" ht="8.4499999999999993" customHeight="1">
      <c r="B629" s="1568" t="s">
        <v>345</v>
      </c>
      <c r="C629" s="1568"/>
      <c r="D629" s="1568"/>
      <c r="E629" s="1568" t="s">
        <v>1576</v>
      </c>
      <c r="F629" s="1568"/>
      <c r="G629" s="1568"/>
      <c r="H629" s="1568"/>
      <c r="J629" s="1568" t="s">
        <v>1577</v>
      </c>
      <c r="K629" s="1568"/>
      <c r="L629" s="1568"/>
      <c r="M629" s="1566">
        <v>0</v>
      </c>
      <c r="N629" s="1566"/>
      <c r="O629" s="1566"/>
      <c r="P629" s="1566">
        <v>28997642.239999998</v>
      </c>
      <c r="Q629" s="1566"/>
      <c r="R629" s="1566"/>
      <c r="S629" s="1566">
        <v>0</v>
      </c>
      <c r="T629" s="1566"/>
      <c r="U629" s="1566"/>
      <c r="V629" s="1566"/>
      <c r="W629" s="1566">
        <v>255260.25</v>
      </c>
      <c r="X629" s="1566"/>
      <c r="Y629" s="1566"/>
      <c r="Z629" s="1566"/>
      <c r="AA629" s="1566">
        <v>0</v>
      </c>
      <c r="AB629" s="1566"/>
      <c r="AC629" s="1566"/>
      <c r="AD629" s="1566"/>
      <c r="AE629" s="1566"/>
      <c r="AF629" s="1566"/>
      <c r="AG629" s="1566">
        <v>29252902.489999998</v>
      </c>
      <c r="AH629" s="1566"/>
      <c r="AI629" s="1566"/>
      <c r="AJ629" s="1566"/>
      <c r="AK629" s="1566"/>
    </row>
    <row r="630" spans="2:37" ht="9.4" customHeight="1">
      <c r="B630" s="1568" t="s">
        <v>345</v>
      </c>
      <c r="C630" s="1568"/>
      <c r="D630" s="1568"/>
      <c r="E630" s="1568" t="s">
        <v>1578</v>
      </c>
      <c r="F630" s="1568"/>
      <c r="G630" s="1568"/>
      <c r="H630" s="1568"/>
      <c r="J630" s="1568" t="s">
        <v>2220</v>
      </c>
      <c r="K630" s="1568"/>
      <c r="L630" s="1568"/>
      <c r="M630" s="1566">
        <v>0</v>
      </c>
      <c r="N630" s="1566"/>
      <c r="O630" s="1566"/>
      <c r="P630" s="1566">
        <v>28997642.239999998</v>
      </c>
      <c r="Q630" s="1566"/>
      <c r="R630" s="1566"/>
      <c r="S630" s="1566">
        <v>0</v>
      </c>
      <c r="T630" s="1566"/>
      <c r="U630" s="1566"/>
      <c r="V630" s="1566"/>
      <c r="W630" s="1566">
        <v>255260.25</v>
      </c>
      <c r="X630" s="1566"/>
      <c r="Y630" s="1566"/>
      <c r="Z630" s="1566"/>
      <c r="AA630" s="1566">
        <v>0</v>
      </c>
      <c r="AB630" s="1566"/>
      <c r="AC630" s="1566"/>
      <c r="AD630" s="1566"/>
      <c r="AE630" s="1566"/>
      <c r="AF630" s="1566"/>
      <c r="AG630" s="1566">
        <v>29252902.489999998</v>
      </c>
      <c r="AH630" s="1566"/>
      <c r="AI630" s="1566"/>
      <c r="AJ630" s="1566"/>
      <c r="AK630" s="1566"/>
    </row>
    <row r="631" spans="2:37" ht="9.4" customHeight="1">
      <c r="B631" s="1568" t="s">
        <v>345</v>
      </c>
      <c r="C631" s="1568"/>
      <c r="D631" s="1568"/>
      <c r="E631" s="1568" t="s">
        <v>1579</v>
      </c>
      <c r="F631" s="1568"/>
      <c r="G631" s="1568"/>
      <c r="H631" s="1568"/>
      <c r="J631" s="1568" t="s">
        <v>200</v>
      </c>
      <c r="K631" s="1568"/>
      <c r="L631" s="1568"/>
      <c r="M631" s="1566">
        <v>0</v>
      </c>
      <c r="N631" s="1566"/>
      <c r="O631" s="1566"/>
      <c r="P631" s="1566">
        <v>7641042.8600000003</v>
      </c>
      <c r="Q631" s="1566"/>
      <c r="R631" s="1566"/>
      <c r="S631" s="1566">
        <v>0</v>
      </c>
      <c r="T631" s="1566"/>
      <c r="U631" s="1566"/>
      <c r="V631" s="1566"/>
      <c r="W631" s="1566">
        <v>85920.45</v>
      </c>
      <c r="X631" s="1566"/>
      <c r="Y631" s="1566"/>
      <c r="Z631" s="1566"/>
      <c r="AA631" s="1566">
        <v>0</v>
      </c>
      <c r="AB631" s="1566"/>
      <c r="AC631" s="1566"/>
      <c r="AD631" s="1566"/>
      <c r="AE631" s="1566"/>
      <c r="AF631" s="1566"/>
      <c r="AG631" s="1566">
        <v>7726963.3099999996</v>
      </c>
      <c r="AH631" s="1566"/>
      <c r="AI631" s="1566"/>
      <c r="AJ631" s="1566"/>
      <c r="AK631" s="1566"/>
    </row>
    <row r="632" spans="2:37" ht="9.4" customHeight="1">
      <c r="B632" s="1568" t="s">
        <v>345</v>
      </c>
      <c r="C632" s="1568"/>
      <c r="D632" s="1568"/>
      <c r="E632" s="1568" t="s">
        <v>1580</v>
      </c>
      <c r="F632" s="1568"/>
      <c r="G632" s="1568"/>
      <c r="H632" s="1568"/>
      <c r="J632" s="1568" t="s">
        <v>2221</v>
      </c>
      <c r="K632" s="1568"/>
      <c r="L632" s="1568"/>
      <c r="M632" s="1566">
        <v>0</v>
      </c>
      <c r="N632" s="1566"/>
      <c r="O632" s="1566"/>
      <c r="P632" s="1566">
        <v>1266514.1499999999</v>
      </c>
      <c r="Q632" s="1566"/>
      <c r="R632" s="1566"/>
      <c r="S632" s="1566">
        <v>0</v>
      </c>
      <c r="T632" s="1566"/>
      <c r="U632" s="1566"/>
      <c r="V632" s="1566"/>
      <c r="W632" s="1566">
        <v>2877.49</v>
      </c>
      <c r="X632" s="1566"/>
      <c r="Y632" s="1566"/>
      <c r="Z632" s="1566"/>
      <c r="AA632" s="1566">
        <v>0</v>
      </c>
      <c r="AB632" s="1566"/>
      <c r="AC632" s="1566"/>
      <c r="AD632" s="1566"/>
      <c r="AE632" s="1566"/>
      <c r="AF632" s="1566"/>
      <c r="AG632" s="1566">
        <v>1269391.6399999999</v>
      </c>
      <c r="AH632" s="1566"/>
      <c r="AI632" s="1566"/>
      <c r="AJ632" s="1566"/>
      <c r="AK632" s="1566"/>
    </row>
    <row r="633" spans="2:37" ht="9.4" customHeight="1">
      <c r="B633" s="1568" t="s">
        <v>345</v>
      </c>
      <c r="C633" s="1568"/>
      <c r="D633" s="1568"/>
      <c r="E633" s="1568" t="s">
        <v>1581</v>
      </c>
      <c r="F633" s="1568"/>
      <c r="G633" s="1568"/>
      <c r="H633" s="1568"/>
      <c r="J633" s="1568" t="s">
        <v>2222</v>
      </c>
      <c r="K633" s="1568"/>
      <c r="L633" s="1568"/>
      <c r="M633" s="1566">
        <v>0</v>
      </c>
      <c r="N633" s="1566"/>
      <c r="O633" s="1566"/>
      <c r="P633" s="1566">
        <v>1369929.84</v>
      </c>
      <c r="Q633" s="1566"/>
      <c r="R633" s="1566"/>
      <c r="S633" s="1566">
        <v>0</v>
      </c>
      <c r="T633" s="1566"/>
      <c r="U633" s="1566"/>
      <c r="V633" s="1566"/>
      <c r="W633" s="1566">
        <v>31546.22</v>
      </c>
      <c r="X633" s="1566"/>
      <c r="Y633" s="1566"/>
      <c r="Z633" s="1566"/>
      <c r="AA633" s="1566">
        <v>0</v>
      </c>
      <c r="AB633" s="1566"/>
      <c r="AC633" s="1566"/>
      <c r="AD633" s="1566"/>
      <c r="AE633" s="1566"/>
      <c r="AF633" s="1566"/>
      <c r="AG633" s="1566">
        <v>1401476.06</v>
      </c>
      <c r="AH633" s="1566"/>
      <c r="AI633" s="1566"/>
      <c r="AJ633" s="1566"/>
      <c r="AK633" s="1566"/>
    </row>
    <row r="634" spans="2:37" ht="9.4" customHeight="1">
      <c r="B634" s="1568" t="s">
        <v>345</v>
      </c>
      <c r="C634" s="1568"/>
      <c r="D634" s="1568"/>
      <c r="E634" s="1568" t="s">
        <v>1582</v>
      </c>
      <c r="F634" s="1568"/>
      <c r="G634" s="1568"/>
      <c r="H634" s="1568"/>
      <c r="J634" s="1568" t="s">
        <v>2223</v>
      </c>
      <c r="K634" s="1568"/>
      <c r="L634" s="1568"/>
      <c r="M634" s="1566">
        <v>0</v>
      </c>
      <c r="N634" s="1566"/>
      <c r="O634" s="1566"/>
      <c r="P634" s="1566">
        <v>2630390.69</v>
      </c>
      <c r="Q634" s="1566"/>
      <c r="R634" s="1566"/>
      <c r="S634" s="1566">
        <v>0</v>
      </c>
      <c r="T634" s="1566"/>
      <c r="U634" s="1566"/>
      <c r="V634" s="1566"/>
      <c r="W634" s="1566">
        <v>30021.61</v>
      </c>
      <c r="X634" s="1566"/>
      <c r="Y634" s="1566"/>
      <c r="Z634" s="1566"/>
      <c r="AA634" s="1566">
        <v>0</v>
      </c>
      <c r="AB634" s="1566"/>
      <c r="AC634" s="1566"/>
      <c r="AD634" s="1566"/>
      <c r="AE634" s="1566"/>
      <c r="AF634" s="1566"/>
      <c r="AG634" s="1566">
        <v>2660412.2999999998</v>
      </c>
      <c r="AH634" s="1566"/>
      <c r="AI634" s="1566"/>
      <c r="AJ634" s="1566"/>
      <c r="AK634" s="1566"/>
    </row>
    <row r="635" spans="2:37" ht="9.4" customHeight="1">
      <c r="B635" s="1568" t="s">
        <v>345</v>
      </c>
      <c r="C635" s="1568"/>
      <c r="D635" s="1568"/>
      <c r="E635" s="1568" t="s">
        <v>1583</v>
      </c>
      <c r="F635" s="1568"/>
      <c r="G635" s="1568"/>
      <c r="H635" s="1568"/>
      <c r="J635" s="1568" t="s">
        <v>2224</v>
      </c>
      <c r="K635" s="1568"/>
      <c r="L635" s="1568"/>
      <c r="M635" s="1566">
        <v>0</v>
      </c>
      <c r="N635" s="1566"/>
      <c r="O635" s="1566"/>
      <c r="P635" s="1566">
        <v>2374208.1800000002</v>
      </c>
      <c r="Q635" s="1566"/>
      <c r="R635" s="1566"/>
      <c r="S635" s="1566">
        <v>0</v>
      </c>
      <c r="T635" s="1566"/>
      <c r="U635" s="1566"/>
      <c r="V635" s="1566"/>
      <c r="W635" s="1566">
        <v>21475.13</v>
      </c>
      <c r="X635" s="1566"/>
      <c r="Y635" s="1566"/>
      <c r="Z635" s="1566"/>
      <c r="AA635" s="1566">
        <v>0</v>
      </c>
      <c r="AB635" s="1566"/>
      <c r="AC635" s="1566"/>
      <c r="AD635" s="1566"/>
      <c r="AE635" s="1566"/>
      <c r="AF635" s="1566"/>
      <c r="AG635" s="1566">
        <v>2395683.31</v>
      </c>
      <c r="AH635" s="1566"/>
      <c r="AI635" s="1566"/>
      <c r="AJ635" s="1566"/>
      <c r="AK635" s="1566"/>
    </row>
    <row r="636" spans="2:37" ht="9.4" customHeight="1">
      <c r="B636" s="1568" t="s">
        <v>345</v>
      </c>
      <c r="C636" s="1568"/>
      <c r="D636" s="1568"/>
      <c r="E636" s="1568" t="s">
        <v>2225</v>
      </c>
      <c r="F636" s="1568"/>
      <c r="G636" s="1568"/>
      <c r="H636" s="1568"/>
      <c r="J636" s="1568" t="s">
        <v>673</v>
      </c>
      <c r="K636" s="1568"/>
      <c r="L636" s="1568"/>
      <c r="M636" s="1566">
        <v>0</v>
      </c>
      <c r="N636" s="1566"/>
      <c r="O636" s="1566"/>
      <c r="P636" s="1566">
        <v>1871256.31</v>
      </c>
      <c r="Q636" s="1566"/>
      <c r="R636" s="1566"/>
      <c r="S636" s="1566">
        <v>7074435.2699999996</v>
      </c>
      <c r="T636" s="1566"/>
      <c r="U636" s="1566"/>
      <c r="V636" s="1566"/>
      <c r="W636" s="1566">
        <v>6878718.3899999997</v>
      </c>
      <c r="X636" s="1566"/>
      <c r="Y636" s="1566"/>
      <c r="Z636" s="1566"/>
      <c r="AA636" s="1566">
        <v>0</v>
      </c>
      <c r="AB636" s="1566"/>
      <c r="AC636" s="1566"/>
      <c r="AD636" s="1566"/>
      <c r="AE636" s="1566"/>
      <c r="AF636" s="1566"/>
      <c r="AG636" s="1566">
        <v>1675539.43</v>
      </c>
      <c r="AH636" s="1566"/>
      <c r="AI636" s="1566"/>
      <c r="AJ636" s="1566"/>
      <c r="AK636" s="1566"/>
    </row>
    <row r="637" spans="2:37" ht="9.4" customHeight="1">
      <c r="B637" s="1568" t="s">
        <v>345</v>
      </c>
      <c r="C637" s="1568"/>
      <c r="D637" s="1568"/>
      <c r="E637" s="1568" t="s">
        <v>2226</v>
      </c>
      <c r="F637" s="1568"/>
      <c r="G637" s="1568"/>
      <c r="H637" s="1568"/>
      <c r="J637" s="1568" t="s">
        <v>2227</v>
      </c>
      <c r="K637" s="1568"/>
      <c r="L637" s="1568"/>
      <c r="M637" s="1566">
        <v>0</v>
      </c>
      <c r="N637" s="1566"/>
      <c r="O637" s="1566"/>
      <c r="P637" s="1566">
        <v>1871256.31</v>
      </c>
      <c r="Q637" s="1566"/>
      <c r="R637" s="1566"/>
      <c r="S637" s="1566">
        <v>7074435.2699999996</v>
      </c>
      <c r="T637" s="1566"/>
      <c r="U637" s="1566"/>
      <c r="V637" s="1566"/>
      <c r="W637" s="1566">
        <v>6878718.3899999997</v>
      </c>
      <c r="X637" s="1566"/>
      <c r="Y637" s="1566"/>
      <c r="Z637" s="1566"/>
      <c r="AA637" s="1566">
        <v>0</v>
      </c>
      <c r="AB637" s="1566"/>
      <c r="AC637" s="1566"/>
      <c r="AD637" s="1566"/>
      <c r="AE637" s="1566"/>
      <c r="AF637" s="1566"/>
      <c r="AG637" s="1566">
        <v>1675539.43</v>
      </c>
      <c r="AH637" s="1566"/>
      <c r="AI637" s="1566"/>
      <c r="AJ637" s="1566"/>
      <c r="AK637" s="1566"/>
    </row>
    <row r="638" spans="2:37" ht="9.4" customHeight="1">
      <c r="B638" s="1568" t="s">
        <v>345</v>
      </c>
      <c r="C638" s="1568"/>
      <c r="D638" s="1568"/>
      <c r="E638" s="1568" t="s">
        <v>2228</v>
      </c>
      <c r="F638" s="1568"/>
      <c r="G638" s="1568"/>
      <c r="H638" s="1568"/>
      <c r="J638" s="1568" t="s">
        <v>2229</v>
      </c>
      <c r="K638" s="1568"/>
      <c r="L638" s="1568"/>
      <c r="M638" s="1566">
        <v>0</v>
      </c>
      <c r="N638" s="1566"/>
      <c r="O638" s="1566"/>
      <c r="P638" s="1566">
        <v>1861433.12</v>
      </c>
      <c r="Q638" s="1566"/>
      <c r="R638" s="1566"/>
      <c r="S638" s="1566">
        <v>7073661.5300000003</v>
      </c>
      <c r="T638" s="1566"/>
      <c r="U638" s="1566"/>
      <c r="V638" s="1566"/>
      <c r="W638" s="1566">
        <v>6876557.0800000001</v>
      </c>
      <c r="X638" s="1566"/>
      <c r="Y638" s="1566"/>
      <c r="Z638" s="1566"/>
      <c r="AA638" s="1566">
        <v>0</v>
      </c>
      <c r="AB638" s="1566"/>
      <c r="AC638" s="1566"/>
      <c r="AD638" s="1566"/>
      <c r="AE638" s="1566"/>
      <c r="AF638" s="1566"/>
      <c r="AG638" s="1566">
        <v>1664328.67</v>
      </c>
      <c r="AH638" s="1566"/>
      <c r="AI638" s="1566"/>
      <c r="AJ638" s="1566"/>
      <c r="AK638" s="1566"/>
    </row>
    <row r="639" spans="2:37" ht="9.4" customHeight="1">
      <c r="B639" s="1568" t="s">
        <v>345</v>
      </c>
      <c r="C639" s="1568"/>
      <c r="D639" s="1568"/>
      <c r="E639" s="1568" t="s">
        <v>1584</v>
      </c>
      <c r="F639" s="1568"/>
      <c r="G639" s="1568"/>
      <c r="H639" s="1568"/>
      <c r="J639" s="1568" t="s">
        <v>1585</v>
      </c>
      <c r="K639" s="1568"/>
      <c r="L639" s="1568"/>
      <c r="M639" s="1566">
        <v>0</v>
      </c>
      <c r="N639" s="1566"/>
      <c r="O639" s="1566"/>
      <c r="P639" s="1566">
        <v>0</v>
      </c>
      <c r="Q639" s="1566"/>
      <c r="R639" s="1566"/>
      <c r="S639" s="1566">
        <v>1114900.8999999999</v>
      </c>
      <c r="T639" s="1566"/>
      <c r="U639" s="1566"/>
      <c r="V639" s="1566"/>
      <c r="W639" s="1566">
        <v>1114900.8999999999</v>
      </c>
      <c r="X639" s="1566"/>
      <c r="Y639" s="1566"/>
      <c r="Z639" s="1566"/>
      <c r="AA639" s="1566">
        <v>0</v>
      </c>
      <c r="AB639" s="1566"/>
      <c r="AC639" s="1566"/>
      <c r="AD639" s="1566"/>
      <c r="AE639" s="1566"/>
      <c r="AF639" s="1566"/>
      <c r="AG639" s="1566">
        <v>0</v>
      </c>
      <c r="AH639" s="1566"/>
      <c r="AI639" s="1566"/>
      <c r="AJ639" s="1566"/>
      <c r="AK639" s="1566"/>
    </row>
    <row r="640" spans="2:37" ht="9.4" customHeight="1">
      <c r="B640" s="1568" t="s">
        <v>345</v>
      </c>
      <c r="C640" s="1568"/>
      <c r="D640" s="1568"/>
      <c r="E640" s="1568" t="s">
        <v>1586</v>
      </c>
      <c r="F640" s="1568"/>
      <c r="G640" s="1568"/>
      <c r="H640" s="1568"/>
      <c r="J640" s="1568" t="s">
        <v>2230</v>
      </c>
      <c r="K640" s="1568"/>
      <c r="L640" s="1568"/>
      <c r="M640" s="1566">
        <v>0</v>
      </c>
      <c r="N640" s="1566"/>
      <c r="O640" s="1566"/>
      <c r="P640" s="1566">
        <v>0</v>
      </c>
      <c r="Q640" s="1566"/>
      <c r="R640" s="1566"/>
      <c r="S640" s="1566">
        <v>838873.5</v>
      </c>
      <c r="T640" s="1566"/>
      <c r="U640" s="1566"/>
      <c r="V640" s="1566"/>
      <c r="W640" s="1566">
        <v>838873.5</v>
      </c>
      <c r="X640" s="1566"/>
      <c r="Y640" s="1566"/>
      <c r="Z640" s="1566"/>
      <c r="AA640" s="1566">
        <v>0</v>
      </c>
      <c r="AB640" s="1566"/>
      <c r="AC640" s="1566"/>
      <c r="AD640" s="1566"/>
      <c r="AE640" s="1566"/>
      <c r="AF640" s="1566"/>
      <c r="AG640" s="1566">
        <v>0</v>
      </c>
      <c r="AH640" s="1566"/>
      <c r="AI640" s="1566"/>
      <c r="AJ640" s="1566"/>
      <c r="AK640" s="1566"/>
    </row>
    <row r="641" spans="2:37" ht="9.1999999999999993" customHeight="1">
      <c r="J641" s="1568"/>
      <c r="K641" s="1568"/>
      <c r="L641" s="1568"/>
    </row>
    <row r="642" spans="2:37" ht="8.4499999999999993" customHeight="1">
      <c r="B642" s="1568" t="s">
        <v>345</v>
      </c>
      <c r="C642" s="1568"/>
      <c r="D642" s="1568"/>
      <c r="E642" s="1568" t="s">
        <v>2231</v>
      </c>
      <c r="F642" s="1568"/>
      <c r="G642" s="1568"/>
      <c r="H642" s="1568"/>
      <c r="J642" s="1568" t="s">
        <v>2232</v>
      </c>
      <c r="K642" s="1568"/>
      <c r="L642" s="1568"/>
      <c r="M642" s="1566">
        <v>0</v>
      </c>
      <c r="N642" s="1566"/>
      <c r="O642" s="1566"/>
      <c r="P642" s="1566">
        <v>0</v>
      </c>
      <c r="Q642" s="1566"/>
      <c r="R642" s="1566"/>
      <c r="S642" s="1566">
        <v>838873.5</v>
      </c>
      <c r="T642" s="1566"/>
      <c r="U642" s="1566"/>
      <c r="V642" s="1566"/>
      <c r="W642" s="1566">
        <v>838873.5</v>
      </c>
      <c r="X642" s="1566"/>
      <c r="Y642" s="1566"/>
      <c r="Z642" s="1566"/>
      <c r="AA642" s="1566">
        <v>0</v>
      </c>
      <c r="AB642" s="1566"/>
      <c r="AC642" s="1566"/>
      <c r="AD642" s="1566"/>
      <c r="AE642" s="1566"/>
      <c r="AF642" s="1566"/>
      <c r="AG642" s="1566">
        <v>0</v>
      </c>
      <c r="AH642" s="1566"/>
      <c r="AI642" s="1566"/>
      <c r="AJ642" s="1566"/>
      <c r="AK642" s="1566"/>
    </row>
    <row r="643" spans="2:37" ht="9.4" customHeight="1">
      <c r="B643" s="1568" t="s">
        <v>345</v>
      </c>
      <c r="C643" s="1568"/>
      <c r="D643" s="1568"/>
      <c r="E643" s="1568" t="s">
        <v>1587</v>
      </c>
      <c r="F643" s="1568"/>
      <c r="G643" s="1568"/>
      <c r="H643" s="1568"/>
      <c r="J643" s="1568" t="s">
        <v>2233</v>
      </c>
      <c r="K643" s="1568"/>
      <c r="L643" s="1568"/>
      <c r="M643" s="1566">
        <v>0</v>
      </c>
      <c r="N643" s="1566"/>
      <c r="O643" s="1566"/>
      <c r="P643" s="1566">
        <v>0</v>
      </c>
      <c r="Q643" s="1566"/>
      <c r="R643" s="1566"/>
      <c r="S643" s="1566">
        <v>2026.19</v>
      </c>
      <c r="T643" s="1566"/>
      <c r="U643" s="1566"/>
      <c r="V643" s="1566"/>
      <c r="W643" s="1566">
        <v>2026.19</v>
      </c>
      <c r="X643" s="1566"/>
      <c r="Y643" s="1566"/>
      <c r="Z643" s="1566"/>
      <c r="AA643" s="1566">
        <v>0</v>
      </c>
      <c r="AB643" s="1566"/>
      <c r="AC643" s="1566"/>
      <c r="AD643" s="1566"/>
      <c r="AE643" s="1566"/>
      <c r="AF643" s="1566"/>
      <c r="AG643" s="1566">
        <v>0</v>
      </c>
      <c r="AH643" s="1566"/>
      <c r="AI643" s="1566"/>
      <c r="AJ643" s="1566"/>
      <c r="AK643" s="1566"/>
    </row>
    <row r="644" spans="2:37" ht="9.4" customHeight="1">
      <c r="B644" s="1568" t="s">
        <v>345</v>
      </c>
      <c r="C644" s="1568"/>
      <c r="D644" s="1568"/>
      <c r="E644" s="1568" t="s">
        <v>2234</v>
      </c>
      <c r="F644" s="1568"/>
      <c r="G644" s="1568"/>
      <c r="H644" s="1568"/>
      <c r="J644" s="1568" t="s">
        <v>1692</v>
      </c>
      <c r="K644" s="1568"/>
      <c r="L644" s="1568"/>
      <c r="M644" s="1566">
        <v>0</v>
      </c>
      <c r="N644" s="1566"/>
      <c r="O644" s="1566"/>
      <c r="P644" s="1566">
        <v>0</v>
      </c>
      <c r="Q644" s="1566"/>
      <c r="R644" s="1566"/>
      <c r="S644" s="1566">
        <v>2026.19</v>
      </c>
      <c r="T644" s="1566"/>
      <c r="U644" s="1566"/>
      <c r="V644" s="1566"/>
      <c r="W644" s="1566">
        <v>2026.19</v>
      </c>
      <c r="X644" s="1566"/>
      <c r="Y644" s="1566"/>
      <c r="Z644" s="1566"/>
      <c r="AA644" s="1566">
        <v>0</v>
      </c>
      <c r="AB644" s="1566"/>
      <c r="AC644" s="1566"/>
      <c r="AD644" s="1566"/>
      <c r="AE644" s="1566"/>
      <c r="AF644" s="1566"/>
      <c r="AG644" s="1566">
        <v>0</v>
      </c>
      <c r="AH644" s="1566"/>
      <c r="AI644" s="1566"/>
      <c r="AJ644" s="1566"/>
      <c r="AK644" s="1566"/>
    </row>
    <row r="645" spans="2:37" ht="9.4" customHeight="1">
      <c r="B645" s="1568" t="s">
        <v>345</v>
      </c>
      <c r="C645" s="1568"/>
      <c r="D645" s="1568"/>
      <c r="E645" s="1568" t="s">
        <v>1588</v>
      </c>
      <c r="F645" s="1568"/>
      <c r="G645" s="1568"/>
      <c r="H645" s="1568"/>
      <c r="J645" s="1568" t="s">
        <v>1589</v>
      </c>
      <c r="K645" s="1568"/>
      <c r="L645" s="1568"/>
      <c r="M645" s="1566">
        <v>0</v>
      </c>
      <c r="N645" s="1566"/>
      <c r="O645" s="1566"/>
      <c r="P645" s="1566">
        <v>0</v>
      </c>
      <c r="Q645" s="1566"/>
      <c r="R645" s="1566"/>
      <c r="S645" s="1566">
        <v>146320.91</v>
      </c>
      <c r="T645" s="1566"/>
      <c r="U645" s="1566"/>
      <c r="V645" s="1566"/>
      <c r="W645" s="1566">
        <v>146320.91</v>
      </c>
      <c r="X645" s="1566"/>
      <c r="Y645" s="1566"/>
      <c r="Z645" s="1566"/>
      <c r="AA645" s="1566">
        <v>0</v>
      </c>
      <c r="AB645" s="1566"/>
      <c r="AC645" s="1566"/>
      <c r="AD645" s="1566"/>
      <c r="AE645" s="1566"/>
      <c r="AF645" s="1566"/>
      <c r="AG645" s="1566">
        <v>0</v>
      </c>
      <c r="AH645" s="1566"/>
      <c r="AI645" s="1566"/>
      <c r="AJ645" s="1566"/>
      <c r="AK645" s="1566"/>
    </row>
    <row r="646" spans="2:37" ht="9.4" customHeight="1">
      <c r="B646" s="1568" t="s">
        <v>345</v>
      </c>
      <c r="C646" s="1568"/>
      <c r="D646" s="1568"/>
      <c r="E646" s="1568" t="s">
        <v>2235</v>
      </c>
      <c r="F646" s="1568"/>
      <c r="G646" s="1568"/>
      <c r="H646" s="1568"/>
      <c r="J646" s="1568" t="s">
        <v>2236</v>
      </c>
      <c r="K646" s="1568"/>
      <c r="L646" s="1568"/>
      <c r="M646" s="1566">
        <v>0</v>
      </c>
      <c r="N646" s="1566"/>
      <c r="O646" s="1566"/>
      <c r="P646" s="1566">
        <v>0</v>
      </c>
      <c r="Q646" s="1566"/>
      <c r="R646" s="1566"/>
      <c r="S646" s="1566">
        <v>142219.04</v>
      </c>
      <c r="T646" s="1566"/>
      <c r="U646" s="1566"/>
      <c r="V646" s="1566"/>
      <c r="W646" s="1566">
        <v>142219.04</v>
      </c>
      <c r="X646" s="1566"/>
      <c r="Y646" s="1566"/>
      <c r="Z646" s="1566"/>
      <c r="AA646" s="1566">
        <v>0</v>
      </c>
      <c r="AB646" s="1566"/>
      <c r="AC646" s="1566"/>
      <c r="AD646" s="1566"/>
      <c r="AE646" s="1566"/>
      <c r="AF646" s="1566"/>
      <c r="AG646" s="1566">
        <v>0</v>
      </c>
      <c r="AH646" s="1566"/>
      <c r="AI646" s="1566"/>
      <c r="AJ646" s="1566"/>
      <c r="AK646" s="1566"/>
    </row>
    <row r="647" spans="2:37" ht="9.4" customHeight="1">
      <c r="B647" s="1568" t="s">
        <v>345</v>
      </c>
      <c r="C647" s="1568"/>
      <c r="D647" s="1568"/>
      <c r="E647" s="1568" t="s">
        <v>2237</v>
      </c>
      <c r="F647" s="1568"/>
      <c r="G647" s="1568"/>
      <c r="H647" s="1568"/>
      <c r="J647" s="1568" t="s">
        <v>2238</v>
      </c>
      <c r="K647" s="1568"/>
      <c r="L647" s="1568"/>
      <c r="M647" s="1566">
        <v>0</v>
      </c>
      <c r="N647" s="1566"/>
      <c r="O647" s="1566"/>
      <c r="P647" s="1566">
        <v>0</v>
      </c>
      <c r="Q647" s="1566"/>
      <c r="R647" s="1566"/>
      <c r="S647" s="1566">
        <v>4101.87</v>
      </c>
      <c r="T647" s="1566"/>
      <c r="U647" s="1566"/>
      <c r="V647" s="1566"/>
      <c r="W647" s="1566">
        <v>4101.87</v>
      </c>
      <c r="X647" s="1566"/>
      <c r="Y647" s="1566"/>
      <c r="Z647" s="1566"/>
      <c r="AA647" s="1566">
        <v>0</v>
      </c>
      <c r="AB647" s="1566"/>
      <c r="AC647" s="1566"/>
      <c r="AD647" s="1566"/>
      <c r="AE647" s="1566"/>
      <c r="AF647" s="1566"/>
      <c r="AG647" s="1566">
        <v>0</v>
      </c>
      <c r="AH647" s="1566"/>
      <c r="AI647" s="1566"/>
      <c r="AJ647" s="1566"/>
      <c r="AK647" s="1566"/>
    </row>
    <row r="648" spans="2:37" ht="9.4" customHeight="1">
      <c r="B648" s="1568" t="s">
        <v>345</v>
      </c>
      <c r="C648" s="1568"/>
      <c r="D648" s="1568"/>
      <c r="E648" s="1568" t="s">
        <v>1590</v>
      </c>
      <c r="F648" s="1568"/>
      <c r="G648" s="1568"/>
      <c r="H648" s="1568"/>
      <c r="J648" s="1568" t="s">
        <v>2239</v>
      </c>
      <c r="K648" s="1568"/>
      <c r="L648" s="1568"/>
      <c r="M648" s="1566">
        <v>0</v>
      </c>
      <c r="N648" s="1566"/>
      <c r="O648" s="1566"/>
      <c r="P648" s="1566">
        <v>0</v>
      </c>
      <c r="Q648" s="1566"/>
      <c r="R648" s="1566"/>
      <c r="S648" s="1566">
        <v>127680.3</v>
      </c>
      <c r="T648" s="1566"/>
      <c r="U648" s="1566"/>
      <c r="V648" s="1566"/>
      <c r="W648" s="1566">
        <v>127680.3</v>
      </c>
      <c r="X648" s="1566"/>
      <c r="Y648" s="1566"/>
      <c r="Z648" s="1566"/>
      <c r="AA648" s="1566">
        <v>0</v>
      </c>
      <c r="AB648" s="1566"/>
      <c r="AC648" s="1566"/>
      <c r="AD648" s="1566"/>
      <c r="AE648" s="1566"/>
      <c r="AF648" s="1566"/>
      <c r="AG648" s="1566">
        <v>0</v>
      </c>
      <c r="AH648" s="1566"/>
      <c r="AI648" s="1566"/>
      <c r="AJ648" s="1566"/>
      <c r="AK648" s="1566"/>
    </row>
    <row r="649" spans="2:37" ht="9.4" customHeight="1">
      <c r="B649" s="1568" t="s">
        <v>345</v>
      </c>
      <c r="C649" s="1568"/>
      <c r="D649" s="1568"/>
      <c r="E649" s="1568" t="s">
        <v>2240</v>
      </c>
      <c r="F649" s="1568"/>
      <c r="G649" s="1568"/>
      <c r="H649" s="1568"/>
      <c r="J649" s="1568" t="s">
        <v>2241</v>
      </c>
      <c r="K649" s="1568"/>
      <c r="L649" s="1568"/>
      <c r="M649" s="1566">
        <v>0</v>
      </c>
      <c r="N649" s="1566"/>
      <c r="O649" s="1566"/>
      <c r="P649" s="1566">
        <v>0</v>
      </c>
      <c r="Q649" s="1566"/>
      <c r="R649" s="1566"/>
      <c r="S649" s="1566">
        <v>71762.92</v>
      </c>
      <c r="T649" s="1566"/>
      <c r="U649" s="1566"/>
      <c r="V649" s="1566"/>
      <c r="W649" s="1566">
        <v>71762.92</v>
      </c>
      <c r="X649" s="1566"/>
      <c r="Y649" s="1566"/>
      <c r="Z649" s="1566"/>
      <c r="AA649" s="1566">
        <v>0</v>
      </c>
      <c r="AB649" s="1566"/>
      <c r="AC649" s="1566"/>
      <c r="AD649" s="1566"/>
      <c r="AE649" s="1566"/>
      <c r="AF649" s="1566"/>
      <c r="AG649" s="1566">
        <v>0</v>
      </c>
      <c r="AH649" s="1566"/>
      <c r="AI649" s="1566"/>
      <c r="AJ649" s="1566"/>
      <c r="AK649" s="1566"/>
    </row>
    <row r="650" spans="2:37" ht="9.4" customHeight="1">
      <c r="B650" s="1568" t="s">
        <v>345</v>
      </c>
      <c r="C650" s="1568"/>
      <c r="D650" s="1568"/>
      <c r="E650" s="1568" t="s">
        <v>2242</v>
      </c>
      <c r="F650" s="1568"/>
      <c r="G650" s="1568"/>
      <c r="H650" s="1568"/>
      <c r="J650" s="1568" t="s">
        <v>1693</v>
      </c>
      <c r="K650" s="1568"/>
      <c r="L650" s="1568"/>
      <c r="M650" s="1566">
        <v>0</v>
      </c>
      <c r="N650" s="1566"/>
      <c r="O650" s="1566"/>
      <c r="P650" s="1566">
        <v>0</v>
      </c>
      <c r="Q650" s="1566"/>
      <c r="R650" s="1566"/>
      <c r="S650" s="1566">
        <v>55917.38</v>
      </c>
      <c r="T650" s="1566"/>
      <c r="U650" s="1566"/>
      <c r="V650" s="1566"/>
      <c r="W650" s="1566">
        <v>55917.38</v>
      </c>
      <c r="X650" s="1566"/>
      <c r="Y650" s="1566"/>
      <c r="Z650" s="1566"/>
      <c r="AA650" s="1566">
        <v>0</v>
      </c>
      <c r="AB650" s="1566"/>
      <c r="AC650" s="1566"/>
      <c r="AD650" s="1566"/>
      <c r="AE650" s="1566"/>
      <c r="AF650" s="1566"/>
      <c r="AG650" s="1566">
        <v>0</v>
      </c>
      <c r="AH650" s="1566"/>
      <c r="AI650" s="1566"/>
      <c r="AJ650" s="1566"/>
      <c r="AK650" s="1566"/>
    </row>
    <row r="651" spans="2:37" ht="9.4" customHeight="1">
      <c r="B651" s="1568" t="s">
        <v>345</v>
      </c>
      <c r="C651" s="1568"/>
      <c r="D651" s="1568"/>
      <c r="E651" s="1568" t="s">
        <v>1591</v>
      </c>
      <c r="F651" s="1568"/>
      <c r="G651" s="1568"/>
      <c r="H651" s="1568"/>
      <c r="J651" s="1568" t="s">
        <v>211</v>
      </c>
      <c r="K651" s="1568"/>
      <c r="L651" s="1568"/>
      <c r="M651" s="1566">
        <v>0</v>
      </c>
      <c r="N651" s="1566"/>
      <c r="O651" s="1566"/>
      <c r="P651" s="1566">
        <v>0</v>
      </c>
      <c r="Q651" s="1566"/>
      <c r="R651" s="1566"/>
      <c r="S651" s="1566">
        <v>2587719.66</v>
      </c>
      <c r="T651" s="1566"/>
      <c r="U651" s="1566"/>
      <c r="V651" s="1566"/>
      <c r="W651" s="1566">
        <v>2587719.66</v>
      </c>
      <c r="X651" s="1566"/>
      <c r="Y651" s="1566"/>
      <c r="Z651" s="1566"/>
      <c r="AA651" s="1566">
        <v>0</v>
      </c>
      <c r="AB651" s="1566"/>
      <c r="AC651" s="1566"/>
      <c r="AD651" s="1566"/>
      <c r="AE651" s="1566"/>
      <c r="AF651" s="1566"/>
      <c r="AG651" s="1566">
        <v>0</v>
      </c>
      <c r="AH651" s="1566"/>
      <c r="AI651" s="1566"/>
      <c r="AJ651" s="1566"/>
      <c r="AK651" s="1566"/>
    </row>
    <row r="652" spans="2:37" ht="9.4" customHeight="1">
      <c r="B652" s="1568" t="s">
        <v>345</v>
      </c>
      <c r="C652" s="1568"/>
      <c r="D652" s="1568"/>
      <c r="E652" s="1568" t="s">
        <v>1592</v>
      </c>
      <c r="F652" s="1568"/>
      <c r="G652" s="1568"/>
      <c r="H652" s="1568"/>
      <c r="J652" s="1568" t="s">
        <v>2243</v>
      </c>
      <c r="K652" s="1568"/>
      <c r="L652" s="1568"/>
      <c r="M652" s="1566">
        <v>0</v>
      </c>
      <c r="N652" s="1566"/>
      <c r="O652" s="1566"/>
      <c r="P652" s="1566">
        <v>0</v>
      </c>
      <c r="Q652" s="1566"/>
      <c r="R652" s="1566"/>
      <c r="S652" s="1566">
        <v>2587719.66</v>
      </c>
      <c r="T652" s="1566"/>
      <c r="U652" s="1566"/>
      <c r="V652" s="1566"/>
      <c r="W652" s="1566">
        <v>2587719.66</v>
      </c>
      <c r="X652" s="1566"/>
      <c r="Y652" s="1566"/>
      <c r="Z652" s="1566"/>
      <c r="AA652" s="1566">
        <v>0</v>
      </c>
      <c r="AB652" s="1566"/>
      <c r="AC652" s="1566"/>
      <c r="AD652" s="1566"/>
      <c r="AE652" s="1566"/>
      <c r="AF652" s="1566"/>
      <c r="AG652" s="1566">
        <v>0</v>
      </c>
      <c r="AH652" s="1566"/>
      <c r="AI652" s="1566"/>
      <c r="AJ652" s="1566"/>
      <c r="AK652" s="1566"/>
    </row>
    <row r="653" spans="2:37" ht="9.1999999999999993" customHeight="1">
      <c r="J653" s="1568"/>
      <c r="K653" s="1568"/>
      <c r="L653" s="1568"/>
    </row>
    <row r="654" spans="2:37" ht="8.4499999999999993" customHeight="1">
      <c r="B654" s="1568" t="s">
        <v>345</v>
      </c>
      <c r="C654" s="1568"/>
      <c r="D654" s="1568"/>
      <c r="E654" s="1568" t="s">
        <v>6774</v>
      </c>
      <c r="F654" s="1568"/>
      <c r="G654" s="1568"/>
      <c r="H654" s="1568"/>
      <c r="J654" s="1568" t="s">
        <v>2276</v>
      </c>
      <c r="K654" s="1568"/>
      <c r="L654" s="1568"/>
      <c r="M654" s="1566">
        <v>0</v>
      </c>
      <c r="N654" s="1566"/>
      <c r="O654" s="1566"/>
      <c r="P654" s="1566">
        <v>0</v>
      </c>
      <c r="Q654" s="1566"/>
      <c r="R654" s="1566"/>
      <c r="S654" s="1566">
        <v>338959</v>
      </c>
      <c r="T654" s="1566"/>
      <c r="U654" s="1566"/>
      <c r="V654" s="1566"/>
      <c r="W654" s="1566">
        <v>338959</v>
      </c>
      <c r="X654" s="1566"/>
      <c r="Y654" s="1566"/>
      <c r="Z654" s="1566"/>
      <c r="AA654" s="1566">
        <v>0</v>
      </c>
      <c r="AB654" s="1566"/>
      <c r="AC654" s="1566"/>
      <c r="AD654" s="1566"/>
      <c r="AE654" s="1566"/>
      <c r="AF654" s="1566"/>
      <c r="AG654" s="1566">
        <v>0</v>
      </c>
      <c r="AH654" s="1566"/>
      <c r="AI654" s="1566"/>
      <c r="AJ654" s="1566"/>
      <c r="AK654" s="1566"/>
    </row>
    <row r="655" spans="2:37" ht="9.4" customHeight="1">
      <c r="B655" s="1568" t="s">
        <v>345</v>
      </c>
      <c r="C655" s="1568"/>
      <c r="D655" s="1568"/>
      <c r="E655" s="1568" t="s">
        <v>3308</v>
      </c>
      <c r="F655" s="1568"/>
      <c r="G655" s="1568"/>
      <c r="H655" s="1568"/>
      <c r="J655" s="1568" t="s">
        <v>3309</v>
      </c>
      <c r="K655" s="1568"/>
      <c r="L655" s="1568"/>
      <c r="M655" s="1566">
        <v>0</v>
      </c>
      <c r="N655" s="1566"/>
      <c r="O655" s="1566"/>
      <c r="P655" s="1566">
        <v>0</v>
      </c>
      <c r="Q655" s="1566"/>
      <c r="R655" s="1566"/>
      <c r="S655" s="1566">
        <v>1637.94</v>
      </c>
      <c r="T655" s="1566"/>
      <c r="U655" s="1566"/>
      <c r="V655" s="1566"/>
      <c r="W655" s="1566">
        <v>1637.94</v>
      </c>
      <c r="X655" s="1566"/>
      <c r="Y655" s="1566"/>
      <c r="Z655" s="1566"/>
      <c r="AA655" s="1566">
        <v>0</v>
      </c>
      <c r="AB655" s="1566"/>
      <c r="AC655" s="1566"/>
      <c r="AD655" s="1566"/>
      <c r="AE655" s="1566"/>
      <c r="AF655" s="1566"/>
      <c r="AG655" s="1566">
        <v>0</v>
      </c>
      <c r="AH655" s="1566"/>
      <c r="AI655" s="1566"/>
      <c r="AJ655" s="1566"/>
      <c r="AK655" s="1566"/>
    </row>
    <row r="656" spans="2:37" ht="9.4" customHeight="1">
      <c r="B656" s="1568" t="s">
        <v>345</v>
      </c>
      <c r="C656" s="1568"/>
      <c r="D656" s="1568"/>
      <c r="E656" s="1568" t="s">
        <v>6221</v>
      </c>
      <c r="F656" s="1568"/>
      <c r="G656" s="1568"/>
      <c r="H656" s="1568"/>
      <c r="J656" s="1568" t="s">
        <v>6222</v>
      </c>
      <c r="K656" s="1568"/>
      <c r="L656" s="1568"/>
      <c r="M656" s="1566">
        <v>0</v>
      </c>
      <c r="N656" s="1566"/>
      <c r="O656" s="1566"/>
      <c r="P656" s="1566">
        <v>0</v>
      </c>
      <c r="Q656" s="1566"/>
      <c r="R656" s="1566"/>
      <c r="S656" s="1566">
        <v>0</v>
      </c>
      <c r="T656" s="1566"/>
      <c r="U656" s="1566"/>
      <c r="V656" s="1566"/>
      <c r="W656" s="1566">
        <v>0</v>
      </c>
      <c r="X656" s="1566"/>
      <c r="Y656" s="1566"/>
      <c r="Z656" s="1566"/>
      <c r="AA656" s="1566">
        <v>0</v>
      </c>
      <c r="AB656" s="1566"/>
      <c r="AC656" s="1566"/>
      <c r="AD656" s="1566"/>
      <c r="AE656" s="1566"/>
      <c r="AF656" s="1566"/>
      <c r="AG656" s="1566">
        <v>0</v>
      </c>
      <c r="AH656" s="1566"/>
      <c r="AI656" s="1566"/>
      <c r="AJ656" s="1566"/>
      <c r="AK656" s="1566"/>
    </row>
    <row r="657" spans="1:38" ht="7.35" customHeight="1"/>
    <row r="658" spans="1:38" ht="14.1" customHeight="1">
      <c r="AG658" s="1565" t="s">
        <v>2277</v>
      </c>
      <c r="AH658" s="1565"/>
      <c r="AI658" s="1565"/>
      <c r="AJ658" s="1565"/>
      <c r="AK658" s="1565"/>
      <c r="AL658" s="1565"/>
    </row>
    <row r="659" spans="1:38" ht="7.15" customHeight="1">
      <c r="D659" s="1578" t="s">
        <v>2992</v>
      </c>
      <c r="E659" s="1578"/>
      <c r="F659" s="1578"/>
      <c r="G659" s="1578"/>
      <c r="H659" s="1578"/>
      <c r="I659" s="1578"/>
      <c r="J659" s="1578"/>
      <c r="K659" s="1578"/>
      <c r="L659" s="1578"/>
      <c r="M659" s="1578"/>
      <c r="N659" s="1578"/>
      <c r="O659" s="1578"/>
      <c r="P659" s="1578"/>
      <c r="Q659" s="1578"/>
      <c r="R659" s="1578"/>
      <c r="S659" s="1578"/>
      <c r="T659" s="1578"/>
      <c r="U659" s="1578"/>
      <c r="V659" s="1578"/>
      <c r="W659" s="1578"/>
      <c r="X659" s="1578"/>
      <c r="Y659" s="1578"/>
      <c r="Z659" s="1578"/>
      <c r="AA659" s="1578"/>
      <c r="AB659" s="1578"/>
      <c r="AC659" s="1578"/>
      <c r="AD659" s="1578"/>
      <c r="AE659" s="1578"/>
      <c r="AF659" s="1578"/>
      <c r="AG659" s="1578"/>
      <c r="AH659" s="1578"/>
    </row>
    <row r="660" spans="1:38" ht="9.6" customHeight="1">
      <c r="A660" s="1579"/>
      <c r="B660" s="1579"/>
      <c r="C660" s="1579"/>
      <c r="D660" s="1579"/>
      <c r="E660" s="1579"/>
      <c r="F660" s="1579"/>
      <c r="G660" s="1579"/>
      <c r="H660" s="1579"/>
      <c r="I660" s="1579"/>
      <c r="J660" s="1578"/>
      <c r="K660" s="1578"/>
      <c r="L660" s="1578"/>
      <c r="M660" s="1578"/>
      <c r="N660" s="1578"/>
      <c r="O660" s="1578"/>
      <c r="P660" s="1578"/>
      <c r="Q660" s="1578"/>
      <c r="R660" s="1578"/>
      <c r="S660" s="1578"/>
      <c r="T660" s="1578"/>
      <c r="U660" s="1578"/>
      <c r="V660" s="1578"/>
      <c r="W660" s="1578"/>
      <c r="X660" s="1578"/>
      <c r="Y660" s="1578"/>
      <c r="Z660" s="1578"/>
      <c r="AA660" s="1578"/>
      <c r="AB660" s="1578"/>
      <c r="AC660" s="1578"/>
      <c r="AD660" s="1578"/>
      <c r="AE660" s="1578"/>
      <c r="AF660" s="1578"/>
      <c r="AG660" s="1578"/>
      <c r="AH660" s="1578"/>
    </row>
    <row r="661" spans="1:38" ht="13.35" customHeight="1">
      <c r="A661" s="1579"/>
      <c r="B661" s="1579"/>
      <c r="C661" s="1579"/>
      <c r="D661" s="1579"/>
      <c r="E661" s="1579"/>
      <c r="F661" s="1579"/>
      <c r="G661" s="1579"/>
      <c r="H661" s="1579"/>
      <c r="I661" s="1579"/>
      <c r="J661" s="1580" t="s">
        <v>79</v>
      </c>
      <c r="K661" s="1580"/>
      <c r="L661" s="1580"/>
      <c r="M661" s="1580"/>
      <c r="N661" s="1580"/>
      <c r="O661" s="1580"/>
      <c r="P661" s="1580"/>
      <c r="Q661" s="1580"/>
      <c r="R661" s="1580"/>
      <c r="S661" s="1580"/>
      <c r="T661" s="1580"/>
      <c r="U661" s="1580"/>
      <c r="V661" s="1580"/>
      <c r="W661" s="1580"/>
      <c r="X661" s="1580"/>
      <c r="Y661" s="1580"/>
      <c r="Z661" s="1580"/>
      <c r="AA661" s="1580"/>
      <c r="AB661" s="1580"/>
      <c r="AC661" s="1580"/>
      <c r="AD661" s="1580"/>
      <c r="AE661" s="1580"/>
      <c r="AF661" s="1580"/>
    </row>
    <row r="662" spans="1:38" ht="5.25" customHeight="1">
      <c r="A662" s="1579"/>
      <c r="B662" s="1579"/>
      <c r="C662" s="1579"/>
      <c r="D662" s="1579"/>
      <c r="E662" s="1579"/>
      <c r="F662" s="1579"/>
      <c r="G662" s="1579"/>
      <c r="H662" s="1579"/>
      <c r="I662" s="1579"/>
      <c r="J662" s="1573" t="s">
        <v>6760</v>
      </c>
      <c r="K662" s="1573"/>
      <c r="L662" s="1573"/>
      <c r="M662" s="1573"/>
      <c r="N662" s="1573"/>
      <c r="O662" s="1573"/>
      <c r="P662" s="1573"/>
      <c r="Q662" s="1573"/>
      <c r="R662" s="1573"/>
      <c r="S662" s="1573"/>
      <c r="T662" s="1573"/>
      <c r="U662" s="1573"/>
      <c r="V662" s="1573"/>
      <c r="W662" s="1573"/>
      <c r="X662" s="1573"/>
      <c r="Y662" s="1573"/>
      <c r="Z662" s="1573"/>
      <c r="AA662" s="1573"/>
      <c r="AB662" s="1573"/>
      <c r="AC662" s="1573"/>
      <c r="AD662" s="1573"/>
      <c r="AE662" s="1573"/>
    </row>
    <row r="663" spans="1:38" ht="8.1" customHeight="1">
      <c r="C663" s="1572" t="s">
        <v>1920</v>
      </c>
      <c r="D663" s="1572"/>
      <c r="E663" s="1572"/>
      <c r="F663" s="1572"/>
      <c r="G663" s="1572"/>
      <c r="H663" s="1572"/>
      <c r="I663" s="1572"/>
      <c r="J663" s="1572"/>
      <c r="K663" s="1573"/>
      <c r="L663" s="1573"/>
      <c r="M663" s="1573"/>
      <c r="N663" s="1573"/>
      <c r="O663" s="1573"/>
      <c r="P663" s="1573"/>
      <c r="Q663" s="1573"/>
      <c r="R663" s="1573"/>
      <c r="S663" s="1573"/>
      <c r="T663" s="1573"/>
      <c r="U663" s="1573"/>
      <c r="V663" s="1573"/>
      <c r="W663" s="1573"/>
      <c r="X663" s="1573"/>
      <c r="Y663" s="1574" t="s">
        <v>5920</v>
      </c>
      <c r="Z663" s="1574"/>
      <c r="AA663" s="1574"/>
      <c r="AB663" s="1574"/>
      <c r="AC663" s="1574"/>
      <c r="AD663" s="1574"/>
      <c r="AE663" s="1574"/>
      <c r="AF663" s="1574"/>
      <c r="AG663" s="1574"/>
      <c r="AH663" s="1575" t="s">
        <v>6761</v>
      </c>
      <c r="AI663" s="1575"/>
      <c r="AJ663" s="1575"/>
      <c r="AK663" s="1575"/>
      <c r="AL663" s="1575"/>
    </row>
    <row r="664" spans="1:38" ht="6" customHeight="1">
      <c r="C664" s="1572"/>
      <c r="D664" s="1572"/>
      <c r="E664" s="1572"/>
      <c r="F664" s="1572"/>
      <c r="G664" s="1572"/>
      <c r="H664" s="1572"/>
      <c r="I664" s="1572"/>
      <c r="J664" s="1572"/>
      <c r="K664" s="1576" t="s">
        <v>1999</v>
      </c>
      <c r="L664" s="1576"/>
      <c r="M664" s="1576"/>
      <c r="N664" s="1576"/>
      <c r="O664" s="1576"/>
      <c r="P664" s="1576"/>
      <c r="Q664" s="1576"/>
      <c r="R664" s="1576"/>
      <c r="S664" s="1576"/>
      <c r="T664" s="1576"/>
      <c r="U664" s="1576"/>
      <c r="V664" s="1576"/>
      <c r="W664" s="1576"/>
      <c r="X664" s="1576"/>
      <c r="Y664" s="1574"/>
      <c r="Z664" s="1574"/>
      <c r="AA664" s="1574"/>
      <c r="AB664" s="1574"/>
      <c r="AC664" s="1574"/>
      <c r="AD664" s="1574"/>
      <c r="AE664" s="1574"/>
      <c r="AF664" s="1574"/>
      <c r="AG664" s="1574"/>
      <c r="AH664" s="1575"/>
      <c r="AI664" s="1575"/>
      <c r="AJ664" s="1575"/>
      <c r="AK664" s="1575"/>
      <c r="AL664" s="1575"/>
    </row>
    <row r="665" spans="1:38" ht="7.35" customHeight="1">
      <c r="C665" s="1572" t="s">
        <v>1998</v>
      </c>
      <c r="D665" s="1572"/>
      <c r="E665" s="1572"/>
      <c r="F665" s="1572"/>
      <c r="G665" s="1577"/>
      <c r="H665" s="1577"/>
      <c r="I665" s="1577"/>
      <c r="J665" s="1577"/>
      <c r="K665" s="1577"/>
      <c r="L665" s="1577"/>
      <c r="M665" s="1577"/>
      <c r="N665" s="1577"/>
      <c r="O665" s="1577"/>
      <c r="P665" s="1577"/>
      <c r="Q665" s="1577"/>
      <c r="R665" s="1577"/>
      <c r="S665" s="1577"/>
      <c r="T665" s="1577"/>
      <c r="U665" s="1577"/>
      <c r="V665" s="1577"/>
      <c r="W665" s="1577"/>
      <c r="X665" s="1577"/>
      <c r="Y665" s="1577"/>
      <c r="Z665" s="1577"/>
      <c r="AA665" s="1577"/>
      <c r="AB665" s="1577"/>
      <c r="AC665" s="1577"/>
      <c r="AD665" s="1577"/>
      <c r="AE665" s="1577"/>
      <c r="AF665" s="1574"/>
      <c r="AG665" s="1574"/>
      <c r="AH665" s="1574" t="s">
        <v>6762</v>
      </c>
      <c r="AI665" s="1574"/>
    </row>
    <row r="666" spans="1:38" ht="6.75" customHeight="1">
      <c r="G666" s="1577"/>
      <c r="H666" s="1577"/>
      <c r="I666" s="1577"/>
      <c r="J666" s="1577"/>
      <c r="K666" s="1577"/>
      <c r="L666" s="1577"/>
      <c r="M666" s="1577"/>
      <c r="N666" s="1577"/>
      <c r="O666" s="1577"/>
      <c r="P666" s="1577"/>
      <c r="Q666" s="1577"/>
      <c r="R666" s="1577"/>
      <c r="S666" s="1577"/>
      <c r="T666" s="1577"/>
      <c r="U666" s="1577"/>
      <c r="V666" s="1577"/>
      <c r="W666" s="1577"/>
      <c r="X666" s="1577"/>
      <c r="Y666" s="1577"/>
      <c r="Z666" s="1577"/>
      <c r="AA666" s="1577"/>
      <c r="AB666" s="1577"/>
      <c r="AC666" s="1577"/>
      <c r="AD666" s="1577"/>
      <c r="AE666" s="1577"/>
      <c r="AF666" s="1574"/>
      <c r="AG666" s="1574"/>
      <c r="AH666" s="1574"/>
      <c r="AI666" s="1574"/>
    </row>
    <row r="667" spans="1:38" ht="11.25" customHeight="1">
      <c r="O667" s="1570" t="s">
        <v>1318</v>
      </c>
      <c r="P667" s="1570"/>
      <c r="Q667" s="1570"/>
      <c r="V667" s="1570" t="s">
        <v>1319</v>
      </c>
      <c r="W667" s="1570"/>
      <c r="X667" s="1570"/>
      <c r="Y667" s="1570"/>
      <c r="AD667" s="1570" t="s">
        <v>1320</v>
      </c>
      <c r="AE667" s="1570"/>
      <c r="AF667" s="1570"/>
      <c r="AG667" s="1570"/>
      <c r="AH667" s="1570"/>
      <c r="AI667" s="1570"/>
      <c r="AJ667" s="1570"/>
    </row>
    <row r="668" spans="1:38" ht="8.4499999999999993" customHeight="1">
      <c r="B668" s="1571" t="s">
        <v>1321</v>
      </c>
      <c r="C668" s="1571"/>
      <c r="D668" s="1571"/>
      <c r="E668" s="1571" t="s">
        <v>1322</v>
      </c>
      <c r="F668" s="1571"/>
      <c r="G668" s="1571"/>
      <c r="J668" s="1571" t="s">
        <v>1323</v>
      </c>
      <c r="K668" s="1571"/>
      <c r="L668" s="1571"/>
      <c r="M668" s="1571"/>
      <c r="N668" s="1571"/>
      <c r="O668" s="1402" t="s">
        <v>1324</v>
      </c>
      <c r="Q668" s="1569" t="s">
        <v>1325</v>
      </c>
      <c r="R668" s="1569"/>
      <c r="U668" s="1569" t="s">
        <v>1324</v>
      </c>
      <c r="V668" s="1569"/>
      <c r="X668" s="1569" t="s">
        <v>1325</v>
      </c>
      <c r="Y668" s="1569"/>
      <c r="Z668" s="1569"/>
      <c r="AC668" s="1569" t="s">
        <v>1324</v>
      </c>
      <c r="AD668" s="1569"/>
      <c r="AE668" s="1569"/>
      <c r="AF668" s="1569"/>
      <c r="AH668" s="1569" t="s">
        <v>1325</v>
      </c>
      <c r="AI668" s="1569"/>
      <c r="AJ668" s="1569"/>
      <c r="AK668" s="1569"/>
    </row>
    <row r="669" spans="1:38" ht="9.9499999999999993" customHeight="1">
      <c r="B669" s="1568" t="s">
        <v>345</v>
      </c>
      <c r="C669" s="1568"/>
      <c r="D669" s="1568"/>
      <c r="E669" s="1568" t="s">
        <v>6223</v>
      </c>
      <c r="F669" s="1568"/>
      <c r="G669" s="1568"/>
      <c r="H669" s="1568"/>
      <c r="J669" s="1568" t="s">
        <v>6224</v>
      </c>
      <c r="K669" s="1568"/>
      <c r="L669" s="1568"/>
      <c r="M669" s="1566">
        <v>0</v>
      </c>
      <c r="N669" s="1566"/>
      <c r="O669" s="1566"/>
      <c r="P669" s="1566">
        <v>0</v>
      </c>
      <c r="Q669" s="1566"/>
      <c r="R669" s="1566"/>
      <c r="S669" s="1566">
        <v>5211.1000000000004</v>
      </c>
      <c r="T669" s="1566"/>
      <c r="U669" s="1566"/>
      <c r="V669" s="1566"/>
      <c r="W669" s="1566">
        <v>5211.1000000000004</v>
      </c>
      <c r="X669" s="1566"/>
      <c r="Y669" s="1566"/>
      <c r="Z669" s="1566"/>
      <c r="AA669" s="1566">
        <v>0</v>
      </c>
      <c r="AB669" s="1566"/>
      <c r="AC669" s="1566"/>
      <c r="AD669" s="1566"/>
      <c r="AE669" s="1566"/>
      <c r="AF669" s="1566"/>
      <c r="AG669" s="1566">
        <v>0</v>
      </c>
      <c r="AH669" s="1566"/>
      <c r="AI669" s="1566"/>
      <c r="AJ669" s="1566"/>
      <c r="AK669" s="1566"/>
    </row>
    <row r="670" spans="1:38" ht="9.4" customHeight="1">
      <c r="B670" s="1568" t="s">
        <v>345</v>
      </c>
      <c r="C670" s="1568"/>
      <c r="D670" s="1568"/>
      <c r="E670" s="1568" t="s">
        <v>3310</v>
      </c>
      <c r="F670" s="1568"/>
      <c r="G670" s="1568"/>
      <c r="H670" s="1568"/>
      <c r="J670" s="1568" t="s">
        <v>3311</v>
      </c>
      <c r="K670" s="1568"/>
      <c r="L670" s="1568"/>
      <c r="M670" s="1566">
        <v>0</v>
      </c>
      <c r="N670" s="1566"/>
      <c r="O670" s="1566"/>
      <c r="P670" s="1566">
        <v>0</v>
      </c>
      <c r="Q670" s="1566"/>
      <c r="R670" s="1566"/>
      <c r="S670" s="1566">
        <v>4514.6000000000004</v>
      </c>
      <c r="T670" s="1566"/>
      <c r="U670" s="1566"/>
      <c r="V670" s="1566"/>
      <c r="W670" s="1566">
        <v>4514.6000000000004</v>
      </c>
      <c r="X670" s="1566"/>
      <c r="Y670" s="1566"/>
      <c r="Z670" s="1566"/>
      <c r="AA670" s="1566">
        <v>0</v>
      </c>
      <c r="AB670" s="1566"/>
      <c r="AC670" s="1566"/>
      <c r="AD670" s="1566"/>
      <c r="AE670" s="1566"/>
      <c r="AF670" s="1566"/>
      <c r="AG670" s="1566">
        <v>0</v>
      </c>
      <c r="AH670" s="1566"/>
      <c r="AI670" s="1566"/>
      <c r="AJ670" s="1566"/>
      <c r="AK670" s="1566"/>
    </row>
    <row r="671" spans="1:38" ht="9.4" customHeight="1">
      <c r="B671" s="1568" t="s">
        <v>345</v>
      </c>
      <c r="C671" s="1568"/>
      <c r="D671" s="1568"/>
      <c r="E671" s="1568" t="s">
        <v>2859</v>
      </c>
      <c r="F671" s="1568"/>
      <c r="G671" s="1568"/>
      <c r="H671" s="1568"/>
      <c r="J671" s="1568" t="s">
        <v>1694</v>
      </c>
      <c r="K671" s="1568"/>
      <c r="L671" s="1568"/>
      <c r="M671" s="1566">
        <v>0</v>
      </c>
      <c r="N671" s="1566"/>
      <c r="O671" s="1566"/>
      <c r="P671" s="1566">
        <v>0</v>
      </c>
      <c r="Q671" s="1566"/>
      <c r="R671" s="1566"/>
      <c r="S671" s="1566">
        <v>41172.019999999997</v>
      </c>
      <c r="T671" s="1566"/>
      <c r="U671" s="1566"/>
      <c r="V671" s="1566"/>
      <c r="W671" s="1566">
        <v>41172.019999999997</v>
      </c>
      <c r="X671" s="1566"/>
      <c r="Y671" s="1566"/>
      <c r="Z671" s="1566"/>
      <c r="AA671" s="1566">
        <v>0</v>
      </c>
      <c r="AB671" s="1566"/>
      <c r="AC671" s="1566"/>
      <c r="AD671" s="1566"/>
      <c r="AE671" s="1566"/>
      <c r="AF671" s="1566"/>
      <c r="AG671" s="1566">
        <v>0</v>
      </c>
      <c r="AH671" s="1566"/>
      <c r="AI671" s="1566"/>
      <c r="AJ671" s="1566"/>
      <c r="AK671" s="1566"/>
    </row>
    <row r="672" spans="1:38" ht="9.4" customHeight="1">
      <c r="B672" s="1568" t="s">
        <v>345</v>
      </c>
      <c r="C672" s="1568"/>
      <c r="D672" s="1568"/>
      <c r="E672" s="1568" t="s">
        <v>2246</v>
      </c>
      <c r="F672" s="1568"/>
      <c r="G672" s="1568"/>
      <c r="H672" s="1568"/>
      <c r="J672" s="1568" t="s">
        <v>2247</v>
      </c>
      <c r="K672" s="1568"/>
      <c r="L672" s="1568"/>
      <c r="M672" s="1566">
        <v>0</v>
      </c>
      <c r="N672" s="1566"/>
      <c r="O672" s="1566"/>
      <c r="P672" s="1566">
        <v>0</v>
      </c>
      <c r="Q672" s="1566"/>
      <c r="R672" s="1566"/>
      <c r="S672" s="1566">
        <v>576131.15</v>
      </c>
      <c r="T672" s="1566"/>
      <c r="U672" s="1566"/>
      <c r="V672" s="1566"/>
      <c r="W672" s="1566">
        <v>576131.15</v>
      </c>
      <c r="X672" s="1566"/>
      <c r="Y672" s="1566"/>
      <c r="Z672" s="1566"/>
      <c r="AA672" s="1566">
        <v>0</v>
      </c>
      <c r="AB672" s="1566"/>
      <c r="AC672" s="1566"/>
      <c r="AD672" s="1566"/>
      <c r="AE672" s="1566"/>
      <c r="AF672" s="1566"/>
      <c r="AG672" s="1566">
        <v>0</v>
      </c>
      <c r="AH672" s="1566"/>
      <c r="AI672" s="1566"/>
      <c r="AJ672" s="1566"/>
      <c r="AK672" s="1566"/>
    </row>
    <row r="673" spans="2:37" ht="9.4" customHeight="1">
      <c r="B673" s="1568" t="s">
        <v>345</v>
      </c>
      <c r="C673" s="1568"/>
      <c r="D673" s="1568"/>
      <c r="E673" s="1568" t="s">
        <v>6225</v>
      </c>
      <c r="F673" s="1568"/>
      <c r="G673" s="1568"/>
      <c r="H673" s="1568"/>
      <c r="J673" s="1568" t="s">
        <v>6226</v>
      </c>
      <c r="K673" s="1568"/>
      <c r="L673" s="1568"/>
      <c r="M673" s="1566">
        <v>0</v>
      </c>
      <c r="N673" s="1566"/>
      <c r="O673" s="1566"/>
      <c r="P673" s="1566">
        <v>0</v>
      </c>
      <c r="Q673" s="1566"/>
      <c r="R673" s="1566"/>
      <c r="S673" s="1566">
        <v>1407.75</v>
      </c>
      <c r="T673" s="1566"/>
      <c r="U673" s="1566"/>
      <c r="V673" s="1566"/>
      <c r="W673" s="1566">
        <v>1407.75</v>
      </c>
      <c r="X673" s="1566"/>
      <c r="Y673" s="1566"/>
      <c r="Z673" s="1566"/>
      <c r="AA673" s="1566">
        <v>0</v>
      </c>
      <c r="AB673" s="1566"/>
      <c r="AC673" s="1566"/>
      <c r="AD673" s="1566"/>
      <c r="AE673" s="1566"/>
      <c r="AF673" s="1566"/>
      <c r="AG673" s="1566">
        <v>0</v>
      </c>
      <c r="AH673" s="1566"/>
      <c r="AI673" s="1566"/>
      <c r="AJ673" s="1566"/>
      <c r="AK673" s="1566"/>
    </row>
    <row r="674" spans="2:37" ht="9.4" customHeight="1">
      <c r="B674" s="1568" t="s">
        <v>345</v>
      </c>
      <c r="C674" s="1568"/>
      <c r="D674" s="1568"/>
      <c r="E674" s="1568" t="s">
        <v>2860</v>
      </c>
      <c r="F674" s="1568"/>
      <c r="G674" s="1568"/>
      <c r="H674" s="1568"/>
      <c r="J674" s="1568" t="s">
        <v>246</v>
      </c>
      <c r="K674" s="1568"/>
      <c r="L674" s="1568"/>
      <c r="M674" s="1566">
        <v>0</v>
      </c>
      <c r="N674" s="1566"/>
      <c r="O674" s="1566"/>
      <c r="P674" s="1566">
        <v>0</v>
      </c>
      <c r="Q674" s="1566"/>
      <c r="R674" s="1566"/>
      <c r="S674" s="1566">
        <v>11221.8</v>
      </c>
      <c r="T674" s="1566"/>
      <c r="U674" s="1566"/>
      <c r="V674" s="1566"/>
      <c r="W674" s="1566">
        <v>11221.8</v>
      </c>
      <c r="X674" s="1566"/>
      <c r="Y674" s="1566"/>
      <c r="Z674" s="1566"/>
      <c r="AA674" s="1566">
        <v>0</v>
      </c>
      <c r="AB674" s="1566"/>
      <c r="AC674" s="1566"/>
      <c r="AD674" s="1566"/>
      <c r="AE674" s="1566"/>
      <c r="AF674" s="1566"/>
      <c r="AG674" s="1566">
        <v>0</v>
      </c>
      <c r="AH674" s="1566"/>
      <c r="AI674" s="1566"/>
      <c r="AJ674" s="1566"/>
      <c r="AK674" s="1566"/>
    </row>
    <row r="675" spans="2:37" ht="9.4" customHeight="1">
      <c r="B675" s="1568" t="s">
        <v>345</v>
      </c>
      <c r="C675" s="1568"/>
      <c r="D675" s="1568"/>
      <c r="E675" s="1568" t="s">
        <v>3312</v>
      </c>
      <c r="F675" s="1568"/>
      <c r="G675" s="1568"/>
      <c r="H675" s="1568"/>
      <c r="J675" s="1568" t="s">
        <v>3313</v>
      </c>
      <c r="K675" s="1568"/>
      <c r="L675" s="1568"/>
      <c r="M675" s="1566">
        <v>0</v>
      </c>
      <c r="N675" s="1566"/>
      <c r="O675" s="1566"/>
      <c r="P675" s="1566">
        <v>0</v>
      </c>
      <c r="Q675" s="1566"/>
      <c r="R675" s="1566"/>
      <c r="S675" s="1566">
        <v>24776.53</v>
      </c>
      <c r="T675" s="1566"/>
      <c r="U675" s="1566"/>
      <c r="V675" s="1566"/>
      <c r="W675" s="1566">
        <v>24776.53</v>
      </c>
      <c r="X675" s="1566"/>
      <c r="Y675" s="1566"/>
      <c r="Z675" s="1566"/>
      <c r="AA675" s="1566">
        <v>0</v>
      </c>
      <c r="AB675" s="1566"/>
      <c r="AC675" s="1566"/>
      <c r="AD675" s="1566"/>
      <c r="AE675" s="1566"/>
      <c r="AF675" s="1566"/>
      <c r="AG675" s="1566">
        <v>0</v>
      </c>
      <c r="AH675" s="1566"/>
      <c r="AI675" s="1566"/>
      <c r="AJ675" s="1566"/>
      <c r="AK675" s="1566"/>
    </row>
    <row r="676" spans="2:37" ht="9.4" customHeight="1">
      <c r="B676" s="1568" t="s">
        <v>345</v>
      </c>
      <c r="C676" s="1568"/>
      <c r="D676" s="1568"/>
      <c r="E676" s="1568" t="s">
        <v>4080</v>
      </c>
      <c r="F676" s="1568"/>
      <c r="G676" s="1568"/>
      <c r="H676" s="1568"/>
      <c r="J676" s="1568" t="s">
        <v>4081</v>
      </c>
      <c r="K676" s="1568"/>
      <c r="L676" s="1568"/>
      <c r="M676" s="1566">
        <v>0</v>
      </c>
      <c r="N676" s="1566"/>
      <c r="O676" s="1566"/>
      <c r="P676" s="1566">
        <v>0</v>
      </c>
      <c r="Q676" s="1566"/>
      <c r="R676" s="1566"/>
      <c r="S676" s="1566">
        <v>263.61</v>
      </c>
      <c r="T676" s="1566"/>
      <c r="U676" s="1566"/>
      <c r="V676" s="1566"/>
      <c r="W676" s="1566">
        <v>263.61</v>
      </c>
      <c r="X676" s="1566"/>
      <c r="Y676" s="1566"/>
      <c r="Z676" s="1566"/>
      <c r="AA676" s="1566">
        <v>0</v>
      </c>
      <c r="AB676" s="1566"/>
      <c r="AC676" s="1566"/>
      <c r="AD676" s="1566"/>
      <c r="AE676" s="1566"/>
      <c r="AF676" s="1566"/>
      <c r="AG676" s="1566">
        <v>0</v>
      </c>
      <c r="AH676" s="1566"/>
      <c r="AI676" s="1566"/>
      <c r="AJ676" s="1566"/>
      <c r="AK676" s="1566"/>
    </row>
    <row r="677" spans="2:37" ht="9.4" customHeight="1">
      <c r="B677" s="1568" t="s">
        <v>345</v>
      </c>
      <c r="C677" s="1568"/>
      <c r="D677" s="1568"/>
      <c r="E677" s="1568" t="s">
        <v>6227</v>
      </c>
      <c r="F677" s="1568"/>
      <c r="G677" s="1568"/>
      <c r="H677" s="1568"/>
      <c r="J677" s="1568" t="s">
        <v>6228</v>
      </c>
      <c r="K677" s="1568"/>
      <c r="L677" s="1568"/>
      <c r="M677" s="1566">
        <v>0</v>
      </c>
      <c r="N677" s="1566"/>
      <c r="O677" s="1566"/>
      <c r="P677" s="1566">
        <v>0</v>
      </c>
      <c r="Q677" s="1566"/>
      <c r="R677" s="1566"/>
      <c r="S677" s="1566">
        <v>3000</v>
      </c>
      <c r="T677" s="1566"/>
      <c r="U677" s="1566"/>
      <c r="V677" s="1566"/>
      <c r="W677" s="1566">
        <v>3000</v>
      </c>
      <c r="X677" s="1566"/>
      <c r="Y677" s="1566"/>
      <c r="Z677" s="1566"/>
      <c r="AA677" s="1566">
        <v>0</v>
      </c>
      <c r="AB677" s="1566"/>
      <c r="AC677" s="1566"/>
      <c r="AD677" s="1566"/>
      <c r="AE677" s="1566"/>
      <c r="AF677" s="1566"/>
      <c r="AG677" s="1566">
        <v>0</v>
      </c>
      <c r="AH677" s="1566"/>
      <c r="AI677" s="1566"/>
      <c r="AJ677" s="1566"/>
      <c r="AK677" s="1566"/>
    </row>
    <row r="678" spans="2:37" ht="9.4" customHeight="1">
      <c r="B678" s="1568" t="s">
        <v>345</v>
      </c>
      <c r="C678" s="1568"/>
      <c r="D678" s="1568"/>
      <c r="E678" s="1568" t="s">
        <v>2248</v>
      </c>
      <c r="F678" s="1568"/>
      <c r="G678" s="1568"/>
      <c r="H678" s="1568"/>
      <c r="J678" s="1568" t="s">
        <v>2249</v>
      </c>
      <c r="K678" s="1568"/>
      <c r="L678" s="1568"/>
      <c r="M678" s="1566">
        <v>0</v>
      </c>
      <c r="N678" s="1566"/>
      <c r="O678" s="1566"/>
      <c r="P678" s="1566">
        <v>0</v>
      </c>
      <c r="Q678" s="1566"/>
      <c r="R678" s="1566"/>
      <c r="S678" s="1566">
        <v>25956.639999999999</v>
      </c>
      <c r="T678" s="1566"/>
      <c r="U678" s="1566"/>
      <c r="V678" s="1566"/>
      <c r="W678" s="1566">
        <v>25956.639999999999</v>
      </c>
      <c r="X678" s="1566"/>
      <c r="Y678" s="1566"/>
      <c r="Z678" s="1566"/>
      <c r="AA678" s="1566">
        <v>0</v>
      </c>
      <c r="AB678" s="1566"/>
      <c r="AC678" s="1566"/>
      <c r="AD678" s="1566"/>
      <c r="AE678" s="1566"/>
      <c r="AF678" s="1566"/>
      <c r="AG678" s="1566">
        <v>0</v>
      </c>
      <c r="AH678" s="1566"/>
      <c r="AI678" s="1566"/>
      <c r="AJ678" s="1566"/>
      <c r="AK678" s="1566"/>
    </row>
    <row r="679" spans="2:37" ht="9.4" customHeight="1">
      <c r="B679" s="1568" t="s">
        <v>345</v>
      </c>
      <c r="C679" s="1568"/>
      <c r="D679" s="1568"/>
      <c r="E679" s="1568" t="s">
        <v>2250</v>
      </c>
      <c r="F679" s="1568"/>
      <c r="G679" s="1568"/>
      <c r="H679" s="1568"/>
      <c r="J679" s="1568" t="s">
        <v>2251</v>
      </c>
      <c r="K679" s="1568"/>
      <c r="L679" s="1568"/>
      <c r="M679" s="1566">
        <v>0</v>
      </c>
      <c r="N679" s="1566"/>
      <c r="O679" s="1566"/>
      <c r="P679" s="1566">
        <v>0</v>
      </c>
      <c r="Q679" s="1566"/>
      <c r="R679" s="1566"/>
      <c r="S679" s="1566">
        <v>0</v>
      </c>
      <c r="T679" s="1566"/>
      <c r="U679" s="1566"/>
      <c r="V679" s="1566"/>
      <c r="W679" s="1566">
        <v>0</v>
      </c>
      <c r="X679" s="1566"/>
      <c r="Y679" s="1566"/>
      <c r="Z679" s="1566"/>
      <c r="AA679" s="1566">
        <v>0</v>
      </c>
      <c r="AB679" s="1566"/>
      <c r="AC679" s="1566"/>
      <c r="AD679" s="1566"/>
      <c r="AE679" s="1566"/>
      <c r="AF679" s="1566"/>
      <c r="AG679" s="1566">
        <v>0</v>
      </c>
      <c r="AH679" s="1566"/>
      <c r="AI679" s="1566"/>
      <c r="AJ679" s="1566"/>
      <c r="AK679" s="1566"/>
    </row>
    <row r="680" spans="2:37" ht="9.4" customHeight="1">
      <c r="B680" s="1568" t="s">
        <v>345</v>
      </c>
      <c r="C680" s="1568"/>
      <c r="D680" s="1568"/>
      <c r="E680" s="1568" t="s">
        <v>3314</v>
      </c>
      <c r="F680" s="1568"/>
      <c r="G680" s="1568"/>
      <c r="H680" s="1568"/>
      <c r="J680" s="1568" t="s">
        <v>3315</v>
      </c>
      <c r="K680" s="1568"/>
      <c r="L680" s="1568"/>
      <c r="M680" s="1566">
        <v>0</v>
      </c>
      <c r="N680" s="1566"/>
      <c r="O680" s="1566"/>
      <c r="P680" s="1566">
        <v>0</v>
      </c>
      <c r="Q680" s="1566"/>
      <c r="R680" s="1566"/>
      <c r="S680" s="1566">
        <v>493525.26</v>
      </c>
      <c r="T680" s="1566"/>
      <c r="U680" s="1566"/>
      <c r="V680" s="1566"/>
      <c r="W680" s="1566">
        <v>493525.26</v>
      </c>
      <c r="X680" s="1566"/>
      <c r="Y680" s="1566"/>
      <c r="Z680" s="1566"/>
      <c r="AA680" s="1566">
        <v>0</v>
      </c>
      <c r="AB680" s="1566"/>
      <c r="AC680" s="1566"/>
      <c r="AD680" s="1566"/>
      <c r="AE680" s="1566"/>
      <c r="AF680" s="1566"/>
      <c r="AG680" s="1566">
        <v>0</v>
      </c>
      <c r="AH680" s="1566"/>
      <c r="AI680" s="1566"/>
      <c r="AJ680" s="1566"/>
      <c r="AK680" s="1566"/>
    </row>
    <row r="681" spans="2:37" ht="9.4" customHeight="1">
      <c r="B681" s="1568" t="s">
        <v>345</v>
      </c>
      <c r="C681" s="1568"/>
      <c r="D681" s="1568"/>
      <c r="E681" s="1568" t="s">
        <v>2861</v>
      </c>
      <c r="F681" s="1568"/>
      <c r="G681" s="1568"/>
      <c r="H681" s="1568"/>
      <c r="J681" s="1568" t="s">
        <v>2357</v>
      </c>
      <c r="K681" s="1568"/>
      <c r="L681" s="1568"/>
      <c r="M681" s="1566">
        <v>0</v>
      </c>
      <c r="N681" s="1566"/>
      <c r="O681" s="1566"/>
      <c r="P681" s="1566">
        <v>0</v>
      </c>
      <c r="Q681" s="1566"/>
      <c r="R681" s="1566"/>
      <c r="S681" s="1566">
        <v>133482.20000000001</v>
      </c>
      <c r="T681" s="1566"/>
      <c r="U681" s="1566"/>
      <c r="V681" s="1566"/>
      <c r="W681" s="1566">
        <v>133482.20000000001</v>
      </c>
      <c r="X681" s="1566"/>
      <c r="Y681" s="1566"/>
      <c r="Z681" s="1566"/>
      <c r="AA681" s="1566">
        <v>0</v>
      </c>
      <c r="AB681" s="1566"/>
      <c r="AC681" s="1566"/>
      <c r="AD681" s="1566"/>
      <c r="AE681" s="1566"/>
      <c r="AF681" s="1566"/>
      <c r="AG681" s="1566">
        <v>0</v>
      </c>
      <c r="AH681" s="1566"/>
      <c r="AI681" s="1566"/>
      <c r="AJ681" s="1566"/>
      <c r="AK681" s="1566"/>
    </row>
    <row r="682" spans="2:37" ht="9.4" customHeight="1">
      <c r="B682" s="1568" t="s">
        <v>345</v>
      </c>
      <c r="C682" s="1568"/>
      <c r="D682" s="1568"/>
      <c r="E682" s="1568" t="s">
        <v>2252</v>
      </c>
      <c r="F682" s="1568"/>
      <c r="G682" s="1568"/>
      <c r="H682" s="1568"/>
      <c r="J682" s="1568" t="s">
        <v>1765</v>
      </c>
      <c r="K682" s="1568"/>
      <c r="L682" s="1568"/>
      <c r="M682" s="1566">
        <v>0</v>
      </c>
      <c r="N682" s="1566"/>
      <c r="O682" s="1566"/>
      <c r="P682" s="1566">
        <v>0</v>
      </c>
      <c r="Q682" s="1566"/>
      <c r="R682" s="1566"/>
      <c r="S682" s="1566">
        <v>5367.4</v>
      </c>
      <c r="T682" s="1566"/>
      <c r="U682" s="1566"/>
      <c r="V682" s="1566"/>
      <c r="W682" s="1566">
        <v>5367.4</v>
      </c>
      <c r="X682" s="1566"/>
      <c r="Y682" s="1566"/>
      <c r="Z682" s="1566"/>
      <c r="AA682" s="1566">
        <v>0</v>
      </c>
      <c r="AB682" s="1566"/>
      <c r="AC682" s="1566"/>
      <c r="AD682" s="1566"/>
      <c r="AE682" s="1566"/>
      <c r="AF682" s="1566"/>
      <c r="AG682" s="1566">
        <v>0</v>
      </c>
      <c r="AH682" s="1566"/>
      <c r="AI682" s="1566"/>
      <c r="AJ682" s="1566"/>
      <c r="AK682" s="1566"/>
    </row>
    <row r="683" spans="2:37" ht="9.4" customHeight="1">
      <c r="B683" s="1568" t="s">
        <v>345</v>
      </c>
      <c r="C683" s="1568"/>
      <c r="D683" s="1568"/>
      <c r="E683" s="1568" t="s">
        <v>2253</v>
      </c>
      <c r="F683" s="1568"/>
      <c r="G683" s="1568"/>
      <c r="H683" s="1568"/>
      <c r="J683" s="1568" t="s">
        <v>2254</v>
      </c>
      <c r="K683" s="1568"/>
      <c r="L683" s="1568"/>
      <c r="M683" s="1566">
        <v>0</v>
      </c>
      <c r="N683" s="1566"/>
      <c r="O683" s="1566"/>
      <c r="P683" s="1566">
        <v>0</v>
      </c>
      <c r="Q683" s="1566"/>
      <c r="R683" s="1566"/>
      <c r="S683" s="1566">
        <v>25893.73</v>
      </c>
      <c r="T683" s="1566"/>
      <c r="U683" s="1566"/>
      <c r="V683" s="1566"/>
      <c r="W683" s="1566">
        <v>25893.73</v>
      </c>
      <c r="X683" s="1566"/>
      <c r="Y683" s="1566"/>
      <c r="Z683" s="1566"/>
      <c r="AA683" s="1566">
        <v>0</v>
      </c>
      <c r="AB683" s="1566"/>
      <c r="AC683" s="1566"/>
      <c r="AD683" s="1566"/>
      <c r="AE683" s="1566"/>
      <c r="AF683" s="1566"/>
      <c r="AG683" s="1566">
        <v>0</v>
      </c>
      <c r="AH683" s="1566"/>
      <c r="AI683" s="1566"/>
      <c r="AJ683" s="1566"/>
      <c r="AK683" s="1566"/>
    </row>
    <row r="684" spans="2:37" ht="9.4" customHeight="1">
      <c r="B684" s="1568" t="s">
        <v>345</v>
      </c>
      <c r="C684" s="1568"/>
      <c r="D684" s="1568"/>
      <c r="E684" s="1568" t="s">
        <v>6775</v>
      </c>
      <c r="F684" s="1568"/>
      <c r="G684" s="1568"/>
      <c r="H684" s="1568"/>
      <c r="J684" s="1568" t="s">
        <v>6776</v>
      </c>
      <c r="K684" s="1568"/>
      <c r="L684" s="1568"/>
      <c r="M684" s="1566">
        <v>0</v>
      </c>
      <c r="N684" s="1566"/>
      <c r="O684" s="1566"/>
      <c r="P684" s="1566">
        <v>0</v>
      </c>
      <c r="Q684" s="1566"/>
      <c r="R684" s="1566"/>
      <c r="S684" s="1566">
        <v>559.16</v>
      </c>
      <c r="T684" s="1566"/>
      <c r="U684" s="1566"/>
      <c r="V684" s="1566"/>
      <c r="W684" s="1566">
        <v>559.16</v>
      </c>
      <c r="X684" s="1566"/>
      <c r="Y684" s="1566"/>
      <c r="Z684" s="1566"/>
      <c r="AA684" s="1566">
        <v>0</v>
      </c>
      <c r="AB684" s="1566"/>
      <c r="AC684" s="1566"/>
      <c r="AD684" s="1566"/>
      <c r="AE684" s="1566"/>
      <c r="AF684" s="1566"/>
      <c r="AG684" s="1566">
        <v>0</v>
      </c>
      <c r="AH684" s="1566"/>
      <c r="AI684" s="1566"/>
      <c r="AJ684" s="1566"/>
      <c r="AK684" s="1566"/>
    </row>
    <row r="685" spans="2:37" ht="9.4" customHeight="1">
      <c r="B685" s="1568" t="s">
        <v>345</v>
      </c>
      <c r="C685" s="1568"/>
      <c r="D685" s="1568"/>
      <c r="E685" s="1568" t="s">
        <v>2255</v>
      </c>
      <c r="F685" s="1568"/>
      <c r="G685" s="1568"/>
      <c r="H685" s="1568"/>
      <c r="J685" s="1568" t="s">
        <v>2256</v>
      </c>
      <c r="K685" s="1568"/>
      <c r="L685" s="1568"/>
      <c r="M685" s="1566">
        <v>0</v>
      </c>
      <c r="N685" s="1566"/>
      <c r="O685" s="1566"/>
      <c r="P685" s="1566">
        <v>0</v>
      </c>
      <c r="Q685" s="1566"/>
      <c r="R685" s="1566"/>
      <c r="S685" s="1566">
        <v>628327.52</v>
      </c>
      <c r="T685" s="1566"/>
      <c r="U685" s="1566"/>
      <c r="V685" s="1566"/>
      <c r="W685" s="1566">
        <v>628327.52</v>
      </c>
      <c r="X685" s="1566"/>
      <c r="Y685" s="1566"/>
      <c r="Z685" s="1566"/>
      <c r="AA685" s="1566">
        <v>0</v>
      </c>
      <c r="AB685" s="1566"/>
      <c r="AC685" s="1566"/>
      <c r="AD685" s="1566"/>
      <c r="AE685" s="1566"/>
      <c r="AF685" s="1566"/>
      <c r="AG685" s="1566">
        <v>0</v>
      </c>
      <c r="AH685" s="1566"/>
      <c r="AI685" s="1566"/>
      <c r="AJ685" s="1566"/>
      <c r="AK685" s="1566"/>
    </row>
    <row r="686" spans="2:37" ht="9.4" customHeight="1">
      <c r="B686" s="1568" t="s">
        <v>345</v>
      </c>
      <c r="C686" s="1568"/>
      <c r="D686" s="1568"/>
      <c r="E686" s="1568" t="s">
        <v>6229</v>
      </c>
      <c r="F686" s="1568"/>
      <c r="G686" s="1568"/>
      <c r="H686" s="1568"/>
      <c r="J686" s="1568" t="s">
        <v>6230</v>
      </c>
      <c r="K686" s="1568"/>
      <c r="L686" s="1568"/>
      <c r="M686" s="1566">
        <v>0</v>
      </c>
      <c r="N686" s="1566"/>
      <c r="O686" s="1566"/>
      <c r="P686" s="1566">
        <v>0</v>
      </c>
      <c r="Q686" s="1566"/>
      <c r="R686" s="1566"/>
      <c r="S686" s="1566">
        <v>0</v>
      </c>
      <c r="T686" s="1566"/>
      <c r="U686" s="1566"/>
      <c r="V686" s="1566"/>
      <c r="W686" s="1566">
        <v>0</v>
      </c>
      <c r="X686" s="1566"/>
      <c r="Y686" s="1566"/>
      <c r="Z686" s="1566"/>
      <c r="AA686" s="1566">
        <v>0</v>
      </c>
      <c r="AB686" s="1566"/>
      <c r="AC686" s="1566"/>
      <c r="AD686" s="1566"/>
      <c r="AE686" s="1566"/>
      <c r="AF686" s="1566"/>
      <c r="AG686" s="1566">
        <v>0</v>
      </c>
      <c r="AH686" s="1566"/>
      <c r="AI686" s="1566"/>
      <c r="AJ686" s="1566"/>
      <c r="AK686" s="1566"/>
    </row>
    <row r="687" spans="2:37" ht="9.4" customHeight="1">
      <c r="B687" s="1568" t="s">
        <v>345</v>
      </c>
      <c r="C687" s="1568"/>
      <c r="D687" s="1568"/>
      <c r="E687" s="1568" t="s">
        <v>6231</v>
      </c>
      <c r="F687" s="1568"/>
      <c r="G687" s="1568"/>
      <c r="H687" s="1568"/>
      <c r="J687" s="1568" t="s">
        <v>6232</v>
      </c>
      <c r="K687" s="1568"/>
      <c r="L687" s="1568"/>
      <c r="M687" s="1566">
        <v>0</v>
      </c>
      <c r="N687" s="1566"/>
      <c r="O687" s="1566"/>
      <c r="P687" s="1566">
        <v>0</v>
      </c>
      <c r="Q687" s="1566"/>
      <c r="R687" s="1566"/>
      <c r="S687" s="1566">
        <v>68150</v>
      </c>
      <c r="T687" s="1566"/>
      <c r="U687" s="1566"/>
      <c r="V687" s="1566"/>
      <c r="W687" s="1566">
        <v>68150</v>
      </c>
      <c r="X687" s="1566"/>
      <c r="Y687" s="1566"/>
      <c r="Z687" s="1566"/>
      <c r="AA687" s="1566">
        <v>0</v>
      </c>
      <c r="AB687" s="1566"/>
      <c r="AC687" s="1566"/>
      <c r="AD687" s="1566"/>
      <c r="AE687" s="1566"/>
      <c r="AF687" s="1566"/>
      <c r="AG687" s="1566">
        <v>0</v>
      </c>
      <c r="AH687" s="1566"/>
      <c r="AI687" s="1566"/>
      <c r="AJ687" s="1566"/>
      <c r="AK687" s="1566"/>
    </row>
    <row r="688" spans="2:37" ht="9.4" customHeight="1">
      <c r="B688" s="1568" t="s">
        <v>345</v>
      </c>
      <c r="C688" s="1568"/>
      <c r="D688" s="1568"/>
      <c r="E688" s="1568" t="s">
        <v>2862</v>
      </c>
      <c r="F688" s="1568"/>
      <c r="G688" s="1568"/>
      <c r="H688" s="1568"/>
      <c r="J688" s="1568" t="s">
        <v>2363</v>
      </c>
      <c r="K688" s="1568"/>
      <c r="L688" s="1568"/>
      <c r="M688" s="1566">
        <v>0</v>
      </c>
      <c r="N688" s="1566"/>
      <c r="O688" s="1566"/>
      <c r="P688" s="1566">
        <v>0</v>
      </c>
      <c r="Q688" s="1566"/>
      <c r="R688" s="1566"/>
      <c r="S688" s="1566">
        <v>12752.6</v>
      </c>
      <c r="T688" s="1566"/>
      <c r="U688" s="1566"/>
      <c r="V688" s="1566"/>
      <c r="W688" s="1566">
        <v>12752.6</v>
      </c>
      <c r="X688" s="1566"/>
      <c r="Y688" s="1566"/>
      <c r="Z688" s="1566"/>
      <c r="AA688" s="1566">
        <v>0</v>
      </c>
      <c r="AB688" s="1566"/>
      <c r="AC688" s="1566"/>
      <c r="AD688" s="1566"/>
      <c r="AE688" s="1566"/>
      <c r="AF688" s="1566"/>
      <c r="AG688" s="1566">
        <v>0</v>
      </c>
      <c r="AH688" s="1566"/>
      <c r="AI688" s="1566"/>
      <c r="AJ688" s="1566"/>
      <c r="AK688" s="1566"/>
    </row>
    <row r="689" spans="2:37" ht="9.4" customHeight="1">
      <c r="B689" s="1568" t="s">
        <v>345</v>
      </c>
      <c r="C689" s="1568"/>
      <c r="D689" s="1568"/>
      <c r="E689" s="1568" t="s">
        <v>2257</v>
      </c>
      <c r="F689" s="1568"/>
      <c r="G689" s="1568"/>
      <c r="H689" s="1568"/>
      <c r="J689" s="1568" t="s">
        <v>2258</v>
      </c>
      <c r="K689" s="1568"/>
      <c r="L689" s="1568"/>
      <c r="M689" s="1566">
        <v>0</v>
      </c>
      <c r="N689" s="1566"/>
      <c r="O689" s="1566"/>
      <c r="P689" s="1566">
        <v>0</v>
      </c>
      <c r="Q689" s="1566"/>
      <c r="R689" s="1566"/>
      <c r="S689" s="1566">
        <v>13376.28</v>
      </c>
      <c r="T689" s="1566"/>
      <c r="U689" s="1566"/>
      <c r="V689" s="1566"/>
      <c r="W689" s="1566">
        <v>13376.28</v>
      </c>
      <c r="X689" s="1566"/>
      <c r="Y689" s="1566"/>
      <c r="Z689" s="1566"/>
      <c r="AA689" s="1566">
        <v>0</v>
      </c>
      <c r="AB689" s="1566"/>
      <c r="AC689" s="1566"/>
      <c r="AD689" s="1566"/>
      <c r="AE689" s="1566"/>
      <c r="AF689" s="1566"/>
      <c r="AG689" s="1566">
        <v>0</v>
      </c>
      <c r="AH689" s="1566"/>
      <c r="AI689" s="1566"/>
      <c r="AJ689" s="1566"/>
      <c r="AK689" s="1566"/>
    </row>
    <row r="690" spans="2:37" ht="9.4" customHeight="1">
      <c r="B690" s="1568" t="s">
        <v>345</v>
      </c>
      <c r="C690" s="1568"/>
      <c r="D690" s="1568"/>
      <c r="E690" s="1568" t="s">
        <v>3114</v>
      </c>
      <c r="F690" s="1568"/>
      <c r="G690" s="1568"/>
      <c r="H690" s="1568"/>
      <c r="J690" s="1568" t="s">
        <v>3115</v>
      </c>
      <c r="K690" s="1568"/>
      <c r="L690" s="1568"/>
      <c r="M690" s="1566">
        <v>0</v>
      </c>
      <c r="N690" s="1566"/>
      <c r="O690" s="1566"/>
      <c r="P690" s="1566">
        <v>0</v>
      </c>
      <c r="Q690" s="1566"/>
      <c r="R690" s="1566"/>
      <c r="S690" s="1566">
        <v>125523.16</v>
      </c>
      <c r="T690" s="1566"/>
      <c r="U690" s="1566"/>
      <c r="V690" s="1566"/>
      <c r="W690" s="1566">
        <v>125523.16</v>
      </c>
      <c r="X690" s="1566"/>
      <c r="Y690" s="1566"/>
      <c r="Z690" s="1566"/>
      <c r="AA690" s="1566">
        <v>0</v>
      </c>
      <c r="AB690" s="1566"/>
      <c r="AC690" s="1566"/>
      <c r="AD690" s="1566"/>
      <c r="AE690" s="1566"/>
      <c r="AF690" s="1566"/>
      <c r="AG690" s="1566">
        <v>0</v>
      </c>
      <c r="AH690" s="1566"/>
      <c r="AI690" s="1566"/>
      <c r="AJ690" s="1566"/>
      <c r="AK690" s="1566"/>
    </row>
    <row r="691" spans="2:37" ht="9.4" customHeight="1">
      <c r="B691" s="1568" t="s">
        <v>345</v>
      </c>
      <c r="C691" s="1568"/>
      <c r="D691" s="1568"/>
      <c r="E691" s="1568" t="s">
        <v>6233</v>
      </c>
      <c r="F691" s="1568"/>
      <c r="G691" s="1568"/>
      <c r="H691" s="1568"/>
      <c r="J691" s="1568" t="s">
        <v>6234</v>
      </c>
      <c r="K691" s="1568"/>
      <c r="L691" s="1568"/>
      <c r="M691" s="1566">
        <v>0</v>
      </c>
      <c r="N691" s="1566"/>
      <c r="O691" s="1566"/>
      <c r="P691" s="1566">
        <v>0</v>
      </c>
      <c r="Q691" s="1566"/>
      <c r="R691" s="1566"/>
      <c r="S691" s="1566">
        <v>0</v>
      </c>
      <c r="T691" s="1566"/>
      <c r="U691" s="1566"/>
      <c r="V691" s="1566"/>
      <c r="W691" s="1566">
        <v>0</v>
      </c>
      <c r="X691" s="1566"/>
      <c r="Y691" s="1566"/>
      <c r="Z691" s="1566"/>
      <c r="AA691" s="1566">
        <v>0</v>
      </c>
      <c r="AB691" s="1566"/>
      <c r="AC691" s="1566"/>
      <c r="AD691" s="1566"/>
      <c r="AE691" s="1566"/>
      <c r="AF691" s="1566"/>
      <c r="AG691" s="1566">
        <v>0</v>
      </c>
      <c r="AH691" s="1566"/>
      <c r="AI691" s="1566"/>
      <c r="AJ691" s="1566"/>
      <c r="AK691" s="1566"/>
    </row>
    <row r="692" spans="2:37" ht="9.4" customHeight="1">
      <c r="B692" s="1568" t="s">
        <v>345</v>
      </c>
      <c r="C692" s="1568"/>
      <c r="D692" s="1568"/>
      <c r="E692" s="1568" t="s">
        <v>2259</v>
      </c>
      <c r="F692" s="1568"/>
      <c r="G692" s="1568"/>
      <c r="H692" s="1568"/>
      <c r="J692" s="1568" t="s">
        <v>2260</v>
      </c>
      <c r="K692" s="1568"/>
      <c r="L692" s="1568"/>
      <c r="M692" s="1566">
        <v>0</v>
      </c>
      <c r="N692" s="1566"/>
      <c r="O692" s="1566"/>
      <c r="P692" s="1566">
        <v>0</v>
      </c>
      <c r="Q692" s="1566"/>
      <c r="R692" s="1566"/>
      <c r="S692" s="1566">
        <v>46510.21</v>
      </c>
      <c r="T692" s="1566"/>
      <c r="U692" s="1566"/>
      <c r="V692" s="1566"/>
      <c r="W692" s="1566">
        <v>46510.21</v>
      </c>
      <c r="X692" s="1566"/>
      <c r="Y692" s="1566"/>
      <c r="Z692" s="1566"/>
      <c r="AA692" s="1566">
        <v>0</v>
      </c>
      <c r="AB692" s="1566"/>
      <c r="AC692" s="1566"/>
      <c r="AD692" s="1566"/>
      <c r="AE692" s="1566"/>
      <c r="AF692" s="1566"/>
      <c r="AG692" s="1566">
        <v>0</v>
      </c>
      <c r="AH692" s="1566"/>
      <c r="AI692" s="1566"/>
      <c r="AJ692" s="1566"/>
      <c r="AK692" s="1566"/>
    </row>
    <row r="693" spans="2:37" ht="9.4" customHeight="1">
      <c r="B693" s="1568" t="s">
        <v>345</v>
      </c>
      <c r="C693" s="1568"/>
      <c r="D693" s="1568"/>
      <c r="E693" s="1568" t="s">
        <v>2261</v>
      </c>
      <c r="F693" s="1568"/>
      <c r="G693" s="1568"/>
      <c r="H693" s="1568"/>
      <c r="J693" s="1568" t="s">
        <v>2262</v>
      </c>
      <c r="K693" s="1568"/>
      <c r="L693" s="1568"/>
      <c r="M693" s="1566">
        <v>0</v>
      </c>
      <c r="N693" s="1566"/>
      <c r="O693" s="1566"/>
      <c r="P693" s="1566">
        <v>0</v>
      </c>
      <c r="Q693" s="1566"/>
      <c r="R693" s="1566"/>
      <c r="S693" s="1566">
        <v>34098.68</v>
      </c>
      <c r="T693" s="1566"/>
      <c r="U693" s="1566"/>
      <c r="V693" s="1566"/>
      <c r="W693" s="1566">
        <v>34098.68</v>
      </c>
      <c r="X693" s="1566"/>
      <c r="Y693" s="1566"/>
      <c r="Z693" s="1566"/>
      <c r="AA693" s="1566">
        <v>0</v>
      </c>
      <c r="AB693" s="1566"/>
      <c r="AC693" s="1566"/>
      <c r="AD693" s="1566"/>
      <c r="AE693" s="1566"/>
      <c r="AF693" s="1566"/>
      <c r="AG693" s="1566">
        <v>0</v>
      </c>
      <c r="AH693" s="1566"/>
      <c r="AI693" s="1566"/>
      <c r="AJ693" s="1566"/>
      <c r="AK693" s="1566"/>
    </row>
    <row r="694" spans="2:37" ht="9.1999999999999993" customHeight="1">
      <c r="J694" s="1568"/>
      <c r="K694" s="1568"/>
      <c r="L694" s="1568"/>
    </row>
    <row r="695" spans="2:37" ht="8.4499999999999993" customHeight="1">
      <c r="B695" s="1568" t="s">
        <v>345</v>
      </c>
      <c r="C695" s="1568"/>
      <c r="D695" s="1568"/>
      <c r="E695" s="1568" t="s">
        <v>2263</v>
      </c>
      <c r="F695" s="1568"/>
      <c r="G695" s="1568"/>
      <c r="H695" s="1568"/>
      <c r="J695" s="1568" t="s">
        <v>2264</v>
      </c>
      <c r="K695" s="1568"/>
      <c r="L695" s="1568"/>
      <c r="M695" s="1566">
        <v>0</v>
      </c>
      <c r="N695" s="1566"/>
      <c r="O695" s="1566"/>
      <c r="P695" s="1566">
        <v>0</v>
      </c>
      <c r="Q695" s="1566"/>
      <c r="R695" s="1566"/>
      <c r="S695" s="1566">
        <v>6650.72</v>
      </c>
      <c r="T695" s="1566"/>
      <c r="U695" s="1566"/>
      <c r="V695" s="1566"/>
      <c r="W695" s="1566">
        <v>6650.72</v>
      </c>
      <c r="X695" s="1566"/>
      <c r="Y695" s="1566"/>
      <c r="Z695" s="1566"/>
      <c r="AA695" s="1566">
        <v>0</v>
      </c>
      <c r="AB695" s="1566"/>
      <c r="AC695" s="1566"/>
      <c r="AD695" s="1566"/>
      <c r="AE695" s="1566"/>
      <c r="AF695" s="1566"/>
      <c r="AG695" s="1566">
        <v>0</v>
      </c>
      <c r="AH695" s="1566"/>
      <c r="AI695" s="1566"/>
      <c r="AJ695" s="1566"/>
      <c r="AK695" s="1566"/>
    </row>
    <row r="696" spans="2:37" ht="9.4" customHeight="1">
      <c r="B696" s="1568" t="s">
        <v>345</v>
      </c>
      <c r="C696" s="1568"/>
      <c r="D696" s="1568"/>
      <c r="E696" s="1568" t="s">
        <v>2265</v>
      </c>
      <c r="F696" s="1568"/>
      <c r="G696" s="1568"/>
      <c r="H696" s="1568"/>
      <c r="J696" s="1568" t="s">
        <v>2266</v>
      </c>
      <c r="K696" s="1568"/>
      <c r="L696" s="1568"/>
      <c r="M696" s="1566">
        <v>0</v>
      </c>
      <c r="N696" s="1566"/>
      <c r="O696" s="1566"/>
      <c r="P696" s="1566">
        <v>0</v>
      </c>
      <c r="Q696" s="1566"/>
      <c r="R696" s="1566"/>
      <c r="S696" s="1566">
        <v>19956.84</v>
      </c>
      <c r="T696" s="1566"/>
      <c r="U696" s="1566"/>
      <c r="V696" s="1566"/>
      <c r="W696" s="1566">
        <v>19956.84</v>
      </c>
      <c r="X696" s="1566"/>
      <c r="Y696" s="1566"/>
      <c r="Z696" s="1566"/>
      <c r="AA696" s="1566">
        <v>0</v>
      </c>
      <c r="AB696" s="1566"/>
      <c r="AC696" s="1566"/>
      <c r="AD696" s="1566"/>
      <c r="AE696" s="1566"/>
      <c r="AF696" s="1566"/>
      <c r="AG696" s="1566">
        <v>0</v>
      </c>
      <c r="AH696" s="1566"/>
      <c r="AI696" s="1566"/>
      <c r="AJ696" s="1566"/>
      <c r="AK696" s="1566"/>
    </row>
    <row r="697" spans="2:37" ht="9.4" customHeight="1">
      <c r="B697" s="1568" t="s">
        <v>345</v>
      </c>
      <c r="C697" s="1568"/>
      <c r="D697" s="1568"/>
      <c r="E697" s="1568" t="s">
        <v>2967</v>
      </c>
      <c r="F697" s="1568"/>
      <c r="G697" s="1568"/>
      <c r="H697" s="1568"/>
      <c r="J697" s="1568" t="s">
        <v>2968</v>
      </c>
      <c r="K697" s="1568"/>
      <c r="L697" s="1568"/>
      <c r="M697" s="1566">
        <v>0</v>
      </c>
      <c r="N697" s="1566"/>
      <c r="O697" s="1566"/>
      <c r="P697" s="1566">
        <v>0</v>
      </c>
      <c r="Q697" s="1566"/>
      <c r="R697" s="1566"/>
      <c r="S697" s="1566">
        <v>7491.12</v>
      </c>
      <c r="T697" s="1566"/>
      <c r="U697" s="1566"/>
      <c r="V697" s="1566"/>
      <c r="W697" s="1566">
        <v>7491.12</v>
      </c>
      <c r="X697" s="1566"/>
      <c r="Y697" s="1566"/>
      <c r="Z697" s="1566"/>
      <c r="AA697" s="1566">
        <v>0</v>
      </c>
      <c r="AB697" s="1566"/>
      <c r="AC697" s="1566"/>
      <c r="AD697" s="1566"/>
      <c r="AE697" s="1566"/>
      <c r="AF697" s="1566"/>
      <c r="AG697" s="1566">
        <v>0</v>
      </c>
      <c r="AH697" s="1566"/>
      <c r="AI697" s="1566"/>
      <c r="AJ697" s="1566"/>
      <c r="AK697" s="1566"/>
    </row>
    <row r="698" spans="2:37" ht="9.4" customHeight="1">
      <c r="B698" s="1568" t="s">
        <v>345</v>
      </c>
      <c r="C698" s="1568"/>
      <c r="D698" s="1568"/>
      <c r="E698" s="1568" t="s">
        <v>1593</v>
      </c>
      <c r="F698" s="1568"/>
      <c r="G698" s="1568"/>
      <c r="H698" s="1568"/>
      <c r="J698" s="1568" t="s">
        <v>2267</v>
      </c>
      <c r="K698" s="1568"/>
      <c r="L698" s="1568"/>
      <c r="M698" s="1566">
        <v>0</v>
      </c>
      <c r="N698" s="1566"/>
      <c r="O698" s="1566"/>
      <c r="P698" s="1566">
        <v>1779531.96</v>
      </c>
      <c r="Q698" s="1566"/>
      <c r="R698" s="1566"/>
      <c r="S698" s="1566">
        <v>3106004.74</v>
      </c>
      <c r="T698" s="1566"/>
      <c r="U698" s="1566"/>
      <c r="V698" s="1566"/>
      <c r="W698" s="1566">
        <v>2887355.72</v>
      </c>
      <c r="X698" s="1566"/>
      <c r="Y698" s="1566"/>
      <c r="Z698" s="1566"/>
      <c r="AA698" s="1566">
        <v>0</v>
      </c>
      <c r="AB698" s="1566"/>
      <c r="AC698" s="1566"/>
      <c r="AD698" s="1566"/>
      <c r="AE698" s="1566"/>
      <c r="AF698" s="1566"/>
      <c r="AG698" s="1566">
        <v>1560882.94</v>
      </c>
      <c r="AH698" s="1566"/>
      <c r="AI698" s="1566"/>
      <c r="AJ698" s="1566"/>
      <c r="AK698" s="1566"/>
    </row>
    <row r="699" spans="2:37" ht="9.1999999999999993" customHeight="1">
      <c r="J699" s="1568"/>
      <c r="K699" s="1568"/>
      <c r="L699" s="1568"/>
    </row>
    <row r="700" spans="2:37" ht="8.4499999999999993" customHeight="1">
      <c r="B700" s="1568" t="s">
        <v>345</v>
      </c>
      <c r="C700" s="1568"/>
      <c r="D700" s="1568"/>
      <c r="E700" s="1568" t="s">
        <v>1594</v>
      </c>
      <c r="F700" s="1568"/>
      <c r="G700" s="1568"/>
      <c r="H700" s="1568"/>
      <c r="J700" s="1568" t="s">
        <v>2268</v>
      </c>
      <c r="K700" s="1568"/>
      <c r="L700" s="1568"/>
      <c r="M700" s="1566">
        <v>0</v>
      </c>
      <c r="N700" s="1566"/>
      <c r="O700" s="1566"/>
      <c r="P700" s="1566">
        <v>161817.62</v>
      </c>
      <c r="Q700" s="1566"/>
      <c r="R700" s="1566"/>
      <c r="S700" s="1566">
        <v>161817.62</v>
      </c>
      <c r="T700" s="1566"/>
      <c r="U700" s="1566"/>
      <c r="V700" s="1566"/>
      <c r="W700" s="1566">
        <v>162688.71</v>
      </c>
      <c r="X700" s="1566"/>
      <c r="Y700" s="1566"/>
      <c r="Z700" s="1566"/>
      <c r="AA700" s="1566">
        <v>0</v>
      </c>
      <c r="AB700" s="1566"/>
      <c r="AC700" s="1566"/>
      <c r="AD700" s="1566"/>
      <c r="AE700" s="1566"/>
      <c r="AF700" s="1566"/>
      <c r="AG700" s="1566">
        <v>162688.71</v>
      </c>
      <c r="AH700" s="1566"/>
      <c r="AI700" s="1566"/>
      <c r="AJ700" s="1566"/>
      <c r="AK700" s="1566"/>
    </row>
    <row r="701" spans="2:37" ht="9.4" customHeight="1">
      <c r="B701" s="1568" t="s">
        <v>345</v>
      </c>
      <c r="C701" s="1568"/>
      <c r="D701" s="1568"/>
      <c r="E701" s="1568" t="s">
        <v>1595</v>
      </c>
      <c r="F701" s="1568"/>
      <c r="G701" s="1568"/>
      <c r="H701" s="1568"/>
      <c r="J701" s="1568" t="s">
        <v>2269</v>
      </c>
      <c r="K701" s="1568"/>
      <c r="L701" s="1568"/>
      <c r="M701" s="1566">
        <v>0</v>
      </c>
      <c r="N701" s="1566"/>
      <c r="O701" s="1566"/>
      <c r="P701" s="1566">
        <v>50057.4</v>
      </c>
      <c r="Q701" s="1566"/>
      <c r="R701" s="1566"/>
      <c r="S701" s="1566">
        <v>100389.84</v>
      </c>
      <c r="T701" s="1566"/>
      <c r="U701" s="1566"/>
      <c r="V701" s="1566"/>
      <c r="W701" s="1566">
        <v>100664.88</v>
      </c>
      <c r="X701" s="1566"/>
      <c r="Y701" s="1566"/>
      <c r="Z701" s="1566"/>
      <c r="AA701" s="1566">
        <v>0</v>
      </c>
      <c r="AB701" s="1566"/>
      <c r="AC701" s="1566"/>
      <c r="AD701" s="1566"/>
      <c r="AE701" s="1566"/>
      <c r="AF701" s="1566"/>
      <c r="AG701" s="1566">
        <v>50332.44</v>
      </c>
      <c r="AH701" s="1566"/>
      <c r="AI701" s="1566"/>
      <c r="AJ701" s="1566"/>
      <c r="AK701" s="1566"/>
    </row>
    <row r="702" spans="2:37" ht="9.4" customHeight="1">
      <c r="B702" s="1568" t="s">
        <v>345</v>
      </c>
      <c r="C702" s="1568"/>
      <c r="D702" s="1568"/>
      <c r="E702" s="1568" t="s">
        <v>3373</v>
      </c>
      <c r="F702" s="1568"/>
      <c r="G702" s="1568"/>
      <c r="H702" s="1568"/>
      <c r="J702" s="1568" t="s">
        <v>3374</v>
      </c>
      <c r="K702" s="1568"/>
      <c r="L702" s="1568"/>
      <c r="M702" s="1566">
        <v>0</v>
      </c>
      <c r="N702" s="1566"/>
      <c r="O702" s="1566"/>
      <c r="P702" s="1566">
        <v>0</v>
      </c>
      <c r="Q702" s="1566"/>
      <c r="R702" s="1566"/>
      <c r="S702" s="1566">
        <v>0</v>
      </c>
      <c r="T702" s="1566"/>
      <c r="U702" s="1566"/>
      <c r="V702" s="1566"/>
      <c r="W702" s="1566">
        <v>0</v>
      </c>
      <c r="X702" s="1566"/>
      <c r="Y702" s="1566"/>
      <c r="Z702" s="1566"/>
      <c r="AA702" s="1566">
        <v>0</v>
      </c>
      <c r="AB702" s="1566"/>
      <c r="AC702" s="1566"/>
      <c r="AD702" s="1566"/>
      <c r="AE702" s="1566"/>
      <c r="AF702" s="1566"/>
      <c r="AG702" s="1566">
        <v>0</v>
      </c>
      <c r="AH702" s="1566"/>
      <c r="AI702" s="1566"/>
      <c r="AJ702" s="1566"/>
      <c r="AK702" s="1566"/>
    </row>
    <row r="703" spans="2:37" ht="9.4" customHeight="1">
      <c r="B703" s="1568" t="s">
        <v>345</v>
      </c>
      <c r="C703" s="1568"/>
      <c r="D703" s="1568"/>
      <c r="E703" s="1568" t="s">
        <v>1596</v>
      </c>
      <c r="F703" s="1568"/>
      <c r="G703" s="1568"/>
      <c r="H703" s="1568"/>
      <c r="J703" s="1568" t="s">
        <v>2270</v>
      </c>
      <c r="K703" s="1568"/>
      <c r="L703" s="1568"/>
      <c r="M703" s="1566">
        <v>0</v>
      </c>
      <c r="N703" s="1566"/>
      <c r="O703" s="1566"/>
      <c r="P703" s="1566">
        <v>0</v>
      </c>
      <c r="Q703" s="1566"/>
      <c r="R703" s="1566"/>
      <c r="S703" s="1566">
        <v>1222332.18</v>
      </c>
      <c r="T703" s="1566"/>
      <c r="U703" s="1566"/>
      <c r="V703" s="1566"/>
      <c r="W703" s="1566">
        <v>1222332.18</v>
      </c>
      <c r="X703" s="1566"/>
      <c r="Y703" s="1566"/>
      <c r="Z703" s="1566"/>
      <c r="AA703" s="1566">
        <v>0</v>
      </c>
      <c r="AB703" s="1566"/>
      <c r="AC703" s="1566"/>
      <c r="AD703" s="1566"/>
      <c r="AE703" s="1566"/>
      <c r="AF703" s="1566"/>
      <c r="AG703" s="1566">
        <v>0</v>
      </c>
      <c r="AH703" s="1566"/>
      <c r="AI703" s="1566"/>
      <c r="AJ703" s="1566"/>
      <c r="AK703" s="1566"/>
    </row>
    <row r="704" spans="2:37" ht="9.4" customHeight="1">
      <c r="B704" s="1568" t="s">
        <v>345</v>
      </c>
      <c r="C704" s="1568"/>
      <c r="D704" s="1568"/>
      <c r="E704" s="1568" t="s">
        <v>1597</v>
      </c>
      <c r="F704" s="1568"/>
      <c r="G704" s="1568"/>
      <c r="H704" s="1568"/>
      <c r="J704" s="1568" t="s">
        <v>2271</v>
      </c>
      <c r="K704" s="1568"/>
      <c r="L704" s="1568"/>
      <c r="M704" s="1566">
        <v>0</v>
      </c>
      <c r="N704" s="1566"/>
      <c r="O704" s="1566"/>
      <c r="P704" s="1566">
        <v>800612.67</v>
      </c>
      <c r="Q704" s="1566"/>
      <c r="R704" s="1566"/>
      <c r="S704" s="1566">
        <v>1283523.6399999999</v>
      </c>
      <c r="T704" s="1566"/>
      <c r="U704" s="1566"/>
      <c r="V704" s="1566"/>
      <c r="W704" s="1566">
        <v>1005433.96</v>
      </c>
      <c r="X704" s="1566"/>
      <c r="Y704" s="1566"/>
      <c r="Z704" s="1566"/>
      <c r="AA704" s="1566">
        <v>0</v>
      </c>
      <c r="AB704" s="1566"/>
      <c r="AC704" s="1566"/>
      <c r="AD704" s="1566"/>
      <c r="AE704" s="1566"/>
      <c r="AF704" s="1566"/>
      <c r="AG704" s="1566">
        <v>522522.99</v>
      </c>
      <c r="AH704" s="1566"/>
      <c r="AI704" s="1566"/>
      <c r="AJ704" s="1566"/>
      <c r="AK704" s="1566"/>
    </row>
    <row r="705" spans="1:38" ht="9.4" customHeight="1">
      <c r="B705" s="1568" t="s">
        <v>345</v>
      </c>
      <c r="C705" s="1568"/>
      <c r="D705" s="1568"/>
      <c r="E705" s="1568" t="s">
        <v>1598</v>
      </c>
      <c r="F705" s="1568"/>
      <c r="G705" s="1568"/>
      <c r="H705" s="1568"/>
      <c r="J705" s="1568" t="s">
        <v>2270</v>
      </c>
      <c r="K705" s="1568"/>
      <c r="L705" s="1568"/>
      <c r="M705" s="1566">
        <v>0</v>
      </c>
      <c r="N705" s="1566"/>
      <c r="O705" s="1566"/>
      <c r="P705" s="1566">
        <v>0</v>
      </c>
      <c r="Q705" s="1566"/>
      <c r="R705" s="1566"/>
      <c r="S705" s="1566">
        <v>61310.98</v>
      </c>
      <c r="T705" s="1566"/>
      <c r="U705" s="1566"/>
      <c r="V705" s="1566"/>
      <c r="W705" s="1566">
        <v>61310.98</v>
      </c>
      <c r="X705" s="1566"/>
      <c r="Y705" s="1566"/>
      <c r="Z705" s="1566"/>
      <c r="AA705" s="1566">
        <v>0</v>
      </c>
      <c r="AB705" s="1566"/>
      <c r="AC705" s="1566"/>
      <c r="AD705" s="1566"/>
      <c r="AE705" s="1566"/>
      <c r="AF705" s="1566"/>
      <c r="AG705" s="1566">
        <v>0</v>
      </c>
      <c r="AH705" s="1566"/>
      <c r="AI705" s="1566"/>
      <c r="AJ705" s="1566"/>
      <c r="AK705" s="1566"/>
    </row>
    <row r="706" spans="1:38" ht="9.4" customHeight="1">
      <c r="B706" s="1568" t="s">
        <v>345</v>
      </c>
      <c r="C706" s="1568"/>
      <c r="D706" s="1568"/>
      <c r="E706" s="1568" t="s">
        <v>1599</v>
      </c>
      <c r="F706" s="1568"/>
      <c r="G706" s="1568"/>
      <c r="H706" s="1568"/>
      <c r="J706" s="1568" t="s">
        <v>2271</v>
      </c>
      <c r="K706" s="1568"/>
      <c r="L706" s="1568"/>
      <c r="M706" s="1566">
        <v>0</v>
      </c>
      <c r="N706" s="1566"/>
      <c r="O706" s="1566"/>
      <c r="P706" s="1566">
        <v>90436.62</v>
      </c>
      <c r="Q706" s="1566"/>
      <c r="R706" s="1566"/>
      <c r="S706" s="1566">
        <v>61310.98</v>
      </c>
      <c r="T706" s="1566"/>
      <c r="U706" s="1566"/>
      <c r="V706" s="1566"/>
      <c r="W706" s="1566">
        <v>61140.79</v>
      </c>
      <c r="X706" s="1566"/>
      <c r="Y706" s="1566"/>
      <c r="Z706" s="1566"/>
      <c r="AA706" s="1566">
        <v>0</v>
      </c>
      <c r="AB706" s="1566"/>
      <c r="AC706" s="1566"/>
      <c r="AD706" s="1566"/>
      <c r="AE706" s="1566"/>
      <c r="AF706" s="1566"/>
      <c r="AG706" s="1566">
        <v>90266.43</v>
      </c>
      <c r="AH706" s="1566"/>
      <c r="AI706" s="1566"/>
      <c r="AJ706" s="1566"/>
      <c r="AK706" s="1566"/>
    </row>
    <row r="707" spans="1:38" ht="9.4" customHeight="1">
      <c r="B707" s="1568" t="s">
        <v>345</v>
      </c>
      <c r="C707" s="1568"/>
      <c r="D707" s="1568"/>
      <c r="E707" s="1568" t="s">
        <v>1600</v>
      </c>
      <c r="F707" s="1568"/>
      <c r="G707" s="1568"/>
      <c r="H707" s="1568"/>
      <c r="J707" s="1568" t="s">
        <v>2270</v>
      </c>
      <c r="K707" s="1568"/>
      <c r="L707" s="1568"/>
      <c r="M707" s="1566">
        <v>0</v>
      </c>
      <c r="N707" s="1566"/>
      <c r="O707" s="1566"/>
      <c r="P707" s="1566">
        <v>0</v>
      </c>
      <c r="Q707" s="1566"/>
      <c r="R707" s="1566"/>
      <c r="S707" s="1566">
        <v>101447.49</v>
      </c>
      <c r="T707" s="1566"/>
      <c r="U707" s="1566"/>
      <c r="V707" s="1566"/>
      <c r="W707" s="1566">
        <v>101447.49</v>
      </c>
      <c r="X707" s="1566"/>
      <c r="Y707" s="1566"/>
      <c r="Z707" s="1566"/>
      <c r="AA707" s="1566">
        <v>0</v>
      </c>
      <c r="AB707" s="1566"/>
      <c r="AC707" s="1566"/>
      <c r="AD707" s="1566"/>
      <c r="AE707" s="1566"/>
      <c r="AF707" s="1566"/>
      <c r="AG707" s="1566">
        <v>0</v>
      </c>
      <c r="AH707" s="1566"/>
      <c r="AI707" s="1566"/>
      <c r="AJ707" s="1566"/>
      <c r="AK707" s="1566"/>
    </row>
    <row r="708" spans="1:38" ht="9.4" customHeight="1">
      <c r="B708" s="1568" t="s">
        <v>345</v>
      </c>
      <c r="C708" s="1568"/>
      <c r="D708" s="1568"/>
      <c r="E708" s="1568" t="s">
        <v>1601</v>
      </c>
      <c r="F708" s="1568"/>
      <c r="G708" s="1568"/>
      <c r="H708" s="1568"/>
      <c r="J708" s="1568" t="s">
        <v>2271</v>
      </c>
      <c r="K708" s="1568"/>
      <c r="L708" s="1568"/>
      <c r="M708" s="1566">
        <v>0</v>
      </c>
      <c r="N708" s="1566"/>
      <c r="O708" s="1566"/>
      <c r="P708" s="1566">
        <v>135280</v>
      </c>
      <c r="Q708" s="1566"/>
      <c r="R708" s="1566"/>
      <c r="S708" s="1566">
        <v>101447.49</v>
      </c>
      <c r="T708" s="1566"/>
      <c r="U708" s="1566"/>
      <c r="V708" s="1566"/>
      <c r="W708" s="1566">
        <v>111139.44</v>
      </c>
      <c r="X708" s="1566"/>
      <c r="Y708" s="1566"/>
      <c r="Z708" s="1566"/>
      <c r="AA708" s="1566">
        <v>0</v>
      </c>
      <c r="AB708" s="1566"/>
      <c r="AC708" s="1566"/>
      <c r="AD708" s="1566"/>
      <c r="AE708" s="1566"/>
      <c r="AF708" s="1566"/>
      <c r="AG708" s="1566">
        <v>144971.95000000001</v>
      </c>
      <c r="AH708" s="1566"/>
      <c r="AI708" s="1566"/>
      <c r="AJ708" s="1566"/>
      <c r="AK708" s="1566"/>
    </row>
    <row r="709" spans="1:38" ht="9.4" customHeight="1">
      <c r="B709" s="1568" t="s">
        <v>345</v>
      </c>
      <c r="C709" s="1568"/>
      <c r="D709" s="1568"/>
      <c r="E709" s="1568" t="s">
        <v>1602</v>
      </c>
      <c r="F709" s="1568"/>
      <c r="G709" s="1568"/>
      <c r="H709" s="1568"/>
      <c r="J709" s="1568" t="s">
        <v>2270</v>
      </c>
      <c r="K709" s="1568"/>
      <c r="L709" s="1568"/>
      <c r="M709" s="1566">
        <v>0</v>
      </c>
      <c r="N709" s="1566"/>
      <c r="O709" s="1566"/>
      <c r="P709" s="1566">
        <v>0</v>
      </c>
      <c r="Q709" s="1566"/>
      <c r="R709" s="1566"/>
      <c r="S709" s="1566">
        <v>3572.44</v>
      </c>
      <c r="T709" s="1566"/>
      <c r="U709" s="1566"/>
      <c r="V709" s="1566"/>
      <c r="W709" s="1566">
        <v>3572.44</v>
      </c>
      <c r="X709" s="1566"/>
      <c r="Y709" s="1566"/>
      <c r="Z709" s="1566"/>
      <c r="AA709" s="1566">
        <v>0</v>
      </c>
      <c r="AB709" s="1566"/>
      <c r="AC709" s="1566"/>
      <c r="AD709" s="1566"/>
      <c r="AE709" s="1566"/>
      <c r="AF709" s="1566"/>
      <c r="AG709" s="1566">
        <v>0</v>
      </c>
      <c r="AH709" s="1566"/>
      <c r="AI709" s="1566"/>
      <c r="AJ709" s="1566"/>
      <c r="AK709" s="1566"/>
    </row>
    <row r="710" spans="1:38" ht="9.4" customHeight="1">
      <c r="B710" s="1568" t="s">
        <v>345</v>
      </c>
      <c r="C710" s="1568"/>
      <c r="D710" s="1568"/>
      <c r="E710" s="1568" t="s">
        <v>1603</v>
      </c>
      <c r="F710" s="1568"/>
      <c r="G710" s="1568"/>
      <c r="H710" s="1568"/>
      <c r="J710" s="1568" t="s">
        <v>2271</v>
      </c>
      <c r="K710" s="1568"/>
      <c r="L710" s="1568"/>
      <c r="M710" s="1566">
        <v>0</v>
      </c>
      <c r="N710" s="1566"/>
      <c r="O710" s="1566"/>
      <c r="P710" s="1566">
        <v>5696.26</v>
      </c>
      <c r="Q710" s="1566"/>
      <c r="R710" s="1566"/>
      <c r="S710" s="1566">
        <v>3572.44</v>
      </c>
      <c r="T710" s="1566"/>
      <c r="U710" s="1566"/>
      <c r="V710" s="1566"/>
      <c r="W710" s="1566">
        <v>9702.14</v>
      </c>
      <c r="X710" s="1566"/>
      <c r="Y710" s="1566"/>
      <c r="Z710" s="1566"/>
      <c r="AA710" s="1566">
        <v>0</v>
      </c>
      <c r="AB710" s="1566"/>
      <c r="AC710" s="1566"/>
      <c r="AD710" s="1566"/>
      <c r="AE710" s="1566"/>
      <c r="AF710" s="1566"/>
      <c r="AG710" s="1566">
        <v>11825.96</v>
      </c>
      <c r="AH710" s="1566"/>
      <c r="AI710" s="1566"/>
      <c r="AJ710" s="1566"/>
      <c r="AK710" s="1566"/>
    </row>
    <row r="711" spans="1:38" ht="9.4" customHeight="1">
      <c r="B711" s="1568" t="s">
        <v>345</v>
      </c>
      <c r="C711" s="1568"/>
      <c r="D711" s="1568"/>
      <c r="E711" s="1568" t="s">
        <v>1604</v>
      </c>
      <c r="F711" s="1568"/>
      <c r="G711" s="1568"/>
      <c r="H711" s="1568"/>
      <c r="J711" s="1568" t="s">
        <v>2271</v>
      </c>
      <c r="K711" s="1568"/>
      <c r="L711" s="1568"/>
      <c r="M711" s="1566">
        <v>0</v>
      </c>
      <c r="N711" s="1566"/>
      <c r="O711" s="1566"/>
      <c r="P711" s="1566">
        <v>535631.39</v>
      </c>
      <c r="Q711" s="1566"/>
      <c r="R711" s="1566"/>
      <c r="S711" s="1566">
        <v>5279.64</v>
      </c>
      <c r="T711" s="1566"/>
      <c r="U711" s="1566"/>
      <c r="V711" s="1566"/>
      <c r="W711" s="1566">
        <v>47922.71</v>
      </c>
      <c r="X711" s="1566"/>
      <c r="Y711" s="1566"/>
      <c r="Z711" s="1566"/>
      <c r="AA711" s="1566">
        <v>0</v>
      </c>
      <c r="AB711" s="1566"/>
      <c r="AC711" s="1566"/>
      <c r="AD711" s="1566"/>
      <c r="AE711" s="1566"/>
      <c r="AF711" s="1566"/>
      <c r="AG711" s="1566">
        <v>578274.46</v>
      </c>
      <c r="AH711" s="1566"/>
      <c r="AI711" s="1566"/>
      <c r="AJ711" s="1566"/>
      <c r="AK711" s="1566"/>
    </row>
    <row r="712" spans="1:38" ht="9.4" customHeight="1">
      <c r="B712" s="1568" t="s">
        <v>345</v>
      </c>
      <c r="C712" s="1568"/>
      <c r="D712" s="1568"/>
      <c r="E712" s="1568" t="s">
        <v>1796</v>
      </c>
      <c r="F712" s="1568"/>
      <c r="G712" s="1568"/>
      <c r="H712" s="1568"/>
      <c r="J712" s="1568" t="s">
        <v>2271</v>
      </c>
      <c r="K712" s="1568"/>
      <c r="L712" s="1568"/>
      <c r="M712" s="1566">
        <v>0</v>
      </c>
      <c r="N712" s="1566"/>
      <c r="O712" s="1566"/>
      <c r="P712" s="1566">
        <v>0</v>
      </c>
      <c r="Q712" s="1566"/>
      <c r="R712" s="1566"/>
      <c r="S712" s="1566">
        <v>0</v>
      </c>
      <c r="T712" s="1566"/>
      <c r="U712" s="1566"/>
      <c r="V712" s="1566"/>
      <c r="W712" s="1566">
        <v>0</v>
      </c>
      <c r="X712" s="1566"/>
      <c r="Y712" s="1566"/>
      <c r="Z712" s="1566"/>
      <c r="AA712" s="1566">
        <v>0</v>
      </c>
      <c r="AB712" s="1566"/>
      <c r="AC712" s="1566"/>
      <c r="AD712" s="1566"/>
      <c r="AE712" s="1566"/>
      <c r="AF712" s="1566"/>
      <c r="AG712" s="1566">
        <v>0</v>
      </c>
      <c r="AH712" s="1566"/>
      <c r="AI712" s="1566"/>
      <c r="AJ712" s="1566"/>
      <c r="AK712" s="1566"/>
    </row>
    <row r="713" spans="1:38" ht="9.4" customHeight="1">
      <c r="B713" s="1568" t="s">
        <v>345</v>
      </c>
      <c r="C713" s="1568"/>
      <c r="D713" s="1568"/>
      <c r="E713" s="1568" t="s">
        <v>1605</v>
      </c>
      <c r="F713" s="1568"/>
      <c r="G713" s="1568"/>
      <c r="H713" s="1568"/>
      <c r="J713" s="1568" t="s">
        <v>202</v>
      </c>
      <c r="K713" s="1568"/>
      <c r="L713" s="1568"/>
      <c r="M713" s="1566">
        <v>0</v>
      </c>
      <c r="N713" s="1566"/>
      <c r="O713" s="1566"/>
      <c r="P713" s="1566">
        <v>81901.16</v>
      </c>
      <c r="Q713" s="1566"/>
      <c r="R713" s="1566"/>
      <c r="S713" s="1566">
        <v>230937.55</v>
      </c>
      <c r="T713" s="1566"/>
      <c r="U713" s="1566"/>
      <c r="V713" s="1566"/>
      <c r="W713" s="1566">
        <v>252482.12</v>
      </c>
      <c r="X713" s="1566"/>
      <c r="Y713" s="1566"/>
      <c r="Z713" s="1566"/>
      <c r="AA713" s="1566">
        <v>0</v>
      </c>
      <c r="AB713" s="1566"/>
      <c r="AC713" s="1566"/>
      <c r="AD713" s="1566"/>
      <c r="AE713" s="1566"/>
      <c r="AF713" s="1566"/>
      <c r="AG713" s="1566">
        <v>103445.73</v>
      </c>
      <c r="AH713" s="1566"/>
      <c r="AI713" s="1566"/>
      <c r="AJ713" s="1566"/>
      <c r="AK713" s="1566"/>
    </row>
    <row r="714" spans="1:38" ht="9.4" customHeight="1">
      <c r="B714" s="1568" t="s">
        <v>345</v>
      </c>
      <c r="C714" s="1568"/>
      <c r="D714" s="1568"/>
      <c r="E714" s="1568" t="s">
        <v>3316</v>
      </c>
      <c r="F714" s="1568"/>
      <c r="G714" s="1568"/>
      <c r="H714" s="1568"/>
      <c r="J714" s="1568" t="s">
        <v>3317</v>
      </c>
      <c r="K714" s="1568"/>
      <c r="L714" s="1568"/>
      <c r="M714" s="1566">
        <v>0</v>
      </c>
      <c r="N714" s="1566"/>
      <c r="O714" s="1566"/>
      <c r="P714" s="1566">
        <v>0</v>
      </c>
      <c r="Q714" s="1566"/>
      <c r="R714" s="1566"/>
      <c r="S714" s="1566">
        <v>33155.360000000001</v>
      </c>
      <c r="T714" s="1566"/>
      <c r="U714" s="1566"/>
      <c r="V714" s="1566"/>
      <c r="W714" s="1566">
        <v>33155.360000000001</v>
      </c>
      <c r="X714" s="1566"/>
      <c r="Y714" s="1566"/>
      <c r="Z714" s="1566"/>
      <c r="AA714" s="1566">
        <v>0</v>
      </c>
      <c r="AB714" s="1566"/>
      <c r="AC714" s="1566"/>
      <c r="AD714" s="1566"/>
      <c r="AE714" s="1566"/>
      <c r="AF714" s="1566"/>
      <c r="AG714" s="1566">
        <v>0</v>
      </c>
      <c r="AH714" s="1566"/>
      <c r="AI714" s="1566"/>
      <c r="AJ714" s="1566"/>
      <c r="AK714" s="1566"/>
    </row>
    <row r="715" spans="1:38" ht="9.4" customHeight="1">
      <c r="B715" s="1568" t="s">
        <v>345</v>
      </c>
      <c r="C715" s="1568"/>
      <c r="D715" s="1568"/>
      <c r="E715" s="1568" t="s">
        <v>2272</v>
      </c>
      <c r="F715" s="1568"/>
      <c r="G715" s="1568"/>
      <c r="H715" s="1568"/>
      <c r="J715" s="1568" t="s">
        <v>2273</v>
      </c>
      <c r="K715" s="1568"/>
      <c r="L715" s="1568"/>
      <c r="M715" s="1566">
        <v>0</v>
      </c>
      <c r="N715" s="1566"/>
      <c r="O715" s="1566"/>
      <c r="P715" s="1566">
        <v>0</v>
      </c>
      <c r="Q715" s="1566"/>
      <c r="R715" s="1566"/>
      <c r="S715" s="1566">
        <v>71762.92</v>
      </c>
      <c r="T715" s="1566"/>
      <c r="U715" s="1566"/>
      <c r="V715" s="1566"/>
      <c r="W715" s="1566">
        <v>71762.92</v>
      </c>
      <c r="X715" s="1566"/>
      <c r="Y715" s="1566"/>
      <c r="Z715" s="1566"/>
      <c r="AA715" s="1566">
        <v>0</v>
      </c>
      <c r="AB715" s="1566"/>
      <c r="AC715" s="1566"/>
      <c r="AD715" s="1566"/>
      <c r="AE715" s="1566"/>
      <c r="AF715" s="1566"/>
      <c r="AG715" s="1566">
        <v>0</v>
      </c>
      <c r="AH715" s="1566"/>
      <c r="AI715" s="1566"/>
      <c r="AJ715" s="1566"/>
      <c r="AK715" s="1566"/>
    </row>
    <row r="716" spans="1:38" ht="9.4" customHeight="1">
      <c r="B716" s="1568" t="s">
        <v>345</v>
      </c>
      <c r="C716" s="1568"/>
      <c r="D716" s="1568"/>
      <c r="E716" s="1568" t="s">
        <v>6507</v>
      </c>
      <c r="F716" s="1568"/>
      <c r="G716" s="1568"/>
      <c r="H716" s="1568"/>
      <c r="J716" s="1568" t="s">
        <v>6508</v>
      </c>
      <c r="K716" s="1568"/>
      <c r="L716" s="1568"/>
      <c r="M716" s="1566">
        <v>0</v>
      </c>
      <c r="N716" s="1566"/>
      <c r="O716" s="1566"/>
      <c r="P716" s="1566">
        <v>0</v>
      </c>
      <c r="Q716" s="1566"/>
      <c r="R716" s="1566"/>
      <c r="S716" s="1566">
        <v>5665.64</v>
      </c>
      <c r="T716" s="1566"/>
      <c r="U716" s="1566"/>
      <c r="V716" s="1566"/>
      <c r="W716" s="1566">
        <v>5665.64</v>
      </c>
      <c r="X716" s="1566"/>
      <c r="Y716" s="1566"/>
      <c r="Z716" s="1566"/>
      <c r="AA716" s="1566">
        <v>0</v>
      </c>
      <c r="AB716" s="1566"/>
      <c r="AC716" s="1566"/>
      <c r="AD716" s="1566"/>
      <c r="AE716" s="1566"/>
      <c r="AF716" s="1566"/>
      <c r="AG716" s="1566">
        <v>0</v>
      </c>
      <c r="AH716" s="1566"/>
      <c r="AI716" s="1566"/>
      <c r="AJ716" s="1566"/>
      <c r="AK716" s="1566"/>
    </row>
    <row r="717" spans="1:38" ht="6.2" customHeight="1"/>
    <row r="718" spans="1:38" ht="14.1" customHeight="1">
      <c r="AG718" s="1565" t="s">
        <v>2317</v>
      </c>
      <c r="AH718" s="1565"/>
      <c r="AI718" s="1565"/>
      <c r="AJ718" s="1565"/>
      <c r="AK718" s="1565"/>
      <c r="AL718" s="1565"/>
    </row>
    <row r="719" spans="1:38" ht="7.15" customHeight="1">
      <c r="D719" s="1578" t="s">
        <v>2992</v>
      </c>
      <c r="E719" s="1578"/>
      <c r="F719" s="1578"/>
      <c r="G719" s="1578"/>
      <c r="H719" s="1578"/>
      <c r="I719" s="1578"/>
      <c r="J719" s="1578"/>
      <c r="K719" s="1578"/>
      <c r="L719" s="1578"/>
      <c r="M719" s="1578"/>
      <c r="N719" s="1578"/>
      <c r="O719" s="1578"/>
      <c r="P719" s="1578"/>
      <c r="Q719" s="1578"/>
      <c r="R719" s="1578"/>
      <c r="S719" s="1578"/>
      <c r="T719" s="1578"/>
      <c r="U719" s="1578"/>
      <c r="V719" s="1578"/>
      <c r="W719" s="1578"/>
      <c r="X719" s="1578"/>
      <c r="Y719" s="1578"/>
      <c r="Z719" s="1578"/>
      <c r="AA719" s="1578"/>
      <c r="AB719" s="1578"/>
      <c r="AC719" s="1578"/>
      <c r="AD719" s="1578"/>
      <c r="AE719" s="1578"/>
      <c r="AF719" s="1578"/>
      <c r="AG719" s="1578"/>
      <c r="AH719" s="1578"/>
    </row>
    <row r="720" spans="1:38" ht="9.6" customHeight="1">
      <c r="A720" s="1579"/>
      <c r="B720" s="1579"/>
      <c r="C720" s="1579"/>
      <c r="D720" s="1579"/>
      <c r="E720" s="1579"/>
      <c r="F720" s="1579"/>
      <c r="G720" s="1579"/>
      <c r="H720" s="1579"/>
      <c r="I720" s="1579"/>
      <c r="J720" s="1578"/>
      <c r="K720" s="1578"/>
      <c r="L720" s="1578"/>
      <c r="M720" s="1578"/>
      <c r="N720" s="1578"/>
      <c r="O720" s="1578"/>
      <c r="P720" s="1578"/>
      <c r="Q720" s="1578"/>
      <c r="R720" s="1578"/>
      <c r="S720" s="1578"/>
      <c r="T720" s="1578"/>
      <c r="U720" s="1578"/>
      <c r="V720" s="1578"/>
      <c r="W720" s="1578"/>
      <c r="X720" s="1578"/>
      <c r="Y720" s="1578"/>
      <c r="Z720" s="1578"/>
      <c r="AA720" s="1578"/>
      <c r="AB720" s="1578"/>
      <c r="AC720" s="1578"/>
      <c r="AD720" s="1578"/>
      <c r="AE720" s="1578"/>
      <c r="AF720" s="1578"/>
      <c r="AG720" s="1578"/>
      <c r="AH720" s="1578"/>
    </row>
    <row r="721" spans="1:38" ht="13.35" customHeight="1">
      <c r="A721" s="1579"/>
      <c r="B721" s="1579"/>
      <c r="C721" s="1579"/>
      <c r="D721" s="1579"/>
      <c r="E721" s="1579"/>
      <c r="F721" s="1579"/>
      <c r="G721" s="1579"/>
      <c r="H721" s="1579"/>
      <c r="I721" s="1579"/>
      <c r="J721" s="1580" t="s">
        <v>79</v>
      </c>
      <c r="K721" s="1580"/>
      <c r="L721" s="1580"/>
      <c r="M721" s="1580"/>
      <c r="N721" s="1580"/>
      <c r="O721" s="1580"/>
      <c r="P721" s="1580"/>
      <c r="Q721" s="1580"/>
      <c r="R721" s="1580"/>
      <c r="S721" s="1580"/>
      <c r="T721" s="1580"/>
      <c r="U721" s="1580"/>
      <c r="V721" s="1580"/>
      <c r="W721" s="1580"/>
      <c r="X721" s="1580"/>
      <c r="Y721" s="1580"/>
      <c r="Z721" s="1580"/>
      <c r="AA721" s="1580"/>
      <c r="AB721" s="1580"/>
      <c r="AC721" s="1580"/>
      <c r="AD721" s="1580"/>
      <c r="AE721" s="1580"/>
      <c r="AF721" s="1580"/>
    </row>
    <row r="722" spans="1:38" ht="5.25" customHeight="1">
      <c r="A722" s="1579"/>
      <c r="B722" s="1579"/>
      <c r="C722" s="1579"/>
      <c r="D722" s="1579"/>
      <c r="E722" s="1579"/>
      <c r="F722" s="1579"/>
      <c r="G722" s="1579"/>
      <c r="H722" s="1579"/>
      <c r="I722" s="1579"/>
      <c r="J722" s="1573" t="s">
        <v>6760</v>
      </c>
      <c r="K722" s="1573"/>
      <c r="L722" s="1573"/>
      <c r="M722" s="1573"/>
      <c r="N722" s="1573"/>
      <c r="O722" s="1573"/>
      <c r="P722" s="1573"/>
      <c r="Q722" s="1573"/>
      <c r="R722" s="1573"/>
      <c r="S722" s="1573"/>
      <c r="T722" s="1573"/>
      <c r="U722" s="1573"/>
      <c r="V722" s="1573"/>
      <c r="W722" s="1573"/>
      <c r="X722" s="1573"/>
      <c r="Y722" s="1573"/>
      <c r="Z722" s="1573"/>
      <c r="AA722" s="1573"/>
      <c r="AB722" s="1573"/>
      <c r="AC722" s="1573"/>
      <c r="AD722" s="1573"/>
      <c r="AE722" s="1573"/>
    </row>
    <row r="723" spans="1:38" ht="8.1" customHeight="1">
      <c r="C723" s="1572" t="s">
        <v>1920</v>
      </c>
      <c r="D723" s="1572"/>
      <c r="E723" s="1572"/>
      <c r="F723" s="1572"/>
      <c r="G723" s="1572"/>
      <c r="H723" s="1572"/>
      <c r="I723" s="1572"/>
      <c r="J723" s="1572"/>
      <c r="K723" s="1573"/>
      <c r="L723" s="1573"/>
      <c r="M723" s="1573"/>
      <c r="N723" s="1573"/>
      <c r="O723" s="1573"/>
      <c r="P723" s="1573"/>
      <c r="Q723" s="1573"/>
      <c r="R723" s="1573"/>
      <c r="S723" s="1573"/>
      <c r="T723" s="1573"/>
      <c r="U723" s="1573"/>
      <c r="V723" s="1573"/>
      <c r="W723" s="1573"/>
      <c r="X723" s="1573"/>
      <c r="Y723" s="1574" t="s">
        <v>5920</v>
      </c>
      <c r="Z723" s="1574"/>
      <c r="AA723" s="1574"/>
      <c r="AB723" s="1574"/>
      <c r="AC723" s="1574"/>
      <c r="AD723" s="1574"/>
      <c r="AE723" s="1574"/>
      <c r="AF723" s="1574"/>
      <c r="AG723" s="1574"/>
      <c r="AH723" s="1575" t="s">
        <v>6761</v>
      </c>
      <c r="AI723" s="1575"/>
      <c r="AJ723" s="1575"/>
      <c r="AK723" s="1575"/>
      <c r="AL723" s="1575"/>
    </row>
    <row r="724" spans="1:38" ht="6" customHeight="1">
      <c r="C724" s="1572"/>
      <c r="D724" s="1572"/>
      <c r="E724" s="1572"/>
      <c r="F724" s="1572"/>
      <c r="G724" s="1572"/>
      <c r="H724" s="1572"/>
      <c r="I724" s="1572"/>
      <c r="J724" s="1572"/>
      <c r="K724" s="1576" t="s">
        <v>1999</v>
      </c>
      <c r="L724" s="1576"/>
      <c r="M724" s="1576"/>
      <c r="N724" s="1576"/>
      <c r="O724" s="1576"/>
      <c r="P724" s="1576"/>
      <c r="Q724" s="1576"/>
      <c r="R724" s="1576"/>
      <c r="S724" s="1576"/>
      <c r="T724" s="1576"/>
      <c r="U724" s="1576"/>
      <c r="V724" s="1576"/>
      <c r="W724" s="1576"/>
      <c r="X724" s="1576"/>
      <c r="Y724" s="1574"/>
      <c r="Z724" s="1574"/>
      <c r="AA724" s="1574"/>
      <c r="AB724" s="1574"/>
      <c r="AC724" s="1574"/>
      <c r="AD724" s="1574"/>
      <c r="AE724" s="1574"/>
      <c r="AF724" s="1574"/>
      <c r="AG724" s="1574"/>
      <c r="AH724" s="1575"/>
      <c r="AI724" s="1575"/>
      <c r="AJ724" s="1575"/>
      <c r="AK724" s="1575"/>
      <c r="AL724" s="1575"/>
    </row>
    <row r="725" spans="1:38" ht="7.35" customHeight="1">
      <c r="C725" s="1572" t="s">
        <v>1998</v>
      </c>
      <c r="D725" s="1572"/>
      <c r="E725" s="1572"/>
      <c r="F725" s="1572"/>
      <c r="G725" s="1577"/>
      <c r="H725" s="1577"/>
      <c r="I725" s="1577"/>
      <c r="J725" s="1577"/>
      <c r="K725" s="1577"/>
      <c r="L725" s="1577"/>
      <c r="M725" s="1577"/>
      <c r="N725" s="1577"/>
      <c r="O725" s="1577"/>
      <c r="P725" s="1577"/>
      <c r="Q725" s="1577"/>
      <c r="R725" s="1577"/>
      <c r="S725" s="1577"/>
      <c r="T725" s="1577"/>
      <c r="U725" s="1577"/>
      <c r="V725" s="1577"/>
      <c r="W725" s="1577"/>
      <c r="X725" s="1577"/>
      <c r="Y725" s="1577"/>
      <c r="Z725" s="1577"/>
      <c r="AA725" s="1577"/>
      <c r="AB725" s="1577"/>
      <c r="AC725" s="1577"/>
      <c r="AD725" s="1577"/>
      <c r="AE725" s="1577"/>
      <c r="AF725" s="1574"/>
      <c r="AG725" s="1574"/>
      <c r="AH725" s="1574" t="s">
        <v>6762</v>
      </c>
      <c r="AI725" s="1574"/>
    </row>
    <row r="726" spans="1:38" ht="6.75" customHeight="1">
      <c r="G726" s="1577"/>
      <c r="H726" s="1577"/>
      <c r="I726" s="1577"/>
      <c r="J726" s="1577"/>
      <c r="K726" s="1577"/>
      <c r="L726" s="1577"/>
      <c r="M726" s="1577"/>
      <c r="N726" s="1577"/>
      <c r="O726" s="1577"/>
      <c r="P726" s="1577"/>
      <c r="Q726" s="1577"/>
      <c r="R726" s="1577"/>
      <c r="S726" s="1577"/>
      <c r="T726" s="1577"/>
      <c r="U726" s="1577"/>
      <c r="V726" s="1577"/>
      <c r="W726" s="1577"/>
      <c r="X726" s="1577"/>
      <c r="Y726" s="1577"/>
      <c r="Z726" s="1577"/>
      <c r="AA726" s="1577"/>
      <c r="AB726" s="1577"/>
      <c r="AC726" s="1577"/>
      <c r="AD726" s="1577"/>
      <c r="AE726" s="1577"/>
      <c r="AF726" s="1574"/>
      <c r="AG726" s="1574"/>
      <c r="AH726" s="1574"/>
      <c r="AI726" s="1574"/>
    </row>
    <row r="727" spans="1:38" ht="11.25" customHeight="1">
      <c r="O727" s="1570" t="s">
        <v>1318</v>
      </c>
      <c r="P727" s="1570"/>
      <c r="Q727" s="1570"/>
      <c r="V727" s="1570" t="s">
        <v>1319</v>
      </c>
      <c r="W727" s="1570"/>
      <c r="X727" s="1570"/>
      <c r="Y727" s="1570"/>
      <c r="AD727" s="1570" t="s">
        <v>1320</v>
      </c>
      <c r="AE727" s="1570"/>
      <c r="AF727" s="1570"/>
      <c r="AG727" s="1570"/>
      <c r="AH727" s="1570"/>
      <c r="AI727" s="1570"/>
      <c r="AJ727" s="1570"/>
    </row>
    <row r="728" spans="1:38" ht="8.4499999999999993" customHeight="1">
      <c r="B728" s="1571" t="s">
        <v>1321</v>
      </c>
      <c r="C728" s="1571"/>
      <c r="D728" s="1571"/>
      <c r="E728" s="1571" t="s">
        <v>1322</v>
      </c>
      <c r="F728" s="1571"/>
      <c r="G728" s="1571"/>
      <c r="J728" s="1571" t="s">
        <v>1323</v>
      </c>
      <c r="K728" s="1571"/>
      <c r="L728" s="1571"/>
      <c r="M728" s="1571"/>
      <c r="N728" s="1571"/>
      <c r="O728" s="1402" t="s">
        <v>1324</v>
      </c>
      <c r="Q728" s="1569" t="s">
        <v>1325</v>
      </c>
      <c r="R728" s="1569"/>
      <c r="U728" s="1569" t="s">
        <v>1324</v>
      </c>
      <c r="V728" s="1569"/>
      <c r="X728" s="1569" t="s">
        <v>1325</v>
      </c>
      <c r="Y728" s="1569"/>
      <c r="Z728" s="1569"/>
      <c r="AC728" s="1569" t="s">
        <v>1324</v>
      </c>
      <c r="AD728" s="1569"/>
      <c r="AE728" s="1569"/>
      <c r="AF728" s="1569"/>
      <c r="AH728" s="1569" t="s">
        <v>1325</v>
      </c>
      <c r="AI728" s="1569"/>
      <c r="AJ728" s="1569"/>
      <c r="AK728" s="1569"/>
    </row>
    <row r="729" spans="1:38" ht="9.9499999999999993" customHeight="1">
      <c r="B729" s="1568" t="s">
        <v>345</v>
      </c>
      <c r="C729" s="1568"/>
      <c r="D729" s="1568"/>
      <c r="E729" s="1568" t="s">
        <v>1606</v>
      </c>
      <c r="F729" s="1568"/>
      <c r="G729" s="1568"/>
      <c r="H729" s="1568"/>
      <c r="J729" s="1568" t="s">
        <v>2274</v>
      </c>
      <c r="K729" s="1568"/>
      <c r="L729" s="1568"/>
      <c r="M729" s="1566">
        <v>0</v>
      </c>
      <c r="N729" s="1566"/>
      <c r="O729" s="1566"/>
      <c r="P729" s="1566">
        <v>81901.16</v>
      </c>
      <c r="Q729" s="1566"/>
      <c r="R729" s="1566"/>
      <c r="S729" s="1566">
        <v>60600.25</v>
      </c>
      <c r="T729" s="1566"/>
      <c r="U729" s="1566"/>
      <c r="V729" s="1566"/>
      <c r="W729" s="1566">
        <v>11384.82</v>
      </c>
      <c r="X729" s="1566"/>
      <c r="Y729" s="1566"/>
      <c r="Z729" s="1566"/>
      <c r="AA729" s="1566">
        <v>0</v>
      </c>
      <c r="AB729" s="1566"/>
      <c r="AC729" s="1566"/>
      <c r="AD729" s="1566"/>
      <c r="AE729" s="1566"/>
      <c r="AF729" s="1566"/>
      <c r="AG729" s="1566">
        <v>32685.73</v>
      </c>
      <c r="AH729" s="1566"/>
      <c r="AI729" s="1566"/>
      <c r="AJ729" s="1566"/>
      <c r="AK729" s="1566"/>
    </row>
    <row r="730" spans="1:38" ht="9.4" customHeight="1">
      <c r="B730" s="1568" t="s">
        <v>345</v>
      </c>
      <c r="C730" s="1568"/>
      <c r="D730" s="1568"/>
      <c r="E730" s="1568" t="s">
        <v>1607</v>
      </c>
      <c r="F730" s="1568"/>
      <c r="G730" s="1568"/>
      <c r="H730" s="1568"/>
      <c r="J730" s="1568" t="s">
        <v>2275</v>
      </c>
      <c r="K730" s="1568"/>
      <c r="L730" s="1568"/>
      <c r="M730" s="1566">
        <v>0</v>
      </c>
      <c r="N730" s="1566"/>
      <c r="O730" s="1566"/>
      <c r="P730" s="1566">
        <v>0</v>
      </c>
      <c r="Q730" s="1566"/>
      <c r="R730" s="1566"/>
      <c r="S730" s="1566">
        <v>3836</v>
      </c>
      <c r="T730" s="1566"/>
      <c r="U730" s="1566"/>
      <c r="V730" s="1566"/>
      <c r="W730" s="1566">
        <v>3836</v>
      </c>
      <c r="X730" s="1566"/>
      <c r="Y730" s="1566"/>
      <c r="Z730" s="1566"/>
      <c r="AA730" s="1566">
        <v>0</v>
      </c>
      <c r="AB730" s="1566"/>
      <c r="AC730" s="1566"/>
      <c r="AD730" s="1566"/>
      <c r="AE730" s="1566"/>
      <c r="AF730" s="1566"/>
      <c r="AG730" s="1566">
        <v>0</v>
      </c>
      <c r="AH730" s="1566"/>
      <c r="AI730" s="1566"/>
      <c r="AJ730" s="1566"/>
      <c r="AK730" s="1566"/>
    </row>
    <row r="731" spans="1:38" ht="9.4" customHeight="1">
      <c r="B731" s="1568" t="s">
        <v>345</v>
      </c>
      <c r="C731" s="1568"/>
      <c r="D731" s="1568"/>
      <c r="E731" s="1568" t="s">
        <v>1839</v>
      </c>
      <c r="F731" s="1568"/>
      <c r="G731" s="1568"/>
      <c r="H731" s="1568"/>
      <c r="J731" s="1568" t="s">
        <v>2276</v>
      </c>
      <c r="K731" s="1568"/>
      <c r="L731" s="1568"/>
      <c r="M731" s="1566">
        <v>0</v>
      </c>
      <c r="N731" s="1566"/>
      <c r="O731" s="1566"/>
      <c r="P731" s="1566">
        <v>0</v>
      </c>
      <c r="Q731" s="1566"/>
      <c r="R731" s="1566"/>
      <c r="S731" s="1566">
        <v>0</v>
      </c>
      <c r="T731" s="1566"/>
      <c r="U731" s="1566"/>
      <c r="V731" s="1566"/>
      <c r="W731" s="1566">
        <v>0</v>
      </c>
      <c r="X731" s="1566"/>
      <c r="Y731" s="1566"/>
      <c r="Z731" s="1566"/>
      <c r="AA731" s="1566">
        <v>0</v>
      </c>
      <c r="AB731" s="1566"/>
      <c r="AC731" s="1566"/>
      <c r="AD731" s="1566"/>
      <c r="AE731" s="1566"/>
      <c r="AF731" s="1566"/>
      <c r="AG731" s="1566">
        <v>0</v>
      </c>
      <c r="AH731" s="1566"/>
      <c r="AI731" s="1566"/>
      <c r="AJ731" s="1566"/>
      <c r="AK731" s="1566"/>
    </row>
    <row r="732" spans="1:38" ht="9.4" customHeight="1">
      <c r="B732" s="1568" t="s">
        <v>345</v>
      </c>
      <c r="C732" s="1568"/>
      <c r="D732" s="1568"/>
      <c r="E732" s="1568" t="s">
        <v>5833</v>
      </c>
      <c r="F732" s="1568"/>
      <c r="G732" s="1568"/>
      <c r="H732" s="1568"/>
      <c r="J732" s="1568" t="s">
        <v>5834</v>
      </c>
      <c r="K732" s="1568"/>
      <c r="L732" s="1568"/>
      <c r="M732" s="1566">
        <v>0</v>
      </c>
      <c r="N732" s="1566"/>
      <c r="O732" s="1566"/>
      <c r="P732" s="1566">
        <v>0</v>
      </c>
      <c r="Q732" s="1566"/>
      <c r="R732" s="1566"/>
      <c r="S732" s="1566">
        <v>0</v>
      </c>
      <c r="T732" s="1566"/>
      <c r="U732" s="1566"/>
      <c r="V732" s="1566"/>
      <c r="W732" s="1566">
        <v>0</v>
      </c>
      <c r="X732" s="1566"/>
      <c r="Y732" s="1566"/>
      <c r="Z732" s="1566"/>
      <c r="AA732" s="1566">
        <v>0</v>
      </c>
      <c r="AB732" s="1566"/>
      <c r="AC732" s="1566"/>
      <c r="AD732" s="1566"/>
      <c r="AE732" s="1566"/>
      <c r="AF732" s="1566"/>
      <c r="AG732" s="1566">
        <v>0</v>
      </c>
      <c r="AH732" s="1566"/>
      <c r="AI732" s="1566"/>
      <c r="AJ732" s="1566"/>
      <c r="AK732" s="1566"/>
    </row>
    <row r="733" spans="1:38" ht="9.4" customHeight="1">
      <c r="B733" s="1568" t="s">
        <v>345</v>
      </c>
      <c r="C733" s="1568"/>
      <c r="D733" s="1568"/>
      <c r="E733" s="1568" t="s">
        <v>5835</v>
      </c>
      <c r="F733" s="1568"/>
      <c r="G733" s="1568"/>
      <c r="H733" s="1568"/>
      <c r="J733" s="1568" t="s">
        <v>5836</v>
      </c>
      <c r="K733" s="1568"/>
      <c r="L733" s="1568"/>
      <c r="M733" s="1566">
        <v>0</v>
      </c>
      <c r="N733" s="1566"/>
      <c r="O733" s="1566"/>
      <c r="P733" s="1566">
        <v>0</v>
      </c>
      <c r="Q733" s="1566"/>
      <c r="R733" s="1566"/>
      <c r="S733" s="1566">
        <v>0</v>
      </c>
      <c r="T733" s="1566"/>
      <c r="U733" s="1566"/>
      <c r="V733" s="1566"/>
      <c r="W733" s="1566">
        <v>0</v>
      </c>
      <c r="X733" s="1566"/>
      <c r="Y733" s="1566"/>
      <c r="Z733" s="1566"/>
      <c r="AA733" s="1566">
        <v>0</v>
      </c>
      <c r="AB733" s="1566"/>
      <c r="AC733" s="1566"/>
      <c r="AD733" s="1566"/>
      <c r="AE733" s="1566"/>
      <c r="AF733" s="1566"/>
      <c r="AG733" s="1566">
        <v>0</v>
      </c>
      <c r="AH733" s="1566"/>
      <c r="AI733" s="1566"/>
      <c r="AJ733" s="1566"/>
      <c r="AK733" s="1566"/>
    </row>
    <row r="734" spans="1:38" ht="9.4" customHeight="1">
      <c r="B734" s="1568" t="s">
        <v>345</v>
      </c>
      <c r="C734" s="1568"/>
      <c r="D734" s="1568"/>
      <c r="E734" s="1568" t="s">
        <v>5981</v>
      </c>
      <c r="F734" s="1568"/>
      <c r="G734" s="1568"/>
      <c r="H734" s="1568"/>
      <c r="J734" s="1568" t="s">
        <v>5982</v>
      </c>
      <c r="K734" s="1568"/>
      <c r="L734" s="1568"/>
      <c r="M734" s="1566">
        <v>0</v>
      </c>
      <c r="N734" s="1566"/>
      <c r="O734" s="1566"/>
      <c r="P734" s="1566">
        <v>0</v>
      </c>
      <c r="Q734" s="1566"/>
      <c r="R734" s="1566"/>
      <c r="S734" s="1566">
        <v>55917.38</v>
      </c>
      <c r="T734" s="1566"/>
      <c r="U734" s="1566"/>
      <c r="V734" s="1566"/>
      <c r="W734" s="1566">
        <v>55917.38</v>
      </c>
      <c r="X734" s="1566"/>
      <c r="Y734" s="1566"/>
      <c r="Z734" s="1566"/>
      <c r="AA734" s="1566">
        <v>0</v>
      </c>
      <c r="AB734" s="1566"/>
      <c r="AC734" s="1566"/>
      <c r="AD734" s="1566"/>
      <c r="AE734" s="1566"/>
      <c r="AF734" s="1566"/>
      <c r="AG734" s="1566">
        <v>0</v>
      </c>
      <c r="AH734" s="1566"/>
      <c r="AI734" s="1566"/>
      <c r="AJ734" s="1566"/>
      <c r="AK734" s="1566"/>
    </row>
    <row r="735" spans="1:38" ht="9.4" customHeight="1">
      <c r="B735" s="1568" t="s">
        <v>345</v>
      </c>
      <c r="C735" s="1568"/>
      <c r="D735" s="1568"/>
      <c r="E735" s="1568" t="s">
        <v>6777</v>
      </c>
      <c r="F735" s="1568"/>
      <c r="G735" s="1568"/>
      <c r="H735" s="1568"/>
      <c r="J735" s="1568" t="s">
        <v>6778</v>
      </c>
      <c r="K735" s="1568"/>
      <c r="L735" s="1568"/>
      <c r="M735" s="1566">
        <v>0</v>
      </c>
      <c r="N735" s="1566"/>
      <c r="O735" s="1566"/>
      <c r="P735" s="1566">
        <v>0</v>
      </c>
      <c r="Q735" s="1566"/>
      <c r="R735" s="1566"/>
      <c r="S735" s="1566">
        <v>0</v>
      </c>
      <c r="T735" s="1566"/>
      <c r="U735" s="1566"/>
      <c r="V735" s="1566"/>
      <c r="W735" s="1566">
        <v>70760</v>
      </c>
      <c r="X735" s="1566"/>
      <c r="Y735" s="1566"/>
      <c r="Z735" s="1566"/>
      <c r="AA735" s="1566">
        <v>0</v>
      </c>
      <c r="AB735" s="1566"/>
      <c r="AC735" s="1566"/>
      <c r="AD735" s="1566"/>
      <c r="AE735" s="1566"/>
      <c r="AF735" s="1566"/>
      <c r="AG735" s="1566">
        <v>70760</v>
      </c>
      <c r="AH735" s="1566"/>
      <c r="AI735" s="1566"/>
      <c r="AJ735" s="1566"/>
      <c r="AK735" s="1566"/>
    </row>
    <row r="736" spans="1:38" ht="9.4" customHeight="1">
      <c r="B736" s="1568" t="s">
        <v>345</v>
      </c>
      <c r="C736" s="1568"/>
      <c r="D736" s="1568"/>
      <c r="E736" s="1568" t="s">
        <v>2863</v>
      </c>
      <c r="F736" s="1568"/>
      <c r="G736" s="1568"/>
      <c r="H736" s="1568"/>
      <c r="J736" s="1568" t="s">
        <v>2864</v>
      </c>
      <c r="K736" s="1568"/>
      <c r="L736" s="1568"/>
      <c r="M736" s="1566">
        <v>0</v>
      </c>
      <c r="N736" s="1566"/>
      <c r="O736" s="1566"/>
      <c r="P736" s="1566">
        <v>9823.19</v>
      </c>
      <c r="Q736" s="1566"/>
      <c r="R736" s="1566"/>
      <c r="S736" s="1566">
        <v>773.74</v>
      </c>
      <c r="T736" s="1566"/>
      <c r="U736" s="1566"/>
      <c r="V736" s="1566"/>
      <c r="W736" s="1566">
        <v>2161.31</v>
      </c>
      <c r="X736" s="1566"/>
      <c r="Y736" s="1566"/>
      <c r="Z736" s="1566"/>
      <c r="AA736" s="1566">
        <v>0</v>
      </c>
      <c r="AB736" s="1566"/>
      <c r="AC736" s="1566"/>
      <c r="AD736" s="1566"/>
      <c r="AE736" s="1566"/>
      <c r="AF736" s="1566"/>
      <c r="AG736" s="1566">
        <v>11210.76</v>
      </c>
      <c r="AH736" s="1566"/>
      <c r="AI736" s="1566"/>
      <c r="AJ736" s="1566"/>
      <c r="AK736" s="1566"/>
    </row>
    <row r="737" spans="2:37" ht="9.4" customHeight="1">
      <c r="B737" s="1568" t="s">
        <v>345</v>
      </c>
      <c r="C737" s="1568"/>
      <c r="D737" s="1568"/>
      <c r="E737" s="1568" t="s">
        <v>2865</v>
      </c>
      <c r="F737" s="1568"/>
      <c r="G737" s="1568"/>
      <c r="H737" s="1568"/>
      <c r="J737" s="1568" t="s">
        <v>2866</v>
      </c>
      <c r="K737" s="1568"/>
      <c r="L737" s="1568"/>
      <c r="M737" s="1566">
        <v>0</v>
      </c>
      <c r="N737" s="1566"/>
      <c r="O737" s="1566"/>
      <c r="P737" s="1566">
        <v>9823.19</v>
      </c>
      <c r="Q737" s="1566"/>
      <c r="R737" s="1566"/>
      <c r="S737" s="1566">
        <v>773.74</v>
      </c>
      <c r="T737" s="1566"/>
      <c r="U737" s="1566"/>
      <c r="V737" s="1566"/>
      <c r="W737" s="1566">
        <v>2161.31</v>
      </c>
      <c r="X737" s="1566"/>
      <c r="Y737" s="1566"/>
      <c r="Z737" s="1566"/>
      <c r="AA737" s="1566">
        <v>0</v>
      </c>
      <c r="AB737" s="1566"/>
      <c r="AC737" s="1566"/>
      <c r="AD737" s="1566"/>
      <c r="AE737" s="1566"/>
      <c r="AF737" s="1566"/>
      <c r="AG737" s="1566">
        <v>11210.76</v>
      </c>
      <c r="AH737" s="1566"/>
      <c r="AI737" s="1566"/>
      <c r="AJ737" s="1566"/>
      <c r="AK737" s="1566"/>
    </row>
    <row r="738" spans="2:37" ht="9.4" customHeight="1">
      <c r="B738" s="1568" t="s">
        <v>345</v>
      </c>
      <c r="C738" s="1568"/>
      <c r="D738" s="1568"/>
      <c r="E738" s="1568" t="s">
        <v>3232</v>
      </c>
      <c r="F738" s="1568"/>
      <c r="G738" s="1568"/>
      <c r="H738" s="1568"/>
      <c r="J738" s="1568" t="s">
        <v>2035</v>
      </c>
      <c r="K738" s="1568"/>
      <c r="L738" s="1568"/>
      <c r="M738" s="1566">
        <v>0</v>
      </c>
      <c r="N738" s="1566"/>
      <c r="O738" s="1566"/>
      <c r="P738" s="1566">
        <v>8479.58</v>
      </c>
      <c r="Q738" s="1566"/>
      <c r="R738" s="1566"/>
      <c r="S738" s="1566">
        <v>0</v>
      </c>
      <c r="T738" s="1566"/>
      <c r="U738" s="1566"/>
      <c r="V738" s="1566"/>
      <c r="W738" s="1566">
        <v>0</v>
      </c>
      <c r="X738" s="1566"/>
      <c r="Y738" s="1566"/>
      <c r="Z738" s="1566"/>
      <c r="AA738" s="1566">
        <v>0</v>
      </c>
      <c r="AB738" s="1566"/>
      <c r="AC738" s="1566"/>
      <c r="AD738" s="1566"/>
      <c r="AE738" s="1566"/>
      <c r="AF738" s="1566"/>
      <c r="AG738" s="1566">
        <v>8479.58</v>
      </c>
      <c r="AH738" s="1566"/>
      <c r="AI738" s="1566"/>
      <c r="AJ738" s="1566"/>
      <c r="AK738" s="1566"/>
    </row>
    <row r="739" spans="2:37" ht="9.4" customHeight="1">
      <c r="B739" s="1568" t="s">
        <v>345</v>
      </c>
      <c r="C739" s="1568"/>
      <c r="D739" s="1568"/>
      <c r="E739" s="1568" t="s">
        <v>5983</v>
      </c>
      <c r="F739" s="1568"/>
      <c r="G739" s="1568"/>
      <c r="H739" s="1568"/>
      <c r="J739" s="1568" t="s">
        <v>2077</v>
      </c>
      <c r="K739" s="1568"/>
      <c r="L739" s="1568"/>
      <c r="M739" s="1566">
        <v>0</v>
      </c>
      <c r="N739" s="1566"/>
      <c r="O739" s="1566"/>
      <c r="P739" s="1566">
        <v>368.37</v>
      </c>
      <c r="Q739" s="1566"/>
      <c r="R739" s="1566"/>
      <c r="S739" s="1566">
        <v>0</v>
      </c>
      <c r="T739" s="1566"/>
      <c r="U739" s="1566"/>
      <c r="V739" s="1566"/>
      <c r="W739" s="1566">
        <v>0</v>
      </c>
      <c r="X739" s="1566"/>
      <c r="Y739" s="1566"/>
      <c r="Z739" s="1566"/>
      <c r="AA739" s="1566">
        <v>0</v>
      </c>
      <c r="AB739" s="1566"/>
      <c r="AC739" s="1566"/>
      <c r="AD739" s="1566"/>
      <c r="AE739" s="1566"/>
      <c r="AF739" s="1566"/>
      <c r="AG739" s="1566">
        <v>368.37</v>
      </c>
      <c r="AH739" s="1566"/>
      <c r="AI739" s="1566"/>
      <c r="AJ739" s="1566"/>
      <c r="AK739" s="1566"/>
    </row>
    <row r="740" spans="2:37" ht="9.4" customHeight="1">
      <c r="B740" s="1568" t="s">
        <v>345</v>
      </c>
      <c r="C740" s="1568"/>
      <c r="D740" s="1568"/>
      <c r="E740" s="1568" t="s">
        <v>5984</v>
      </c>
      <c r="F740" s="1568"/>
      <c r="G740" s="1568"/>
      <c r="H740" s="1568"/>
      <c r="J740" s="1568" t="s">
        <v>2083</v>
      </c>
      <c r="K740" s="1568"/>
      <c r="L740" s="1568"/>
      <c r="M740" s="1566">
        <v>0</v>
      </c>
      <c r="N740" s="1566"/>
      <c r="O740" s="1566"/>
      <c r="P740" s="1566">
        <v>773.74</v>
      </c>
      <c r="Q740" s="1566"/>
      <c r="R740" s="1566"/>
      <c r="S740" s="1566">
        <v>773.74</v>
      </c>
      <c r="T740" s="1566"/>
      <c r="U740" s="1566"/>
      <c r="V740" s="1566"/>
      <c r="W740" s="1566">
        <v>0</v>
      </c>
      <c r="X740" s="1566"/>
      <c r="Y740" s="1566"/>
      <c r="Z740" s="1566"/>
      <c r="AA740" s="1566">
        <v>0</v>
      </c>
      <c r="AB740" s="1566"/>
      <c r="AC740" s="1566"/>
      <c r="AD740" s="1566"/>
      <c r="AE740" s="1566"/>
      <c r="AF740" s="1566"/>
      <c r="AG740" s="1566">
        <v>0</v>
      </c>
      <c r="AH740" s="1566"/>
      <c r="AI740" s="1566"/>
      <c r="AJ740" s="1566"/>
      <c r="AK740" s="1566"/>
    </row>
    <row r="741" spans="2:37" ht="9.4" customHeight="1">
      <c r="B741" s="1568" t="s">
        <v>345</v>
      </c>
      <c r="C741" s="1568"/>
      <c r="D741" s="1568"/>
      <c r="E741" s="1568" t="s">
        <v>6779</v>
      </c>
      <c r="F741" s="1568"/>
      <c r="G741" s="1568"/>
      <c r="H741" s="1568"/>
      <c r="J741" s="1568" t="s">
        <v>2130</v>
      </c>
      <c r="K741" s="1568"/>
      <c r="L741" s="1568"/>
      <c r="M741" s="1566">
        <v>0</v>
      </c>
      <c r="N741" s="1566"/>
      <c r="O741" s="1566"/>
      <c r="P741" s="1566">
        <v>0</v>
      </c>
      <c r="Q741" s="1566"/>
      <c r="R741" s="1566"/>
      <c r="S741" s="1566">
        <v>0</v>
      </c>
      <c r="T741" s="1566"/>
      <c r="U741" s="1566"/>
      <c r="V741" s="1566"/>
      <c r="W741" s="1566">
        <v>972.88</v>
      </c>
      <c r="X741" s="1566"/>
      <c r="Y741" s="1566"/>
      <c r="Z741" s="1566"/>
      <c r="AA741" s="1566">
        <v>0</v>
      </c>
      <c r="AB741" s="1566"/>
      <c r="AC741" s="1566"/>
      <c r="AD741" s="1566"/>
      <c r="AE741" s="1566"/>
      <c r="AF741" s="1566"/>
      <c r="AG741" s="1566">
        <v>972.88</v>
      </c>
      <c r="AH741" s="1566"/>
      <c r="AI741" s="1566"/>
      <c r="AJ741" s="1566"/>
      <c r="AK741" s="1566"/>
    </row>
    <row r="742" spans="2:37" ht="9.4" customHeight="1">
      <c r="B742" s="1568" t="s">
        <v>345</v>
      </c>
      <c r="C742" s="1568"/>
      <c r="D742" s="1568"/>
      <c r="E742" s="1568" t="s">
        <v>6235</v>
      </c>
      <c r="F742" s="1568"/>
      <c r="G742" s="1568"/>
      <c r="H742" s="1568"/>
      <c r="J742" s="1568" t="s">
        <v>3145</v>
      </c>
      <c r="K742" s="1568"/>
      <c r="L742" s="1568"/>
      <c r="M742" s="1566">
        <v>0</v>
      </c>
      <c r="N742" s="1566"/>
      <c r="O742" s="1566"/>
      <c r="P742" s="1566">
        <v>201.5</v>
      </c>
      <c r="Q742" s="1566"/>
      <c r="R742" s="1566"/>
      <c r="S742" s="1566">
        <v>0</v>
      </c>
      <c r="T742" s="1566"/>
      <c r="U742" s="1566"/>
      <c r="V742" s="1566"/>
      <c r="W742" s="1566">
        <v>0</v>
      </c>
      <c r="X742" s="1566"/>
      <c r="Y742" s="1566"/>
      <c r="Z742" s="1566"/>
      <c r="AA742" s="1566">
        <v>0</v>
      </c>
      <c r="AB742" s="1566"/>
      <c r="AC742" s="1566"/>
      <c r="AD742" s="1566"/>
      <c r="AE742" s="1566"/>
      <c r="AF742" s="1566"/>
      <c r="AG742" s="1566">
        <v>201.5</v>
      </c>
      <c r="AH742" s="1566"/>
      <c r="AI742" s="1566"/>
      <c r="AJ742" s="1566"/>
      <c r="AK742" s="1566"/>
    </row>
    <row r="743" spans="2:37" ht="9.4" customHeight="1">
      <c r="B743" s="1568" t="s">
        <v>345</v>
      </c>
      <c r="C743" s="1568"/>
      <c r="D743" s="1568"/>
      <c r="E743" s="1568" t="s">
        <v>5837</v>
      </c>
      <c r="F743" s="1568"/>
      <c r="G743" s="1568"/>
      <c r="H743" s="1568"/>
      <c r="J743" s="1568" t="s">
        <v>3368</v>
      </c>
      <c r="K743" s="1568"/>
      <c r="L743" s="1568"/>
      <c r="M743" s="1566">
        <v>0</v>
      </c>
      <c r="N743" s="1566"/>
      <c r="O743" s="1566"/>
      <c r="P743" s="1566">
        <v>0</v>
      </c>
      <c r="Q743" s="1566"/>
      <c r="R743" s="1566"/>
      <c r="S743" s="1566">
        <v>0</v>
      </c>
      <c r="T743" s="1566"/>
      <c r="U743" s="1566"/>
      <c r="V743" s="1566"/>
      <c r="W743" s="1566">
        <v>0</v>
      </c>
      <c r="X743" s="1566"/>
      <c r="Y743" s="1566"/>
      <c r="Z743" s="1566"/>
      <c r="AA743" s="1566">
        <v>0</v>
      </c>
      <c r="AB743" s="1566"/>
      <c r="AC743" s="1566"/>
      <c r="AD743" s="1566"/>
      <c r="AE743" s="1566"/>
      <c r="AF743" s="1566"/>
      <c r="AG743" s="1566">
        <v>0</v>
      </c>
      <c r="AH743" s="1566"/>
      <c r="AI743" s="1566"/>
      <c r="AJ743" s="1566"/>
      <c r="AK743" s="1566"/>
    </row>
    <row r="744" spans="2:37" ht="9.4" customHeight="1">
      <c r="B744" s="1568" t="s">
        <v>345</v>
      </c>
      <c r="C744" s="1568"/>
      <c r="D744" s="1568"/>
      <c r="E744" s="1568" t="s">
        <v>6780</v>
      </c>
      <c r="F744" s="1568"/>
      <c r="G744" s="1568"/>
      <c r="H744" s="1568"/>
      <c r="J744" s="1568" t="s">
        <v>5444</v>
      </c>
      <c r="K744" s="1568"/>
      <c r="L744" s="1568"/>
      <c r="M744" s="1566">
        <v>0</v>
      </c>
      <c r="N744" s="1566"/>
      <c r="O744" s="1566"/>
      <c r="P744" s="1566">
        <v>0</v>
      </c>
      <c r="Q744" s="1566"/>
      <c r="R744" s="1566"/>
      <c r="S744" s="1566">
        <v>0</v>
      </c>
      <c r="T744" s="1566"/>
      <c r="U744" s="1566"/>
      <c r="V744" s="1566"/>
      <c r="W744" s="1566">
        <v>1023.43</v>
      </c>
      <c r="X744" s="1566"/>
      <c r="Y744" s="1566"/>
      <c r="Z744" s="1566"/>
      <c r="AA744" s="1566">
        <v>0</v>
      </c>
      <c r="AB744" s="1566"/>
      <c r="AC744" s="1566"/>
      <c r="AD744" s="1566"/>
      <c r="AE744" s="1566"/>
      <c r="AF744" s="1566"/>
      <c r="AG744" s="1566">
        <v>1023.43</v>
      </c>
      <c r="AH744" s="1566"/>
      <c r="AI744" s="1566"/>
      <c r="AJ744" s="1566"/>
      <c r="AK744" s="1566"/>
    </row>
    <row r="745" spans="2:37" ht="9.4" customHeight="1">
      <c r="B745" s="1568" t="s">
        <v>345</v>
      </c>
      <c r="C745" s="1568"/>
      <c r="D745" s="1568"/>
      <c r="E745" s="1568" t="s">
        <v>6781</v>
      </c>
      <c r="F745" s="1568"/>
      <c r="G745" s="1568"/>
      <c r="H745" s="1568"/>
      <c r="J745" s="1568" t="s">
        <v>5506</v>
      </c>
      <c r="K745" s="1568"/>
      <c r="L745" s="1568"/>
      <c r="M745" s="1566">
        <v>0</v>
      </c>
      <c r="N745" s="1566"/>
      <c r="O745" s="1566"/>
      <c r="P745" s="1566">
        <v>0</v>
      </c>
      <c r="Q745" s="1566"/>
      <c r="R745" s="1566"/>
      <c r="S745" s="1566">
        <v>0</v>
      </c>
      <c r="T745" s="1566"/>
      <c r="U745" s="1566"/>
      <c r="V745" s="1566"/>
      <c r="W745" s="1566">
        <v>165</v>
      </c>
      <c r="X745" s="1566"/>
      <c r="Y745" s="1566"/>
      <c r="Z745" s="1566"/>
      <c r="AA745" s="1566">
        <v>0</v>
      </c>
      <c r="AB745" s="1566"/>
      <c r="AC745" s="1566"/>
      <c r="AD745" s="1566"/>
      <c r="AE745" s="1566"/>
      <c r="AF745" s="1566"/>
      <c r="AG745" s="1566">
        <v>165</v>
      </c>
      <c r="AH745" s="1566"/>
      <c r="AI745" s="1566"/>
      <c r="AJ745" s="1566"/>
      <c r="AK745" s="1566"/>
    </row>
    <row r="746" spans="2:37" ht="9.4" customHeight="1">
      <c r="B746" s="1568" t="s">
        <v>345</v>
      </c>
      <c r="C746" s="1568"/>
      <c r="D746" s="1568"/>
      <c r="E746" s="1568" t="s">
        <v>2278</v>
      </c>
      <c r="F746" s="1568"/>
      <c r="G746" s="1568"/>
      <c r="H746" s="1568"/>
      <c r="J746" s="1568" t="s">
        <v>711</v>
      </c>
      <c r="K746" s="1568"/>
      <c r="L746" s="1568"/>
      <c r="M746" s="1566">
        <v>0</v>
      </c>
      <c r="N746" s="1566"/>
      <c r="O746" s="1566"/>
      <c r="P746" s="1566">
        <v>1154448114.7</v>
      </c>
      <c r="Q746" s="1566"/>
      <c r="R746" s="1566"/>
      <c r="S746" s="1566">
        <v>0</v>
      </c>
      <c r="T746" s="1566"/>
      <c r="U746" s="1566"/>
      <c r="V746" s="1566"/>
      <c r="W746" s="1566">
        <v>0</v>
      </c>
      <c r="X746" s="1566"/>
      <c r="Y746" s="1566"/>
      <c r="Z746" s="1566"/>
      <c r="AA746" s="1566">
        <v>0</v>
      </c>
      <c r="AB746" s="1566"/>
      <c r="AC746" s="1566"/>
      <c r="AD746" s="1566"/>
      <c r="AE746" s="1566"/>
      <c r="AF746" s="1566"/>
      <c r="AG746" s="1566">
        <v>1154448114.7</v>
      </c>
      <c r="AH746" s="1566"/>
      <c r="AI746" s="1566"/>
      <c r="AJ746" s="1566"/>
      <c r="AK746" s="1566"/>
    </row>
    <row r="747" spans="2:37" ht="9.4" customHeight="1">
      <c r="B747" s="1568" t="s">
        <v>345</v>
      </c>
      <c r="C747" s="1568"/>
      <c r="D747" s="1568"/>
      <c r="E747" s="1568" t="s">
        <v>2279</v>
      </c>
      <c r="F747" s="1568"/>
      <c r="G747" s="1568"/>
      <c r="H747" s="1568"/>
      <c r="J747" s="1568" t="s">
        <v>2280</v>
      </c>
      <c r="K747" s="1568"/>
      <c r="L747" s="1568"/>
      <c r="M747" s="1566">
        <v>0</v>
      </c>
      <c r="N747" s="1566"/>
      <c r="O747" s="1566"/>
      <c r="P747" s="1566">
        <v>278482908.89999998</v>
      </c>
      <c r="Q747" s="1566"/>
      <c r="R747" s="1566"/>
      <c r="S747" s="1566">
        <v>0</v>
      </c>
      <c r="T747" s="1566"/>
      <c r="U747" s="1566"/>
      <c r="V747" s="1566"/>
      <c r="W747" s="1566">
        <v>0</v>
      </c>
      <c r="X747" s="1566"/>
      <c r="Y747" s="1566"/>
      <c r="Z747" s="1566"/>
      <c r="AA747" s="1566">
        <v>0</v>
      </c>
      <c r="AB747" s="1566"/>
      <c r="AC747" s="1566"/>
      <c r="AD747" s="1566"/>
      <c r="AE747" s="1566"/>
      <c r="AF747" s="1566"/>
      <c r="AG747" s="1566">
        <v>278482908.89999998</v>
      </c>
      <c r="AH747" s="1566"/>
      <c r="AI747" s="1566"/>
      <c r="AJ747" s="1566"/>
      <c r="AK747" s="1566"/>
    </row>
    <row r="748" spans="2:37" ht="9.4" customHeight="1">
      <c r="B748" s="1568" t="s">
        <v>345</v>
      </c>
      <c r="C748" s="1568"/>
      <c r="D748" s="1568"/>
      <c r="E748" s="1568" t="s">
        <v>1608</v>
      </c>
      <c r="F748" s="1568"/>
      <c r="G748" s="1568"/>
      <c r="H748" s="1568"/>
      <c r="J748" s="1568" t="s">
        <v>1609</v>
      </c>
      <c r="K748" s="1568"/>
      <c r="L748" s="1568"/>
      <c r="M748" s="1566">
        <v>0</v>
      </c>
      <c r="N748" s="1566"/>
      <c r="O748" s="1566"/>
      <c r="P748" s="1566">
        <v>10952891.960000001</v>
      </c>
      <c r="Q748" s="1566"/>
      <c r="R748" s="1566"/>
      <c r="S748" s="1566">
        <v>0</v>
      </c>
      <c r="T748" s="1566"/>
      <c r="U748" s="1566"/>
      <c r="V748" s="1566"/>
      <c r="W748" s="1566">
        <v>0</v>
      </c>
      <c r="X748" s="1566"/>
      <c r="Y748" s="1566"/>
      <c r="Z748" s="1566"/>
      <c r="AA748" s="1566">
        <v>0</v>
      </c>
      <c r="AB748" s="1566"/>
      <c r="AC748" s="1566"/>
      <c r="AD748" s="1566"/>
      <c r="AE748" s="1566"/>
      <c r="AF748" s="1566"/>
      <c r="AG748" s="1566">
        <v>10952891.960000001</v>
      </c>
      <c r="AH748" s="1566"/>
      <c r="AI748" s="1566"/>
      <c r="AJ748" s="1566"/>
      <c r="AK748" s="1566"/>
    </row>
    <row r="749" spans="2:37" ht="9.4" customHeight="1">
      <c r="B749" s="1568" t="s">
        <v>345</v>
      </c>
      <c r="C749" s="1568"/>
      <c r="D749" s="1568"/>
      <c r="E749" s="1568" t="s">
        <v>1610</v>
      </c>
      <c r="F749" s="1568"/>
      <c r="G749" s="1568"/>
      <c r="H749" s="1568"/>
      <c r="J749" s="1568" t="s">
        <v>85</v>
      </c>
      <c r="K749" s="1568"/>
      <c r="L749" s="1568"/>
      <c r="M749" s="1566">
        <v>0</v>
      </c>
      <c r="N749" s="1566"/>
      <c r="O749" s="1566"/>
      <c r="P749" s="1566">
        <v>10952891.960000001</v>
      </c>
      <c r="Q749" s="1566"/>
      <c r="R749" s="1566"/>
      <c r="S749" s="1566">
        <v>0</v>
      </c>
      <c r="T749" s="1566"/>
      <c r="U749" s="1566"/>
      <c r="V749" s="1566"/>
      <c r="W749" s="1566">
        <v>0</v>
      </c>
      <c r="X749" s="1566"/>
      <c r="Y749" s="1566"/>
      <c r="Z749" s="1566"/>
      <c r="AA749" s="1566">
        <v>0</v>
      </c>
      <c r="AB749" s="1566"/>
      <c r="AC749" s="1566"/>
      <c r="AD749" s="1566"/>
      <c r="AE749" s="1566"/>
      <c r="AF749" s="1566"/>
      <c r="AG749" s="1566">
        <v>10952891.960000001</v>
      </c>
      <c r="AH749" s="1566"/>
      <c r="AI749" s="1566"/>
      <c r="AJ749" s="1566"/>
      <c r="AK749" s="1566"/>
    </row>
    <row r="750" spans="2:37" ht="9.4" customHeight="1">
      <c r="B750" s="1568" t="s">
        <v>345</v>
      </c>
      <c r="C750" s="1568"/>
      <c r="D750" s="1568"/>
      <c r="E750" s="1568" t="s">
        <v>1611</v>
      </c>
      <c r="F750" s="1568"/>
      <c r="G750" s="1568"/>
      <c r="H750" s="1568"/>
      <c r="J750" s="1568" t="s">
        <v>1612</v>
      </c>
      <c r="K750" s="1568"/>
      <c r="L750" s="1568"/>
      <c r="M750" s="1566">
        <v>0</v>
      </c>
      <c r="N750" s="1566"/>
      <c r="O750" s="1566"/>
      <c r="P750" s="1566">
        <v>267530016.94</v>
      </c>
      <c r="Q750" s="1566"/>
      <c r="R750" s="1566"/>
      <c r="S750" s="1566">
        <v>0</v>
      </c>
      <c r="T750" s="1566"/>
      <c r="U750" s="1566"/>
      <c r="V750" s="1566"/>
      <c r="W750" s="1566">
        <v>0</v>
      </c>
      <c r="X750" s="1566"/>
      <c r="Y750" s="1566"/>
      <c r="Z750" s="1566"/>
      <c r="AA750" s="1566">
        <v>0</v>
      </c>
      <c r="AB750" s="1566"/>
      <c r="AC750" s="1566"/>
      <c r="AD750" s="1566"/>
      <c r="AE750" s="1566"/>
      <c r="AF750" s="1566"/>
      <c r="AG750" s="1566">
        <v>267530016.94</v>
      </c>
      <c r="AH750" s="1566"/>
      <c r="AI750" s="1566"/>
      <c r="AJ750" s="1566"/>
      <c r="AK750" s="1566"/>
    </row>
    <row r="751" spans="2:37" ht="9.4" customHeight="1">
      <c r="B751" s="1568" t="s">
        <v>345</v>
      </c>
      <c r="C751" s="1568"/>
      <c r="D751" s="1568"/>
      <c r="E751" s="1568" t="s">
        <v>1613</v>
      </c>
      <c r="F751" s="1568"/>
      <c r="G751" s="1568"/>
      <c r="H751" s="1568"/>
      <c r="J751" s="1568" t="s">
        <v>2281</v>
      </c>
      <c r="K751" s="1568"/>
      <c r="L751" s="1568"/>
      <c r="M751" s="1566">
        <v>0</v>
      </c>
      <c r="N751" s="1566"/>
      <c r="O751" s="1566"/>
      <c r="P751" s="1566">
        <v>267530016.94</v>
      </c>
      <c r="Q751" s="1566"/>
      <c r="R751" s="1566"/>
      <c r="S751" s="1566">
        <v>0</v>
      </c>
      <c r="T751" s="1566"/>
      <c r="U751" s="1566"/>
      <c r="V751" s="1566"/>
      <c r="W751" s="1566">
        <v>0</v>
      </c>
      <c r="X751" s="1566"/>
      <c r="Y751" s="1566"/>
      <c r="Z751" s="1566"/>
      <c r="AA751" s="1566">
        <v>0</v>
      </c>
      <c r="AB751" s="1566"/>
      <c r="AC751" s="1566"/>
      <c r="AD751" s="1566"/>
      <c r="AE751" s="1566"/>
      <c r="AF751" s="1566"/>
      <c r="AG751" s="1566">
        <v>267530016.94</v>
      </c>
      <c r="AH751" s="1566"/>
      <c r="AI751" s="1566"/>
      <c r="AJ751" s="1566"/>
      <c r="AK751" s="1566"/>
    </row>
    <row r="752" spans="2:37" ht="9.4" customHeight="1">
      <c r="B752" s="1568" t="s">
        <v>345</v>
      </c>
      <c r="C752" s="1568"/>
      <c r="D752" s="1568"/>
      <c r="E752" s="1568" t="s">
        <v>2282</v>
      </c>
      <c r="F752" s="1568"/>
      <c r="G752" s="1568"/>
      <c r="H752" s="1568"/>
      <c r="J752" s="1568" t="s">
        <v>2283</v>
      </c>
      <c r="K752" s="1568"/>
      <c r="L752" s="1568"/>
      <c r="M752" s="1566">
        <v>0</v>
      </c>
      <c r="N752" s="1566"/>
      <c r="O752" s="1566"/>
      <c r="P752" s="1566">
        <v>855388979.28999996</v>
      </c>
      <c r="Q752" s="1566"/>
      <c r="R752" s="1566"/>
      <c r="S752" s="1566">
        <v>0</v>
      </c>
      <c r="T752" s="1566"/>
      <c r="U752" s="1566"/>
      <c r="V752" s="1566"/>
      <c r="W752" s="1566">
        <v>0</v>
      </c>
      <c r="X752" s="1566"/>
      <c r="Y752" s="1566"/>
      <c r="Z752" s="1566"/>
      <c r="AA752" s="1566">
        <v>0</v>
      </c>
      <c r="AB752" s="1566"/>
      <c r="AC752" s="1566"/>
      <c r="AD752" s="1566"/>
      <c r="AE752" s="1566"/>
      <c r="AF752" s="1566"/>
      <c r="AG752" s="1566">
        <v>855388979.28999996</v>
      </c>
      <c r="AH752" s="1566"/>
      <c r="AI752" s="1566"/>
      <c r="AJ752" s="1566"/>
      <c r="AK752" s="1566"/>
    </row>
    <row r="753" spans="2:37" ht="9.4" customHeight="1">
      <c r="B753" s="1568" t="s">
        <v>345</v>
      </c>
      <c r="C753" s="1568"/>
      <c r="D753" s="1568"/>
      <c r="E753" s="1568" t="s">
        <v>3002</v>
      </c>
      <c r="F753" s="1568"/>
      <c r="G753" s="1568"/>
      <c r="H753" s="1568"/>
      <c r="J753" s="1568" t="s">
        <v>3003</v>
      </c>
      <c r="K753" s="1568"/>
      <c r="L753" s="1568"/>
      <c r="M753" s="1566">
        <v>0</v>
      </c>
      <c r="N753" s="1566"/>
      <c r="O753" s="1566"/>
      <c r="P753" s="1566">
        <v>0</v>
      </c>
      <c r="Q753" s="1566"/>
      <c r="R753" s="1566"/>
      <c r="S753" s="1566">
        <v>0</v>
      </c>
      <c r="T753" s="1566"/>
      <c r="U753" s="1566"/>
      <c r="V753" s="1566"/>
      <c r="W753" s="1566">
        <v>0</v>
      </c>
      <c r="X753" s="1566"/>
      <c r="Y753" s="1566"/>
      <c r="Z753" s="1566"/>
      <c r="AA753" s="1566">
        <v>0</v>
      </c>
      <c r="AB753" s="1566"/>
      <c r="AC753" s="1566"/>
      <c r="AD753" s="1566"/>
      <c r="AE753" s="1566"/>
      <c r="AF753" s="1566"/>
      <c r="AG753" s="1566">
        <v>0</v>
      </c>
      <c r="AH753" s="1566"/>
      <c r="AI753" s="1566"/>
      <c r="AJ753" s="1566"/>
      <c r="AK753" s="1566"/>
    </row>
    <row r="754" spans="2:37" ht="9.4" customHeight="1">
      <c r="B754" s="1568" t="s">
        <v>345</v>
      </c>
      <c r="C754" s="1568"/>
      <c r="D754" s="1568"/>
      <c r="E754" s="1568" t="s">
        <v>5985</v>
      </c>
      <c r="F754" s="1568"/>
      <c r="G754" s="1568"/>
      <c r="H754" s="1568"/>
      <c r="J754" s="1568" t="s">
        <v>5986</v>
      </c>
      <c r="K754" s="1568"/>
      <c r="L754" s="1568"/>
      <c r="M754" s="1566">
        <v>0</v>
      </c>
      <c r="N754" s="1566"/>
      <c r="O754" s="1566"/>
      <c r="P754" s="1566">
        <v>0</v>
      </c>
      <c r="Q754" s="1566"/>
      <c r="R754" s="1566"/>
      <c r="S754" s="1566">
        <v>0</v>
      </c>
      <c r="T754" s="1566"/>
      <c r="U754" s="1566"/>
      <c r="V754" s="1566"/>
      <c r="W754" s="1566">
        <v>0</v>
      </c>
      <c r="X754" s="1566"/>
      <c r="Y754" s="1566"/>
      <c r="Z754" s="1566"/>
      <c r="AA754" s="1566">
        <v>0</v>
      </c>
      <c r="AB754" s="1566"/>
      <c r="AC754" s="1566"/>
      <c r="AD754" s="1566"/>
      <c r="AE754" s="1566"/>
      <c r="AF754" s="1566"/>
      <c r="AG754" s="1566">
        <v>0</v>
      </c>
      <c r="AH754" s="1566"/>
      <c r="AI754" s="1566"/>
      <c r="AJ754" s="1566"/>
      <c r="AK754" s="1566"/>
    </row>
    <row r="755" spans="2:37" ht="9.4" customHeight="1">
      <c r="B755" s="1568" t="s">
        <v>345</v>
      </c>
      <c r="C755" s="1568"/>
      <c r="D755" s="1568"/>
      <c r="E755" s="1568" t="s">
        <v>1614</v>
      </c>
      <c r="F755" s="1568"/>
      <c r="G755" s="1568"/>
      <c r="H755" s="1568"/>
      <c r="J755" s="1568" t="s">
        <v>1615</v>
      </c>
      <c r="K755" s="1568"/>
      <c r="L755" s="1568"/>
      <c r="M755" s="1566">
        <v>0</v>
      </c>
      <c r="N755" s="1566"/>
      <c r="O755" s="1566"/>
      <c r="P755" s="1566">
        <v>855388979.28999996</v>
      </c>
      <c r="Q755" s="1566"/>
      <c r="R755" s="1566"/>
      <c r="S755" s="1566">
        <v>0</v>
      </c>
      <c r="T755" s="1566"/>
      <c r="U755" s="1566"/>
      <c r="V755" s="1566"/>
      <c r="W755" s="1566">
        <v>0</v>
      </c>
      <c r="X755" s="1566"/>
      <c r="Y755" s="1566"/>
      <c r="Z755" s="1566"/>
      <c r="AA755" s="1566">
        <v>0</v>
      </c>
      <c r="AB755" s="1566"/>
      <c r="AC755" s="1566"/>
      <c r="AD755" s="1566"/>
      <c r="AE755" s="1566"/>
      <c r="AF755" s="1566"/>
      <c r="AG755" s="1566">
        <v>855388979.28999996</v>
      </c>
      <c r="AH755" s="1566"/>
      <c r="AI755" s="1566"/>
      <c r="AJ755" s="1566"/>
      <c r="AK755" s="1566"/>
    </row>
    <row r="756" spans="2:37" ht="9.4" customHeight="1">
      <c r="B756" s="1568" t="s">
        <v>345</v>
      </c>
      <c r="C756" s="1568"/>
      <c r="D756" s="1568"/>
      <c r="E756" s="1568" t="s">
        <v>1616</v>
      </c>
      <c r="F756" s="1568"/>
      <c r="G756" s="1568"/>
      <c r="H756" s="1568"/>
      <c r="J756" s="1568" t="s">
        <v>2284</v>
      </c>
      <c r="K756" s="1568"/>
      <c r="L756" s="1568"/>
      <c r="M756" s="1566">
        <v>0</v>
      </c>
      <c r="N756" s="1566"/>
      <c r="O756" s="1566"/>
      <c r="P756" s="1566">
        <v>23429164.940000001</v>
      </c>
      <c r="Q756" s="1566"/>
      <c r="R756" s="1566"/>
      <c r="S756" s="1566">
        <v>0</v>
      </c>
      <c r="T756" s="1566"/>
      <c r="U756" s="1566"/>
      <c r="V756" s="1566"/>
      <c r="W756" s="1566">
        <v>0</v>
      </c>
      <c r="X756" s="1566"/>
      <c r="Y756" s="1566"/>
      <c r="Z756" s="1566"/>
      <c r="AA756" s="1566">
        <v>0</v>
      </c>
      <c r="AB756" s="1566"/>
      <c r="AC756" s="1566"/>
      <c r="AD756" s="1566"/>
      <c r="AE756" s="1566"/>
      <c r="AF756" s="1566"/>
      <c r="AG756" s="1566">
        <v>23429164.940000001</v>
      </c>
      <c r="AH756" s="1566"/>
      <c r="AI756" s="1566"/>
      <c r="AJ756" s="1566"/>
      <c r="AK756" s="1566"/>
    </row>
    <row r="757" spans="2:37" ht="9.4" customHeight="1">
      <c r="B757" s="1568" t="s">
        <v>345</v>
      </c>
      <c r="C757" s="1568"/>
      <c r="D757" s="1568"/>
      <c r="E757" s="1568" t="s">
        <v>1617</v>
      </c>
      <c r="F757" s="1568"/>
      <c r="G757" s="1568"/>
      <c r="H757" s="1568"/>
      <c r="J757" s="1568" t="s">
        <v>2285</v>
      </c>
      <c r="K757" s="1568"/>
      <c r="L757" s="1568"/>
      <c r="M757" s="1566">
        <v>0</v>
      </c>
      <c r="N757" s="1566"/>
      <c r="O757" s="1566"/>
      <c r="P757" s="1566">
        <v>-11164328.34</v>
      </c>
      <c r="Q757" s="1566"/>
      <c r="R757" s="1566"/>
      <c r="S757" s="1566">
        <v>0</v>
      </c>
      <c r="T757" s="1566"/>
      <c r="U757" s="1566"/>
      <c r="V757" s="1566"/>
      <c r="W757" s="1566">
        <v>0</v>
      </c>
      <c r="X757" s="1566"/>
      <c r="Y757" s="1566"/>
      <c r="Z757" s="1566"/>
      <c r="AA757" s="1566">
        <v>0</v>
      </c>
      <c r="AB757" s="1566"/>
      <c r="AC757" s="1566"/>
      <c r="AD757" s="1566"/>
      <c r="AE757" s="1566"/>
      <c r="AF757" s="1566"/>
      <c r="AG757" s="1566">
        <v>-11164328.34</v>
      </c>
      <c r="AH757" s="1566"/>
      <c r="AI757" s="1566"/>
      <c r="AJ757" s="1566"/>
      <c r="AK757" s="1566"/>
    </row>
    <row r="758" spans="2:37" ht="9.4" customHeight="1">
      <c r="B758" s="1568" t="s">
        <v>345</v>
      </c>
      <c r="C758" s="1568"/>
      <c r="D758" s="1568"/>
      <c r="E758" s="1568" t="s">
        <v>1618</v>
      </c>
      <c r="F758" s="1568"/>
      <c r="G758" s="1568"/>
      <c r="H758" s="1568"/>
      <c r="J758" s="1568" t="s">
        <v>2286</v>
      </c>
      <c r="K758" s="1568"/>
      <c r="L758" s="1568"/>
      <c r="M758" s="1566">
        <v>0</v>
      </c>
      <c r="N758" s="1566"/>
      <c r="O758" s="1566"/>
      <c r="P758" s="1566">
        <v>-22926524.739999998</v>
      </c>
      <c r="Q758" s="1566"/>
      <c r="R758" s="1566"/>
      <c r="S758" s="1566">
        <v>0</v>
      </c>
      <c r="T758" s="1566"/>
      <c r="U758" s="1566"/>
      <c r="V758" s="1566"/>
      <c r="W758" s="1566">
        <v>0</v>
      </c>
      <c r="X758" s="1566"/>
      <c r="Y758" s="1566"/>
      <c r="Z758" s="1566"/>
      <c r="AA758" s="1566">
        <v>0</v>
      </c>
      <c r="AB758" s="1566"/>
      <c r="AC758" s="1566"/>
      <c r="AD758" s="1566"/>
      <c r="AE758" s="1566"/>
      <c r="AF758" s="1566"/>
      <c r="AG758" s="1566">
        <v>-22926524.739999998</v>
      </c>
      <c r="AH758" s="1566"/>
      <c r="AI758" s="1566"/>
      <c r="AJ758" s="1566"/>
      <c r="AK758" s="1566"/>
    </row>
    <row r="759" spans="2:37" ht="9.4" customHeight="1">
      <c r="B759" s="1568" t="s">
        <v>345</v>
      </c>
      <c r="C759" s="1568"/>
      <c r="D759" s="1568"/>
      <c r="E759" s="1568" t="s">
        <v>1619</v>
      </c>
      <c r="F759" s="1568"/>
      <c r="G759" s="1568"/>
      <c r="H759" s="1568"/>
      <c r="J759" s="1568" t="s">
        <v>2287</v>
      </c>
      <c r="K759" s="1568"/>
      <c r="L759" s="1568"/>
      <c r="M759" s="1566">
        <v>0</v>
      </c>
      <c r="N759" s="1566"/>
      <c r="O759" s="1566"/>
      <c r="P759" s="1566">
        <v>-9373112.2899999991</v>
      </c>
      <c r="Q759" s="1566"/>
      <c r="R759" s="1566"/>
      <c r="S759" s="1566">
        <v>0</v>
      </c>
      <c r="T759" s="1566"/>
      <c r="U759" s="1566"/>
      <c r="V759" s="1566"/>
      <c r="W759" s="1566">
        <v>0</v>
      </c>
      <c r="X759" s="1566"/>
      <c r="Y759" s="1566"/>
      <c r="Z759" s="1566"/>
      <c r="AA759" s="1566">
        <v>0</v>
      </c>
      <c r="AB759" s="1566"/>
      <c r="AC759" s="1566"/>
      <c r="AD759" s="1566"/>
      <c r="AE759" s="1566"/>
      <c r="AF759" s="1566"/>
      <c r="AG759" s="1566">
        <v>-9373112.2899999991</v>
      </c>
      <c r="AH759" s="1566"/>
      <c r="AI759" s="1566"/>
      <c r="AJ759" s="1566"/>
      <c r="AK759" s="1566"/>
    </row>
    <row r="760" spans="2:37" ht="9.4" customHeight="1">
      <c r="B760" s="1568" t="s">
        <v>345</v>
      </c>
      <c r="C760" s="1568"/>
      <c r="D760" s="1568"/>
      <c r="E760" s="1568" t="s">
        <v>1620</v>
      </c>
      <c r="F760" s="1568"/>
      <c r="G760" s="1568"/>
      <c r="H760" s="1568"/>
      <c r="J760" s="1568" t="s">
        <v>2288</v>
      </c>
      <c r="K760" s="1568"/>
      <c r="L760" s="1568"/>
      <c r="M760" s="1566">
        <v>0</v>
      </c>
      <c r="N760" s="1566"/>
      <c r="O760" s="1566"/>
      <c r="P760" s="1566">
        <v>-16789867.780000001</v>
      </c>
      <c r="Q760" s="1566"/>
      <c r="R760" s="1566"/>
      <c r="S760" s="1566">
        <v>0</v>
      </c>
      <c r="T760" s="1566"/>
      <c r="U760" s="1566"/>
      <c r="V760" s="1566"/>
      <c r="W760" s="1566">
        <v>0</v>
      </c>
      <c r="X760" s="1566"/>
      <c r="Y760" s="1566"/>
      <c r="Z760" s="1566"/>
      <c r="AA760" s="1566">
        <v>0</v>
      </c>
      <c r="AB760" s="1566"/>
      <c r="AC760" s="1566"/>
      <c r="AD760" s="1566"/>
      <c r="AE760" s="1566"/>
      <c r="AF760" s="1566"/>
      <c r="AG760" s="1566">
        <v>-16789867.780000001</v>
      </c>
      <c r="AH760" s="1566"/>
      <c r="AI760" s="1566"/>
      <c r="AJ760" s="1566"/>
      <c r="AK760" s="1566"/>
    </row>
    <row r="761" spans="2:37" ht="9.4" customHeight="1">
      <c r="B761" s="1568" t="s">
        <v>345</v>
      </c>
      <c r="C761" s="1568"/>
      <c r="D761" s="1568"/>
      <c r="E761" s="1568" t="s">
        <v>1621</v>
      </c>
      <c r="F761" s="1568"/>
      <c r="G761" s="1568"/>
      <c r="H761" s="1568"/>
      <c r="J761" s="1568" t="s">
        <v>2289</v>
      </c>
      <c r="K761" s="1568"/>
      <c r="L761" s="1568"/>
      <c r="M761" s="1566">
        <v>0</v>
      </c>
      <c r="N761" s="1566"/>
      <c r="O761" s="1566"/>
      <c r="P761" s="1566">
        <v>-18508332.640000001</v>
      </c>
      <c r="Q761" s="1566"/>
      <c r="R761" s="1566"/>
      <c r="S761" s="1566">
        <v>0</v>
      </c>
      <c r="T761" s="1566"/>
      <c r="U761" s="1566"/>
      <c r="V761" s="1566"/>
      <c r="W761" s="1566">
        <v>0</v>
      </c>
      <c r="X761" s="1566"/>
      <c r="Y761" s="1566"/>
      <c r="Z761" s="1566"/>
      <c r="AA761" s="1566">
        <v>0</v>
      </c>
      <c r="AB761" s="1566"/>
      <c r="AC761" s="1566"/>
      <c r="AD761" s="1566"/>
      <c r="AE761" s="1566"/>
      <c r="AF761" s="1566"/>
      <c r="AG761" s="1566">
        <v>-18508332.640000001</v>
      </c>
      <c r="AH761" s="1566"/>
      <c r="AI761" s="1566"/>
      <c r="AJ761" s="1566"/>
      <c r="AK761" s="1566"/>
    </row>
    <row r="762" spans="2:37" ht="9.4" customHeight="1">
      <c r="B762" s="1568" t="s">
        <v>345</v>
      </c>
      <c r="C762" s="1568"/>
      <c r="D762" s="1568"/>
      <c r="E762" s="1568" t="s">
        <v>1622</v>
      </c>
      <c r="F762" s="1568"/>
      <c r="G762" s="1568"/>
      <c r="H762" s="1568"/>
      <c r="J762" s="1568" t="s">
        <v>2290</v>
      </c>
      <c r="K762" s="1568"/>
      <c r="L762" s="1568"/>
      <c r="M762" s="1566">
        <v>0</v>
      </c>
      <c r="N762" s="1566"/>
      <c r="O762" s="1566"/>
      <c r="P762" s="1566">
        <v>11185592.65</v>
      </c>
      <c r="Q762" s="1566"/>
      <c r="R762" s="1566"/>
      <c r="S762" s="1566">
        <v>0</v>
      </c>
      <c r="T762" s="1566"/>
      <c r="U762" s="1566"/>
      <c r="V762" s="1566"/>
      <c r="W762" s="1566">
        <v>0</v>
      </c>
      <c r="X762" s="1566"/>
      <c r="Y762" s="1566"/>
      <c r="Z762" s="1566"/>
      <c r="AA762" s="1566">
        <v>0</v>
      </c>
      <c r="AB762" s="1566"/>
      <c r="AC762" s="1566"/>
      <c r="AD762" s="1566"/>
      <c r="AE762" s="1566"/>
      <c r="AF762" s="1566"/>
      <c r="AG762" s="1566">
        <v>11185592.65</v>
      </c>
      <c r="AH762" s="1566"/>
      <c r="AI762" s="1566"/>
      <c r="AJ762" s="1566"/>
      <c r="AK762" s="1566"/>
    </row>
    <row r="763" spans="2:37" ht="9.4" customHeight="1">
      <c r="B763" s="1568" t="s">
        <v>345</v>
      </c>
      <c r="C763" s="1568"/>
      <c r="D763" s="1568"/>
      <c r="E763" s="1568" t="s">
        <v>1623</v>
      </c>
      <c r="F763" s="1568"/>
      <c r="G763" s="1568"/>
      <c r="H763" s="1568"/>
      <c r="J763" s="1568" t="s">
        <v>2291</v>
      </c>
      <c r="K763" s="1568"/>
      <c r="L763" s="1568"/>
      <c r="M763" s="1566">
        <v>0</v>
      </c>
      <c r="N763" s="1566"/>
      <c r="O763" s="1566"/>
      <c r="P763" s="1566">
        <v>164921601.78</v>
      </c>
      <c r="Q763" s="1566"/>
      <c r="R763" s="1566"/>
      <c r="S763" s="1566">
        <v>0</v>
      </c>
      <c r="T763" s="1566"/>
      <c r="U763" s="1566"/>
      <c r="V763" s="1566"/>
      <c r="W763" s="1566">
        <v>0</v>
      </c>
      <c r="X763" s="1566"/>
      <c r="Y763" s="1566"/>
      <c r="Z763" s="1566"/>
      <c r="AA763" s="1566">
        <v>0</v>
      </c>
      <c r="AB763" s="1566"/>
      <c r="AC763" s="1566"/>
      <c r="AD763" s="1566"/>
      <c r="AE763" s="1566"/>
      <c r="AF763" s="1566"/>
      <c r="AG763" s="1566">
        <v>164921601.78</v>
      </c>
      <c r="AH763" s="1566"/>
      <c r="AI763" s="1566"/>
      <c r="AJ763" s="1566"/>
      <c r="AK763" s="1566"/>
    </row>
    <row r="764" spans="2:37" ht="9.4" customHeight="1">
      <c r="B764" s="1568" t="s">
        <v>345</v>
      </c>
      <c r="C764" s="1568"/>
      <c r="D764" s="1568"/>
      <c r="E764" s="1568" t="s">
        <v>1624</v>
      </c>
      <c r="F764" s="1568"/>
      <c r="G764" s="1568"/>
      <c r="H764" s="1568"/>
      <c r="J764" s="1568" t="s">
        <v>2292</v>
      </c>
      <c r="K764" s="1568"/>
      <c r="L764" s="1568"/>
      <c r="M764" s="1566">
        <v>0</v>
      </c>
      <c r="N764" s="1566"/>
      <c r="O764" s="1566"/>
      <c r="P764" s="1566">
        <v>121843922.45999999</v>
      </c>
      <c r="Q764" s="1566"/>
      <c r="R764" s="1566"/>
      <c r="S764" s="1566">
        <v>0</v>
      </c>
      <c r="T764" s="1566"/>
      <c r="U764" s="1566"/>
      <c r="V764" s="1566"/>
      <c r="W764" s="1566">
        <v>0</v>
      </c>
      <c r="X764" s="1566"/>
      <c r="Y764" s="1566"/>
      <c r="Z764" s="1566"/>
      <c r="AA764" s="1566">
        <v>0</v>
      </c>
      <c r="AB764" s="1566"/>
      <c r="AC764" s="1566"/>
      <c r="AD764" s="1566"/>
      <c r="AE764" s="1566"/>
      <c r="AF764" s="1566"/>
      <c r="AG764" s="1566">
        <v>121843922.45999999</v>
      </c>
      <c r="AH764" s="1566"/>
      <c r="AI764" s="1566"/>
      <c r="AJ764" s="1566"/>
      <c r="AK764" s="1566"/>
    </row>
    <row r="765" spans="2:37" ht="9.4" customHeight="1">
      <c r="B765" s="1568" t="s">
        <v>345</v>
      </c>
      <c r="C765" s="1568"/>
      <c r="D765" s="1568"/>
      <c r="E765" s="1568" t="s">
        <v>1625</v>
      </c>
      <c r="F765" s="1568"/>
      <c r="G765" s="1568"/>
      <c r="H765" s="1568"/>
      <c r="J765" s="1568" t="s">
        <v>2293</v>
      </c>
      <c r="K765" s="1568"/>
      <c r="L765" s="1568"/>
      <c r="M765" s="1566">
        <v>0</v>
      </c>
      <c r="N765" s="1566"/>
      <c r="O765" s="1566"/>
      <c r="P765" s="1566">
        <v>127021024.27</v>
      </c>
      <c r="Q765" s="1566"/>
      <c r="R765" s="1566"/>
      <c r="S765" s="1566">
        <v>0</v>
      </c>
      <c r="T765" s="1566"/>
      <c r="U765" s="1566"/>
      <c r="V765" s="1566"/>
      <c r="W765" s="1566">
        <v>0</v>
      </c>
      <c r="X765" s="1566"/>
      <c r="Y765" s="1566"/>
      <c r="Z765" s="1566"/>
      <c r="AA765" s="1566">
        <v>0</v>
      </c>
      <c r="AB765" s="1566"/>
      <c r="AC765" s="1566"/>
      <c r="AD765" s="1566"/>
      <c r="AE765" s="1566"/>
      <c r="AF765" s="1566"/>
      <c r="AG765" s="1566">
        <v>127021024.27</v>
      </c>
      <c r="AH765" s="1566"/>
      <c r="AI765" s="1566"/>
      <c r="AJ765" s="1566"/>
      <c r="AK765" s="1566"/>
    </row>
    <row r="766" spans="2:37" ht="9.4" customHeight="1">
      <c r="B766" s="1568" t="s">
        <v>345</v>
      </c>
      <c r="C766" s="1568"/>
      <c r="D766" s="1568"/>
      <c r="E766" s="1568" t="s">
        <v>1626</v>
      </c>
      <c r="F766" s="1568"/>
      <c r="G766" s="1568"/>
      <c r="H766" s="1568"/>
      <c r="J766" s="1568" t="s">
        <v>2294</v>
      </c>
      <c r="K766" s="1568"/>
      <c r="L766" s="1568"/>
      <c r="M766" s="1566">
        <v>0</v>
      </c>
      <c r="N766" s="1566"/>
      <c r="O766" s="1566"/>
      <c r="P766" s="1566">
        <v>13085651.68</v>
      </c>
      <c r="Q766" s="1566"/>
      <c r="R766" s="1566"/>
      <c r="S766" s="1566">
        <v>0</v>
      </c>
      <c r="T766" s="1566"/>
      <c r="U766" s="1566"/>
      <c r="V766" s="1566"/>
      <c r="W766" s="1566">
        <v>0</v>
      </c>
      <c r="X766" s="1566"/>
      <c r="Y766" s="1566"/>
      <c r="Z766" s="1566"/>
      <c r="AA766" s="1566">
        <v>0</v>
      </c>
      <c r="AB766" s="1566"/>
      <c r="AC766" s="1566"/>
      <c r="AD766" s="1566"/>
      <c r="AE766" s="1566"/>
      <c r="AF766" s="1566"/>
      <c r="AG766" s="1566">
        <v>13085651.68</v>
      </c>
      <c r="AH766" s="1566"/>
      <c r="AI766" s="1566"/>
      <c r="AJ766" s="1566"/>
      <c r="AK766" s="1566"/>
    </row>
    <row r="767" spans="2:37" ht="9.4" customHeight="1">
      <c r="B767" s="1568" t="s">
        <v>345</v>
      </c>
      <c r="C767" s="1568"/>
      <c r="D767" s="1568"/>
      <c r="E767" s="1568" t="s">
        <v>1627</v>
      </c>
      <c r="F767" s="1568"/>
      <c r="G767" s="1568"/>
      <c r="H767" s="1568"/>
      <c r="J767" s="1568" t="s">
        <v>2295</v>
      </c>
      <c r="K767" s="1568"/>
      <c r="L767" s="1568"/>
      <c r="M767" s="1566">
        <v>0</v>
      </c>
      <c r="N767" s="1566"/>
      <c r="O767" s="1566"/>
      <c r="P767" s="1566">
        <v>24947542.829999998</v>
      </c>
      <c r="Q767" s="1566"/>
      <c r="R767" s="1566"/>
      <c r="S767" s="1566">
        <v>0</v>
      </c>
      <c r="T767" s="1566"/>
      <c r="U767" s="1566"/>
      <c r="V767" s="1566"/>
      <c r="W767" s="1566">
        <v>0</v>
      </c>
      <c r="X767" s="1566"/>
      <c r="Y767" s="1566"/>
      <c r="Z767" s="1566"/>
      <c r="AA767" s="1566">
        <v>0</v>
      </c>
      <c r="AB767" s="1566"/>
      <c r="AC767" s="1566"/>
      <c r="AD767" s="1566"/>
      <c r="AE767" s="1566"/>
      <c r="AF767" s="1566"/>
      <c r="AG767" s="1566">
        <v>24947542.829999998</v>
      </c>
      <c r="AH767" s="1566"/>
      <c r="AI767" s="1566"/>
      <c r="AJ767" s="1566"/>
      <c r="AK767" s="1566"/>
    </row>
    <row r="768" spans="2:37" ht="9.4" customHeight="1">
      <c r="B768" s="1568" t="s">
        <v>345</v>
      </c>
      <c r="C768" s="1568"/>
      <c r="D768" s="1568"/>
      <c r="E768" s="1568" t="s">
        <v>1628</v>
      </c>
      <c r="F768" s="1568"/>
      <c r="G768" s="1568"/>
      <c r="H768" s="1568"/>
      <c r="J768" s="1568" t="s">
        <v>2296</v>
      </c>
      <c r="K768" s="1568"/>
      <c r="L768" s="1568"/>
      <c r="M768" s="1566">
        <v>0</v>
      </c>
      <c r="N768" s="1566"/>
      <c r="O768" s="1566"/>
      <c r="P768" s="1566">
        <v>12543692.17</v>
      </c>
      <c r="Q768" s="1566"/>
      <c r="R768" s="1566"/>
      <c r="S768" s="1566">
        <v>0</v>
      </c>
      <c r="T768" s="1566"/>
      <c r="U768" s="1566"/>
      <c r="V768" s="1566"/>
      <c r="W768" s="1566">
        <v>0</v>
      </c>
      <c r="X768" s="1566"/>
      <c r="Y768" s="1566"/>
      <c r="Z768" s="1566"/>
      <c r="AA768" s="1566">
        <v>0</v>
      </c>
      <c r="AB768" s="1566"/>
      <c r="AC768" s="1566"/>
      <c r="AD768" s="1566"/>
      <c r="AE768" s="1566"/>
      <c r="AF768" s="1566"/>
      <c r="AG768" s="1566">
        <v>12543692.17</v>
      </c>
      <c r="AH768" s="1566"/>
      <c r="AI768" s="1566"/>
      <c r="AJ768" s="1566"/>
      <c r="AK768" s="1566"/>
    </row>
    <row r="769" spans="1:38" ht="9.4" customHeight="1">
      <c r="B769" s="1568" t="s">
        <v>345</v>
      </c>
      <c r="C769" s="1568"/>
      <c r="D769" s="1568"/>
      <c r="E769" s="1568" t="s">
        <v>1629</v>
      </c>
      <c r="F769" s="1568"/>
      <c r="G769" s="1568"/>
      <c r="H769" s="1568"/>
      <c r="J769" s="1568" t="s">
        <v>2297</v>
      </c>
      <c r="K769" s="1568"/>
      <c r="L769" s="1568"/>
      <c r="M769" s="1566">
        <v>0</v>
      </c>
      <c r="N769" s="1566"/>
      <c r="O769" s="1566"/>
      <c r="P769" s="1566">
        <v>8379864.0899999999</v>
      </c>
      <c r="Q769" s="1566"/>
      <c r="R769" s="1566"/>
      <c r="S769" s="1566">
        <v>0</v>
      </c>
      <c r="T769" s="1566"/>
      <c r="U769" s="1566"/>
      <c r="V769" s="1566"/>
      <c r="W769" s="1566">
        <v>0</v>
      </c>
      <c r="X769" s="1566"/>
      <c r="Y769" s="1566"/>
      <c r="Z769" s="1566"/>
      <c r="AA769" s="1566">
        <v>0</v>
      </c>
      <c r="AB769" s="1566"/>
      <c r="AC769" s="1566"/>
      <c r="AD769" s="1566"/>
      <c r="AE769" s="1566"/>
      <c r="AF769" s="1566"/>
      <c r="AG769" s="1566">
        <v>8379864.0899999999</v>
      </c>
      <c r="AH769" s="1566"/>
      <c r="AI769" s="1566"/>
      <c r="AJ769" s="1566"/>
      <c r="AK769" s="1566"/>
    </row>
    <row r="770" spans="1:38" ht="9.4" customHeight="1">
      <c r="B770" s="1568" t="s">
        <v>345</v>
      </c>
      <c r="C770" s="1568"/>
      <c r="D770" s="1568"/>
      <c r="E770" s="1568" t="s">
        <v>1630</v>
      </c>
      <c r="F770" s="1568"/>
      <c r="G770" s="1568"/>
      <c r="H770" s="1568"/>
      <c r="J770" s="1568" t="s">
        <v>2298</v>
      </c>
      <c r="K770" s="1568"/>
      <c r="L770" s="1568"/>
      <c r="M770" s="1566">
        <v>0</v>
      </c>
      <c r="N770" s="1566"/>
      <c r="O770" s="1566"/>
      <c r="P770" s="1566">
        <v>12826771.66</v>
      </c>
      <c r="Q770" s="1566"/>
      <c r="R770" s="1566"/>
      <c r="S770" s="1566">
        <v>0</v>
      </c>
      <c r="T770" s="1566"/>
      <c r="U770" s="1566"/>
      <c r="V770" s="1566"/>
      <c r="W770" s="1566">
        <v>0</v>
      </c>
      <c r="X770" s="1566"/>
      <c r="Y770" s="1566"/>
      <c r="Z770" s="1566"/>
      <c r="AA770" s="1566">
        <v>0</v>
      </c>
      <c r="AB770" s="1566"/>
      <c r="AC770" s="1566"/>
      <c r="AD770" s="1566"/>
      <c r="AE770" s="1566"/>
      <c r="AF770" s="1566"/>
      <c r="AG770" s="1566">
        <v>12826771.66</v>
      </c>
      <c r="AH770" s="1566"/>
      <c r="AI770" s="1566"/>
      <c r="AJ770" s="1566"/>
      <c r="AK770" s="1566"/>
    </row>
    <row r="771" spans="1:38" ht="9.4" customHeight="1">
      <c r="B771" s="1568" t="s">
        <v>345</v>
      </c>
      <c r="C771" s="1568"/>
      <c r="D771" s="1568"/>
      <c r="E771" s="1568" t="s">
        <v>1631</v>
      </c>
      <c r="F771" s="1568"/>
      <c r="G771" s="1568"/>
      <c r="H771" s="1568"/>
      <c r="J771" s="1568" t="s">
        <v>2299</v>
      </c>
      <c r="K771" s="1568"/>
      <c r="L771" s="1568"/>
      <c r="M771" s="1566">
        <v>0</v>
      </c>
      <c r="N771" s="1566"/>
      <c r="O771" s="1566"/>
      <c r="P771" s="1566">
        <v>-23084042.809999999</v>
      </c>
      <c r="Q771" s="1566"/>
      <c r="R771" s="1566"/>
      <c r="S771" s="1566">
        <v>0</v>
      </c>
      <c r="T771" s="1566"/>
      <c r="U771" s="1566"/>
      <c r="V771" s="1566"/>
      <c r="W771" s="1566">
        <v>0</v>
      </c>
      <c r="X771" s="1566"/>
      <c r="Y771" s="1566"/>
      <c r="Z771" s="1566"/>
      <c r="AA771" s="1566">
        <v>0</v>
      </c>
      <c r="AB771" s="1566"/>
      <c r="AC771" s="1566"/>
      <c r="AD771" s="1566"/>
      <c r="AE771" s="1566"/>
      <c r="AF771" s="1566"/>
      <c r="AG771" s="1566">
        <v>-23084042.809999999</v>
      </c>
      <c r="AH771" s="1566"/>
      <c r="AI771" s="1566"/>
      <c r="AJ771" s="1566"/>
      <c r="AK771" s="1566"/>
    </row>
    <row r="772" spans="1:38" ht="9.4" customHeight="1">
      <c r="B772" s="1568" t="s">
        <v>345</v>
      </c>
      <c r="C772" s="1568"/>
      <c r="D772" s="1568"/>
      <c r="E772" s="1568" t="s">
        <v>1632</v>
      </c>
      <c r="F772" s="1568"/>
      <c r="G772" s="1568"/>
      <c r="H772" s="1568"/>
      <c r="J772" s="1568" t="s">
        <v>2300</v>
      </c>
      <c r="K772" s="1568"/>
      <c r="L772" s="1568"/>
      <c r="M772" s="1566">
        <v>0</v>
      </c>
      <c r="N772" s="1566"/>
      <c r="O772" s="1566"/>
      <c r="P772" s="1566">
        <v>39288292.170000002</v>
      </c>
      <c r="Q772" s="1566"/>
      <c r="R772" s="1566"/>
      <c r="S772" s="1566">
        <v>0</v>
      </c>
      <c r="T772" s="1566"/>
      <c r="U772" s="1566"/>
      <c r="V772" s="1566"/>
      <c r="W772" s="1566">
        <v>0</v>
      </c>
      <c r="X772" s="1566"/>
      <c r="Y772" s="1566"/>
      <c r="Z772" s="1566"/>
      <c r="AA772" s="1566">
        <v>0</v>
      </c>
      <c r="AB772" s="1566"/>
      <c r="AC772" s="1566"/>
      <c r="AD772" s="1566"/>
      <c r="AE772" s="1566"/>
      <c r="AF772" s="1566"/>
      <c r="AG772" s="1566">
        <v>39288292.170000002</v>
      </c>
      <c r="AH772" s="1566"/>
      <c r="AI772" s="1566"/>
      <c r="AJ772" s="1566"/>
      <c r="AK772" s="1566"/>
    </row>
    <row r="773" spans="1:38" ht="9.4" customHeight="1">
      <c r="B773" s="1568" t="s">
        <v>345</v>
      </c>
      <c r="C773" s="1568"/>
      <c r="D773" s="1568"/>
      <c r="E773" s="1568" t="s">
        <v>1633</v>
      </c>
      <c r="F773" s="1568"/>
      <c r="G773" s="1568"/>
      <c r="H773" s="1568"/>
      <c r="J773" s="1568" t="s">
        <v>2301</v>
      </c>
      <c r="K773" s="1568"/>
      <c r="L773" s="1568"/>
      <c r="M773" s="1566">
        <v>0</v>
      </c>
      <c r="N773" s="1566"/>
      <c r="O773" s="1566"/>
      <c r="P773" s="1566">
        <v>-2198899.2999999998</v>
      </c>
      <c r="Q773" s="1566"/>
      <c r="R773" s="1566"/>
      <c r="S773" s="1566">
        <v>0</v>
      </c>
      <c r="T773" s="1566"/>
      <c r="U773" s="1566"/>
      <c r="V773" s="1566"/>
      <c r="W773" s="1566">
        <v>0</v>
      </c>
      <c r="X773" s="1566"/>
      <c r="Y773" s="1566"/>
      <c r="Z773" s="1566"/>
      <c r="AA773" s="1566">
        <v>0</v>
      </c>
      <c r="AB773" s="1566"/>
      <c r="AC773" s="1566"/>
      <c r="AD773" s="1566"/>
      <c r="AE773" s="1566"/>
      <c r="AF773" s="1566"/>
      <c r="AG773" s="1566">
        <v>-2198899.2999999998</v>
      </c>
      <c r="AH773" s="1566"/>
      <c r="AI773" s="1566"/>
      <c r="AJ773" s="1566"/>
      <c r="AK773" s="1566"/>
    </row>
    <row r="774" spans="1:38" ht="9.4" customHeight="1">
      <c r="B774" s="1568" t="s">
        <v>345</v>
      </c>
      <c r="C774" s="1568"/>
      <c r="D774" s="1568"/>
      <c r="E774" s="1568" t="s">
        <v>1634</v>
      </c>
      <c r="F774" s="1568"/>
      <c r="G774" s="1568"/>
      <c r="H774" s="1568"/>
      <c r="J774" s="1568" t="s">
        <v>2302</v>
      </c>
      <c r="K774" s="1568"/>
      <c r="L774" s="1568"/>
      <c r="M774" s="1566">
        <v>0</v>
      </c>
      <c r="N774" s="1566"/>
      <c r="O774" s="1566"/>
      <c r="P774" s="1566">
        <v>113239621.77</v>
      </c>
      <c r="Q774" s="1566"/>
      <c r="R774" s="1566"/>
      <c r="S774" s="1566">
        <v>0</v>
      </c>
      <c r="T774" s="1566"/>
      <c r="U774" s="1566"/>
      <c r="V774" s="1566"/>
      <c r="W774" s="1566">
        <v>0</v>
      </c>
      <c r="X774" s="1566"/>
      <c r="Y774" s="1566"/>
      <c r="Z774" s="1566"/>
      <c r="AA774" s="1566">
        <v>0</v>
      </c>
      <c r="AB774" s="1566"/>
      <c r="AC774" s="1566"/>
      <c r="AD774" s="1566"/>
      <c r="AE774" s="1566"/>
      <c r="AF774" s="1566"/>
      <c r="AG774" s="1566">
        <v>113239621.77</v>
      </c>
      <c r="AH774" s="1566"/>
      <c r="AI774" s="1566"/>
      <c r="AJ774" s="1566"/>
      <c r="AK774" s="1566"/>
    </row>
    <row r="775" spans="1:38" ht="9.4" customHeight="1">
      <c r="B775" s="1568" t="s">
        <v>345</v>
      </c>
      <c r="C775" s="1568"/>
      <c r="D775" s="1568"/>
      <c r="E775" s="1568" t="s">
        <v>2303</v>
      </c>
      <c r="F775" s="1568"/>
      <c r="G775" s="1568"/>
      <c r="H775" s="1568"/>
      <c r="J775" s="1568" t="s">
        <v>2304</v>
      </c>
      <c r="K775" s="1568"/>
      <c r="L775" s="1568"/>
      <c r="M775" s="1566">
        <v>0</v>
      </c>
      <c r="N775" s="1566"/>
      <c r="O775" s="1566"/>
      <c r="P775" s="1566">
        <v>33446477.149999999</v>
      </c>
      <c r="Q775" s="1566"/>
      <c r="R775" s="1566"/>
      <c r="S775" s="1566">
        <v>0</v>
      </c>
      <c r="T775" s="1566"/>
      <c r="U775" s="1566"/>
      <c r="V775" s="1566"/>
      <c r="W775" s="1566">
        <v>0</v>
      </c>
      <c r="X775" s="1566"/>
      <c r="Y775" s="1566"/>
      <c r="Z775" s="1566"/>
      <c r="AA775" s="1566">
        <v>0</v>
      </c>
      <c r="AB775" s="1566"/>
      <c r="AC775" s="1566"/>
      <c r="AD775" s="1566"/>
      <c r="AE775" s="1566"/>
      <c r="AF775" s="1566"/>
      <c r="AG775" s="1566">
        <v>33446477.149999999</v>
      </c>
      <c r="AH775" s="1566"/>
      <c r="AI775" s="1566"/>
      <c r="AJ775" s="1566"/>
      <c r="AK775" s="1566"/>
    </row>
    <row r="776" spans="1:38" ht="9.4" customHeight="1">
      <c r="B776" s="1568" t="s">
        <v>345</v>
      </c>
      <c r="C776" s="1568"/>
      <c r="D776" s="1568"/>
      <c r="E776" s="1568" t="s">
        <v>2305</v>
      </c>
      <c r="F776" s="1568"/>
      <c r="G776" s="1568"/>
      <c r="H776" s="1568"/>
      <c r="J776" s="1568" t="s">
        <v>2306</v>
      </c>
      <c r="K776" s="1568"/>
      <c r="L776" s="1568"/>
      <c r="M776" s="1566">
        <v>0</v>
      </c>
      <c r="N776" s="1566"/>
      <c r="O776" s="1566"/>
      <c r="P776" s="1566">
        <v>52219344.719999999</v>
      </c>
      <c r="Q776" s="1566"/>
      <c r="R776" s="1566"/>
      <c r="S776" s="1566">
        <v>0</v>
      </c>
      <c r="T776" s="1566"/>
      <c r="U776" s="1566"/>
      <c r="V776" s="1566"/>
      <c r="W776" s="1566">
        <v>0</v>
      </c>
      <c r="X776" s="1566"/>
      <c r="Y776" s="1566"/>
      <c r="Z776" s="1566"/>
      <c r="AA776" s="1566">
        <v>0</v>
      </c>
      <c r="AB776" s="1566"/>
      <c r="AC776" s="1566"/>
      <c r="AD776" s="1566"/>
      <c r="AE776" s="1566"/>
      <c r="AF776" s="1566"/>
      <c r="AG776" s="1566">
        <v>52219344.719999999</v>
      </c>
      <c r="AH776" s="1566"/>
      <c r="AI776" s="1566"/>
      <c r="AJ776" s="1566"/>
      <c r="AK776" s="1566"/>
    </row>
    <row r="777" spans="1:38" ht="3.95" customHeight="1"/>
    <row r="778" spans="1:38" ht="14.1" customHeight="1">
      <c r="AG778" s="1565" t="s">
        <v>2350</v>
      </c>
      <c r="AH778" s="1565"/>
      <c r="AI778" s="1565"/>
      <c r="AJ778" s="1565"/>
      <c r="AK778" s="1565"/>
      <c r="AL778" s="1565"/>
    </row>
    <row r="779" spans="1:38" ht="7.15" customHeight="1">
      <c r="D779" s="1578" t="s">
        <v>2992</v>
      </c>
      <c r="E779" s="1578"/>
      <c r="F779" s="1578"/>
      <c r="G779" s="1578"/>
      <c r="H779" s="1578"/>
      <c r="I779" s="1578"/>
      <c r="J779" s="1578"/>
      <c r="K779" s="1578"/>
      <c r="L779" s="1578"/>
      <c r="M779" s="1578"/>
      <c r="N779" s="1578"/>
      <c r="O779" s="1578"/>
      <c r="P779" s="1578"/>
      <c r="Q779" s="1578"/>
      <c r="R779" s="1578"/>
      <c r="S779" s="1578"/>
      <c r="T779" s="1578"/>
      <c r="U779" s="1578"/>
      <c r="V779" s="1578"/>
      <c r="W779" s="1578"/>
      <c r="X779" s="1578"/>
      <c r="Y779" s="1578"/>
      <c r="Z779" s="1578"/>
      <c r="AA779" s="1578"/>
      <c r="AB779" s="1578"/>
      <c r="AC779" s="1578"/>
      <c r="AD779" s="1578"/>
      <c r="AE779" s="1578"/>
      <c r="AF779" s="1578"/>
      <c r="AG779" s="1578"/>
      <c r="AH779" s="1578"/>
    </row>
    <row r="780" spans="1:38" ht="9.6" customHeight="1">
      <c r="A780" s="1579"/>
      <c r="B780" s="1579"/>
      <c r="C780" s="1579"/>
      <c r="D780" s="1579"/>
      <c r="E780" s="1579"/>
      <c r="F780" s="1579"/>
      <c r="G780" s="1579"/>
      <c r="H780" s="1579"/>
      <c r="I780" s="1579"/>
      <c r="J780" s="1578"/>
      <c r="K780" s="1578"/>
      <c r="L780" s="1578"/>
      <c r="M780" s="1578"/>
      <c r="N780" s="1578"/>
      <c r="O780" s="1578"/>
      <c r="P780" s="1578"/>
      <c r="Q780" s="1578"/>
      <c r="R780" s="1578"/>
      <c r="S780" s="1578"/>
      <c r="T780" s="1578"/>
      <c r="U780" s="1578"/>
      <c r="V780" s="1578"/>
      <c r="W780" s="1578"/>
      <c r="X780" s="1578"/>
      <c r="Y780" s="1578"/>
      <c r="Z780" s="1578"/>
      <c r="AA780" s="1578"/>
      <c r="AB780" s="1578"/>
      <c r="AC780" s="1578"/>
      <c r="AD780" s="1578"/>
      <c r="AE780" s="1578"/>
      <c r="AF780" s="1578"/>
      <c r="AG780" s="1578"/>
      <c r="AH780" s="1578"/>
    </row>
    <row r="781" spans="1:38" ht="13.35" customHeight="1">
      <c r="A781" s="1579"/>
      <c r="B781" s="1579"/>
      <c r="C781" s="1579"/>
      <c r="D781" s="1579"/>
      <c r="E781" s="1579"/>
      <c r="F781" s="1579"/>
      <c r="G781" s="1579"/>
      <c r="H781" s="1579"/>
      <c r="I781" s="1579"/>
      <c r="J781" s="1580" t="s">
        <v>79</v>
      </c>
      <c r="K781" s="1580"/>
      <c r="L781" s="1580"/>
      <c r="M781" s="1580"/>
      <c r="N781" s="1580"/>
      <c r="O781" s="1580"/>
      <c r="P781" s="1580"/>
      <c r="Q781" s="1580"/>
      <c r="R781" s="1580"/>
      <c r="S781" s="1580"/>
      <c r="T781" s="1580"/>
      <c r="U781" s="1580"/>
      <c r="V781" s="1580"/>
      <c r="W781" s="1580"/>
      <c r="X781" s="1580"/>
      <c r="Y781" s="1580"/>
      <c r="Z781" s="1580"/>
      <c r="AA781" s="1580"/>
      <c r="AB781" s="1580"/>
      <c r="AC781" s="1580"/>
      <c r="AD781" s="1580"/>
      <c r="AE781" s="1580"/>
      <c r="AF781" s="1580"/>
    </row>
    <row r="782" spans="1:38" ht="5.25" customHeight="1">
      <c r="A782" s="1579"/>
      <c r="B782" s="1579"/>
      <c r="C782" s="1579"/>
      <c r="D782" s="1579"/>
      <c r="E782" s="1579"/>
      <c r="F782" s="1579"/>
      <c r="G782" s="1579"/>
      <c r="H782" s="1579"/>
      <c r="I782" s="1579"/>
      <c r="J782" s="1573" t="s">
        <v>6760</v>
      </c>
      <c r="K782" s="1573"/>
      <c r="L782" s="1573"/>
      <c r="M782" s="1573"/>
      <c r="N782" s="1573"/>
      <c r="O782" s="1573"/>
      <c r="P782" s="1573"/>
      <c r="Q782" s="1573"/>
      <c r="R782" s="1573"/>
      <c r="S782" s="1573"/>
      <c r="T782" s="1573"/>
      <c r="U782" s="1573"/>
      <c r="V782" s="1573"/>
      <c r="W782" s="1573"/>
      <c r="X782" s="1573"/>
      <c r="Y782" s="1573"/>
      <c r="Z782" s="1573"/>
      <c r="AA782" s="1573"/>
      <c r="AB782" s="1573"/>
      <c r="AC782" s="1573"/>
      <c r="AD782" s="1573"/>
      <c r="AE782" s="1573"/>
    </row>
    <row r="783" spans="1:38" ht="8.1" customHeight="1">
      <c r="C783" s="1572" t="s">
        <v>1920</v>
      </c>
      <c r="D783" s="1572"/>
      <c r="E783" s="1572"/>
      <c r="F783" s="1572"/>
      <c r="G783" s="1572"/>
      <c r="H783" s="1572"/>
      <c r="I783" s="1572"/>
      <c r="J783" s="1572"/>
      <c r="K783" s="1573"/>
      <c r="L783" s="1573"/>
      <c r="M783" s="1573"/>
      <c r="N783" s="1573"/>
      <c r="O783" s="1573"/>
      <c r="P783" s="1573"/>
      <c r="Q783" s="1573"/>
      <c r="R783" s="1573"/>
      <c r="S783" s="1573"/>
      <c r="T783" s="1573"/>
      <c r="U783" s="1573"/>
      <c r="V783" s="1573"/>
      <c r="W783" s="1573"/>
      <c r="X783" s="1573"/>
      <c r="Y783" s="1574" t="s">
        <v>5920</v>
      </c>
      <c r="Z783" s="1574"/>
      <c r="AA783" s="1574"/>
      <c r="AB783" s="1574"/>
      <c r="AC783" s="1574"/>
      <c r="AD783" s="1574"/>
      <c r="AE783" s="1574"/>
      <c r="AF783" s="1574"/>
      <c r="AG783" s="1574"/>
      <c r="AH783" s="1575" t="s">
        <v>6761</v>
      </c>
      <c r="AI783" s="1575"/>
      <c r="AJ783" s="1575"/>
      <c r="AK783" s="1575"/>
      <c r="AL783" s="1575"/>
    </row>
    <row r="784" spans="1:38" ht="6" customHeight="1">
      <c r="C784" s="1572"/>
      <c r="D784" s="1572"/>
      <c r="E784" s="1572"/>
      <c r="F784" s="1572"/>
      <c r="G784" s="1572"/>
      <c r="H784" s="1572"/>
      <c r="I784" s="1572"/>
      <c r="J784" s="1572"/>
      <c r="K784" s="1576" t="s">
        <v>1999</v>
      </c>
      <c r="L784" s="1576"/>
      <c r="M784" s="1576"/>
      <c r="N784" s="1576"/>
      <c r="O784" s="1576"/>
      <c r="P784" s="1576"/>
      <c r="Q784" s="1576"/>
      <c r="R784" s="1576"/>
      <c r="S784" s="1576"/>
      <c r="T784" s="1576"/>
      <c r="U784" s="1576"/>
      <c r="V784" s="1576"/>
      <c r="W784" s="1576"/>
      <c r="X784" s="1576"/>
      <c r="Y784" s="1574"/>
      <c r="Z784" s="1574"/>
      <c r="AA784" s="1574"/>
      <c r="AB784" s="1574"/>
      <c r="AC784" s="1574"/>
      <c r="AD784" s="1574"/>
      <c r="AE784" s="1574"/>
      <c r="AF784" s="1574"/>
      <c r="AG784" s="1574"/>
      <c r="AH784" s="1575"/>
      <c r="AI784" s="1575"/>
      <c r="AJ784" s="1575"/>
      <c r="AK784" s="1575"/>
      <c r="AL784" s="1575"/>
    </row>
    <row r="785" spans="2:37" ht="7.35" customHeight="1">
      <c r="C785" s="1572" t="s">
        <v>1998</v>
      </c>
      <c r="D785" s="1572"/>
      <c r="E785" s="1572"/>
      <c r="F785" s="1572"/>
      <c r="G785" s="1577"/>
      <c r="H785" s="1577"/>
      <c r="I785" s="1577"/>
      <c r="J785" s="1577"/>
      <c r="K785" s="1577"/>
      <c r="L785" s="1577"/>
      <c r="M785" s="1577"/>
      <c r="N785" s="1577"/>
      <c r="O785" s="1577"/>
      <c r="P785" s="1577"/>
      <c r="Q785" s="1577"/>
      <c r="R785" s="1577"/>
      <c r="S785" s="1577"/>
      <c r="T785" s="1577"/>
      <c r="U785" s="1577"/>
      <c r="V785" s="1577"/>
      <c r="W785" s="1577"/>
      <c r="X785" s="1577"/>
      <c r="Y785" s="1577"/>
      <c r="Z785" s="1577"/>
      <c r="AA785" s="1577"/>
      <c r="AB785" s="1577"/>
      <c r="AC785" s="1577"/>
      <c r="AD785" s="1577"/>
      <c r="AE785" s="1577"/>
      <c r="AF785" s="1574"/>
      <c r="AG785" s="1574"/>
      <c r="AH785" s="1574" t="s">
        <v>6762</v>
      </c>
      <c r="AI785" s="1574"/>
    </row>
    <row r="786" spans="2:37" ht="6.75" customHeight="1">
      <c r="G786" s="1577"/>
      <c r="H786" s="1577"/>
      <c r="I786" s="1577"/>
      <c r="J786" s="1577"/>
      <c r="K786" s="1577"/>
      <c r="L786" s="1577"/>
      <c r="M786" s="1577"/>
      <c r="N786" s="1577"/>
      <c r="O786" s="1577"/>
      <c r="P786" s="1577"/>
      <c r="Q786" s="1577"/>
      <c r="R786" s="1577"/>
      <c r="S786" s="1577"/>
      <c r="T786" s="1577"/>
      <c r="U786" s="1577"/>
      <c r="V786" s="1577"/>
      <c r="W786" s="1577"/>
      <c r="X786" s="1577"/>
      <c r="Y786" s="1577"/>
      <c r="Z786" s="1577"/>
      <c r="AA786" s="1577"/>
      <c r="AB786" s="1577"/>
      <c r="AC786" s="1577"/>
      <c r="AD786" s="1577"/>
      <c r="AE786" s="1577"/>
      <c r="AF786" s="1574"/>
      <c r="AG786" s="1574"/>
      <c r="AH786" s="1574"/>
      <c r="AI786" s="1574"/>
    </row>
    <row r="787" spans="2:37" ht="11.25" customHeight="1">
      <c r="O787" s="1570" t="s">
        <v>1318</v>
      </c>
      <c r="P787" s="1570"/>
      <c r="Q787" s="1570"/>
      <c r="V787" s="1570" t="s">
        <v>1319</v>
      </c>
      <c r="W787" s="1570"/>
      <c r="X787" s="1570"/>
      <c r="Y787" s="1570"/>
      <c r="AD787" s="1570" t="s">
        <v>1320</v>
      </c>
      <c r="AE787" s="1570"/>
      <c r="AF787" s="1570"/>
      <c r="AG787" s="1570"/>
      <c r="AH787" s="1570"/>
      <c r="AI787" s="1570"/>
      <c r="AJ787" s="1570"/>
    </row>
    <row r="788" spans="2:37" ht="8.4499999999999993" customHeight="1">
      <c r="B788" s="1571" t="s">
        <v>1321</v>
      </c>
      <c r="C788" s="1571"/>
      <c r="D788" s="1571"/>
      <c r="E788" s="1571" t="s">
        <v>1322</v>
      </c>
      <c r="F788" s="1571"/>
      <c r="G788" s="1571"/>
      <c r="J788" s="1571" t="s">
        <v>1323</v>
      </c>
      <c r="K788" s="1571"/>
      <c r="L788" s="1571"/>
      <c r="M788" s="1571"/>
      <c r="N788" s="1571"/>
      <c r="O788" s="1402" t="s">
        <v>1324</v>
      </c>
      <c r="Q788" s="1569" t="s">
        <v>1325</v>
      </c>
      <c r="R788" s="1569"/>
      <c r="U788" s="1569" t="s">
        <v>1324</v>
      </c>
      <c r="V788" s="1569"/>
      <c r="X788" s="1569" t="s">
        <v>1325</v>
      </c>
      <c r="Y788" s="1569"/>
      <c r="Z788" s="1569"/>
      <c r="AC788" s="1569" t="s">
        <v>1324</v>
      </c>
      <c r="AD788" s="1569"/>
      <c r="AE788" s="1569"/>
      <c r="AF788" s="1569"/>
      <c r="AH788" s="1569" t="s">
        <v>1325</v>
      </c>
      <c r="AI788" s="1569"/>
      <c r="AJ788" s="1569"/>
      <c r="AK788" s="1569"/>
    </row>
    <row r="789" spans="2:37" ht="9.9499999999999993" customHeight="1">
      <c r="B789" s="1568" t="s">
        <v>345</v>
      </c>
      <c r="C789" s="1568"/>
      <c r="D789" s="1568"/>
      <c r="E789" s="1568" t="s">
        <v>3116</v>
      </c>
      <c r="F789" s="1568"/>
      <c r="G789" s="1568"/>
      <c r="H789" s="1568"/>
      <c r="J789" s="1568" t="s">
        <v>3117</v>
      </c>
      <c r="K789" s="1568"/>
      <c r="L789" s="1568"/>
      <c r="M789" s="1566">
        <v>0</v>
      </c>
      <c r="N789" s="1566"/>
      <c r="O789" s="1566"/>
      <c r="P789" s="1566">
        <v>50489757.659999996</v>
      </c>
      <c r="Q789" s="1566"/>
      <c r="R789" s="1566"/>
      <c r="S789" s="1566">
        <v>0</v>
      </c>
      <c r="T789" s="1566"/>
      <c r="U789" s="1566"/>
      <c r="V789" s="1566"/>
      <c r="W789" s="1566">
        <v>0</v>
      </c>
      <c r="X789" s="1566"/>
      <c r="Y789" s="1566"/>
      <c r="Z789" s="1566"/>
      <c r="AA789" s="1566">
        <v>0</v>
      </c>
      <c r="AB789" s="1566"/>
      <c r="AC789" s="1566"/>
      <c r="AD789" s="1566"/>
      <c r="AE789" s="1566"/>
      <c r="AF789" s="1566"/>
      <c r="AG789" s="1566">
        <v>50489757.659999996</v>
      </c>
      <c r="AH789" s="1566"/>
      <c r="AI789" s="1566"/>
      <c r="AJ789" s="1566"/>
      <c r="AK789" s="1566"/>
    </row>
    <row r="790" spans="2:37" ht="9.4" customHeight="1">
      <c r="B790" s="1568" t="s">
        <v>345</v>
      </c>
      <c r="C790" s="1568"/>
      <c r="D790" s="1568"/>
      <c r="E790" s="1568" t="s">
        <v>3279</v>
      </c>
      <c r="F790" s="1568"/>
      <c r="G790" s="1568"/>
      <c r="H790" s="1568"/>
      <c r="J790" s="1568" t="s">
        <v>3280</v>
      </c>
      <c r="K790" s="1568"/>
      <c r="L790" s="1568"/>
      <c r="M790" s="1566">
        <v>0</v>
      </c>
      <c r="N790" s="1566"/>
      <c r="O790" s="1566"/>
      <c r="P790" s="1566">
        <v>67858362.349999994</v>
      </c>
      <c r="Q790" s="1566"/>
      <c r="R790" s="1566"/>
      <c r="S790" s="1566">
        <v>0</v>
      </c>
      <c r="T790" s="1566"/>
      <c r="U790" s="1566"/>
      <c r="V790" s="1566"/>
      <c r="W790" s="1566">
        <v>0</v>
      </c>
      <c r="X790" s="1566"/>
      <c r="Y790" s="1566"/>
      <c r="Z790" s="1566"/>
      <c r="AA790" s="1566">
        <v>0</v>
      </c>
      <c r="AB790" s="1566"/>
      <c r="AC790" s="1566"/>
      <c r="AD790" s="1566"/>
      <c r="AE790" s="1566"/>
      <c r="AF790" s="1566"/>
      <c r="AG790" s="1566">
        <v>67858362.349999994</v>
      </c>
      <c r="AH790" s="1566"/>
      <c r="AI790" s="1566"/>
      <c r="AJ790" s="1566"/>
      <c r="AK790" s="1566"/>
    </row>
    <row r="791" spans="2:37" ht="9.4" customHeight="1">
      <c r="B791" s="1568" t="s">
        <v>345</v>
      </c>
      <c r="C791" s="1568"/>
      <c r="D791" s="1568"/>
      <c r="E791" s="1568" t="s">
        <v>5987</v>
      </c>
      <c r="F791" s="1568"/>
      <c r="G791" s="1568"/>
      <c r="H791" s="1568"/>
      <c r="J791" s="1568" t="s">
        <v>5988</v>
      </c>
      <c r="K791" s="1568"/>
      <c r="L791" s="1568"/>
      <c r="M791" s="1566">
        <v>0</v>
      </c>
      <c r="N791" s="1566"/>
      <c r="O791" s="1566"/>
      <c r="P791" s="1566">
        <v>82707402.840000004</v>
      </c>
      <c r="Q791" s="1566"/>
      <c r="R791" s="1566"/>
      <c r="S791" s="1566">
        <v>0</v>
      </c>
      <c r="T791" s="1566"/>
      <c r="U791" s="1566"/>
      <c r="V791" s="1566"/>
      <c r="W791" s="1566">
        <v>0</v>
      </c>
      <c r="X791" s="1566"/>
      <c r="Y791" s="1566"/>
      <c r="Z791" s="1566"/>
      <c r="AA791" s="1566">
        <v>0</v>
      </c>
      <c r="AB791" s="1566"/>
      <c r="AC791" s="1566"/>
      <c r="AD791" s="1566"/>
      <c r="AE791" s="1566"/>
      <c r="AF791" s="1566"/>
      <c r="AG791" s="1566">
        <v>82707402.840000004</v>
      </c>
      <c r="AH791" s="1566"/>
      <c r="AI791" s="1566"/>
      <c r="AJ791" s="1566"/>
      <c r="AK791" s="1566"/>
    </row>
    <row r="792" spans="2:37" ht="9.4" customHeight="1">
      <c r="B792" s="1568" t="s">
        <v>345</v>
      </c>
      <c r="C792" s="1568"/>
      <c r="D792" s="1568"/>
      <c r="E792" s="1568" t="s">
        <v>5989</v>
      </c>
      <c r="F792" s="1568"/>
      <c r="G792" s="1568"/>
      <c r="H792" s="1568"/>
      <c r="J792" s="1568" t="s">
        <v>5990</v>
      </c>
      <c r="K792" s="1568"/>
      <c r="L792" s="1568"/>
      <c r="M792" s="1566">
        <v>0</v>
      </c>
      <c r="N792" s="1566"/>
      <c r="O792" s="1566"/>
      <c r="P792" s="1566">
        <v>0</v>
      </c>
      <c r="Q792" s="1566"/>
      <c r="R792" s="1566"/>
      <c r="S792" s="1566">
        <v>0</v>
      </c>
      <c r="T792" s="1566"/>
      <c r="U792" s="1566"/>
      <c r="V792" s="1566"/>
      <c r="W792" s="1566">
        <v>0</v>
      </c>
      <c r="X792" s="1566"/>
      <c r="Y792" s="1566"/>
      <c r="Z792" s="1566"/>
      <c r="AA792" s="1566">
        <v>0</v>
      </c>
      <c r="AB792" s="1566"/>
      <c r="AC792" s="1566"/>
      <c r="AD792" s="1566"/>
      <c r="AE792" s="1566"/>
      <c r="AF792" s="1566"/>
      <c r="AG792" s="1566">
        <v>0</v>
      </c>
      <c r="AH792" s="1566"/>
      <c r="AI792" s="1566"/>
      <c r="AJ792" s="1566"/>
      <c r="AK792" s="1566"/>
    </row>
    <row r="793" spans="2:37" ht="9.4" customHeight="1">
      <c r="B793" s="1568" t="s">
        <v>345</v>
      </c>
      <c r="C793" s="1568"/>
      <c r="D793" s="1568"/>
      <c r="E793" s="1568" t="s">
        <v>2307</v>
      </c>
      <c r="F793" s="1568"/>
      <c r="G793" s="1568"/>
      <c r="H793" s="1568"/>
      <c r="J793" s="1568" t="s">
        <v>2308</v>
      </c>
      <c r="K793" s="1568"/>
      <c r="L793" s="1568"/>
      <c r="M793" s="1566">
        <v>0</v>
      </c>
      <c r="N793" s="1566"/>
      <c r="O793" s="1566"/>
      <c r="P793" s="1566">
        <v>20576226.510000002</v>
      </c>
      <c r="Q793" s="1566"/>
      <c r="R793" s="1566"/>
      <c r="S793" s="1566">
        <v>0</v>
      </c>
      <c r="T793" s="1566"/>
      <c r="U793" s="1566"/>
      <c r="V793" s="1566"/>
      <c r="W793" s="1566">
        <v>0</v>
      </c>
      <c r="X793" s="1566"/>
      <c r="Y793" s="1566"/>
      <c r="Z793" s="1566"/>
      <c r="AA793" s="1566">
        <v>0</v>
      </c>
      <c r="AB793" s="1566"/>
      <c r="AC793" s="1566"/>
      <c r="AD793" s="1566"/>
      <c r="AE793" s="1566"/>
      <c r="AF793" s="1566"/>
      <c r="AG793" s="1566">
        <v>20576226.510000002</v>
      </c>
      <c r="AH793" s="1566"/>
      <c r="AI793" s="1566"/>
      <c r="AJ793" s="1566"/>
      <c r="AK793" s="1566"/>
    </row>
    <row r="794" spans="2:37" ht="9.1999999999999993" customHeight="1">
      <c r="J794" s="1568"/>
      <c r="K794" s="1568"/>
      <c r="L794" s="1568"/>
    </row>
    <row r="795" spans="2:37" ht="8.4499999999999993" customHeight="1">
      <c r="B795" s="1568" t="s">
        <v>345</v>
      </c>
      <c r="C795" s="1568"/>
      <c r="D795" s="1568"/>
      <c r="E795" s="1568" t="s">
        <v>1635</v>
      </c>
      <c r="F795" s="1568"/>
      <c r="G795" s="1568"/>
      <c r="H795" s="1568"/>
      <c r="J795" s="1568" t="s">
        <v>1636</v>
      </c>
      <c r="K795" s="1568"/>
      <c r="L795" s="1568"/>
      <c r="M795" s="1566">
        <v>0</v>
      </c>
      <c r="N795" s="1566"/>
      <c r="O795" s="1566"/>
      <c r="P795" s="1566">
        <v>-167471499.56999999</v>
      </c>
      <c r="Q795" s="1566"/>
      <c r="R795" s="1566"/>
      <c r="S795" s="1566">
        <v>0</v>
      </c>
      <c r="T795" s="1566"/>
      <c r="U795" s="1566"/>
      <c r="V795" s="1566"/>
      <c r="W795" s="1566">
        <v>0</v>
      </c>
      <c r="X795" s="1566"/>
      <c r="Y795" s="1566"/>
      <c r="Z795" s="1566"/>
      <c r="AA795" s="1566">
        <v>0</v>
      </c>
      <c r="AB795" s="1566"/>
      <c r="AC795" s="1566"/>
      <c r="AD795" s="1566"/>
      <c r="AE795" s="1566"/>
      <c r="AF795" s="1566"/>
      <c r="AG795" s="1566">
        <v>-167471499.56999999</v>
      </c>
      <c r="AH795" s="1566"/>
      <c r="AI795" s="1566"/>
      <c r="AJ795" s="1566"/>
      <c r="AK795" s="1566"/>
    </row>
    <row r="796" spans="2:37" ht="9.4" customHeight="1">
      <c r="B796" s="1568" t="s">
        <v>345</v>
      </c>
      <c r="C796" s="1568"/>
      <c r="D796" s="1568"/>
      <c r="E796" s="1568" t="s">
        <v>1637</v>
      </c>
      <c r="F796" s="1568"/>
      <c r="G796" s="1568"/>
      <c r="H796" s="1568"/>
      <c r="J796" s="1568" t="s">
        <v>2309</v>
      </c>
      <c r="K796" s="1568"/>
      <c r="L796" s="1568"/>
      <c r="M796" s="1566">
        <v>0</v>
      </c>
      <c r="N796" s="1566"/>
      <c r="O796" s="1566"/>
      <c r="P796" s="1566">
        <v>-167471499.56999999</v>
      </c>
      <c r="Q796" s="1566"/>
      <c r="R796" s="1566"/>
      <c r="S796" s="1566">
        <v>0</v>
      </c>
      <c r="T796" s="1566"/>
      <c r="U796" s="1566"/>
      <c r="V796" s="1566"/>
      <c r="W796" s="1566">
        <v>0</v>
      </c>
      <c r="X796" s="1566"/>
      <c r="Y796" s="1566"/>
      <c r="Z796" s="1566"/>
      <c r="AA796" s="1566">
        <v>0</v>
      </c>
      <c r="AB796" s="1566"/>
      <c r="AC796" s="1566"/>
      <c r="AD796" s="1566"/>
      <c r="AE796" s="1566"/>
      <c r="AF796" s="1566"/>
      <c r="AG796" s="1566">
        <v>-167471499.56999999</v>
      </c>
      <c r="AH796" s="1566"/>
      <c r="AI796" s="1566"/>
      <c r="AJ796" s="1566"/>
      <c r="AK796" s="1566"/>
    </row>
    <row r="797" spans="2:37" ht="9.4" customHeight="1">
      <c r="B797" s="1568" t="s">
        <v>345</v>
      </c>
      <c r="C797" s="1568"/>
      <c r="D797" s="1568"/>
      <c r="E797" s="1568" t="s">
        <v>1638</v>
      </c>
      <c r="F797" s="1568"/>
      <c r="G797" s="1568"/>
      <c r="H797" s="1568"/>
      <c r="J797" s="1568" t="s">
        <v>1639</v>
      </c>
      <c r="K797" s="1568"/>
      <c r="L797" s="1568"/>
      <c r="M797" s="1566">
        <v>0</v>
      </c>
      <c r="N797" s="1566"/>
      <c r="O797" s="1566"/>
      <c r="P797" s="1566">
        <v>188047726.08000001</v>
      </c>
      <c r="Q797" s="1566"/>
      <c r="R797" s="1566"/>
      <c r="S797" s="1566">
        <v>0</v>
      </c>
      <c r="T797" s="1566"/>
      <c r="U797" s="1566"/>
      <c r="V797" s="1566"/>
      <c r="W797" s="1566">
        <v>0</v>
      </c>
      <c r="X797" s="1566"/>
      <c r="Y797" s="1566"/>
      <c r="Z797" s="1566"/>
      <c r="AA797" s="1566">
        <v>0</v>
      </c>
      <c r="AB797" s="1566"/>
      <c r="AC797" s="1566"/>
      <c r="AD797" s="1566"/>
      <c r="AE797" s="1566"/>
      <c r="AF797" s="1566"/>
      <c r="AG797" s="1566">
        <v>188047726.08000001</v>
      </c>
      <c r="AH797" s="1566"/>
      <c r="AI797" s="1566"/>
      <c r="AJ797" s="1566"/>
      <c r="AK797" s="1566"/>
    </row>
    <row r="798" spans="2:37" ht="9.4" customHeight="1">
      <c r="B798" s="1568" t="s">
        <v>345</v>
      </c>
      <c r="C798" s="1568"/>
      <c r="D798" s="1568"/>
      <c r="E798" s="1568" t="s">
        <v>1640</v>
      </c>
      <c r="F798" s="1568"/>
      <c r="G798" s="1568"/>
      <c r="H798" s="1568"/>
      <c r="J798" s="1568" t="s">
        <v>1639</v>
      </c>
      <c r="K798" s="1568"/>
      <c r="L798" s="1568"/>
      <c r="M798" s="1566">
        <v>0</v>
      </c>
      <c r="N798" s="1566"/>
      <c r="O798" s="1566"/>
      <c r="P798" s="1566">
        <v>188047726.08000001</v>
      </c>
      <c r="Q798" s="1566"/>
      <c r="R798" s="1566"/>
      <c r="S798" s="1566">
        <v>0</v>
      </c>
      <c r="T798" s="1566"/>
      <c r="U798" s="1566"/>
      <c r="V798" s="1566"/>
      <c r="W798" s="1566">
        <v>0</v>
      </c>
      <c r="X798" s="1566"/>
      <c r="Y798" s="1566"/>
      <c r="Z798" s="1566"/>
      <c r="AA798" s="1566">
        <v>0</v>
      </c>
      <c r="AB798" s="1566"/>
      <c r="AC798" s="1566"/>
      <c r="AD798" s="1566"/>
      <c r="AE798" s="1566"/>
      <c r="AF798" s="1566"/>
      <c r="AG798" s="1566">
        <v>188047726.08000001</v>
      </c>
      <c r="AH798" s="1566"/>
      <c r="AI798" s="1566"/>
      <c r="AJ798" s="1566"/>
      <c r="AK798" s="1566"/>
    </row>
    <row r="799" spans="2:37" ht="9.4" customHeight="1">
      <c r="B799" s="1568" t="s">
        <v>345</v>
      </c>
      <c r="C799" s="1568"/>
      <c r="D799" s="1568"/>
      <c r="E799" s="1568" t="s">
        <v>2310</v>
      </c>
      <c r="F799" s="1568"/>
      <c r="G799" s="1568"/>
      <c r="H799" s="1568"/>
      <c r="J799" s="1568" t="s">
        <v>615</v>
      </c>
      <c r="K799" s="1568"/>
      <c r="L799" s="1568"/>
      <c r="M799" s="1566">
        <v>0</v>
      </c>
      <c r="N799" s="1566"/>
      <c r="O799" s="1566"/>
      <c r="P799" s="1566">
        <v>22179717.800000001</v>
      </c>
      <c r="Q799" s="1566"/>
      <c r="R799" s="1566"/>
      <c r="S799" s="1566">
        <v>0</v>
      </c>
      <c r="T799" s="1566"/>
      <c r="U799" s="1566"/>
      <c r="V799" s="1566"/>
      <c r="W799" s="1566">
        <v>8268085.0800000001</v>
      </c>
      <c r="X799" s="1566"/>
      <c r="Y799" s="1566"/>
      <c r="Z799" s="1566"/>
      <c r="AA799" s="1566">
        <v>0</v>
      </c>
      <c r="AB799" s="1566"/>
      <c r="AC799" s="1566"/>
      <c r="AD799" s="1566"/>
      <c r="AE799" s="1566"/>
      <c r="AF799" s="1566"/>
      <c r="AG799" s="1566">
        <v>30447802.879999999</v>
      </c>
      <c r="AH799" s="1566"/>
      <c r="AI799" s="1566"/>
      <c r="AJ799" s="1566"/>
      <c r="AK799" s="1566"/>
    </row>
    <row r="800" spans="2:37" ht="9.4" customHeight="1">
      <c r="B800" s="1568" t="s">
        <v>345</v>
      </c>
      <c r="C800" s="1568"/>
      <c r="D800" s="1568"/>
      <c r="E800" s="1568" t="s">
        <v>2311</v>
      </c>
      <c r="F800" s="1568"/>
      <c r="G800" s="1568"/>
      <c r="H800" s="1568"/>
      <c r="J800" s="1568" t="s">
        <v>2312</v>
      </c>
      <c r="K800" s="1568"/>
      <c r="L800" s="1568"/>
      <c r="M800" s="1566">
        <v>0</v>
      </c>
      <c r="N800" s="1566"/>
      <c r="O800" s="1566"/>
      <c r="P800" s="1566">
        <v>20465195.129999999</v>
      </c>
      <c r="Q800" s="1566"/>
      <c r="R800" s="1566"/>
      <c r="S800" s="1566">
        <v>0</v>
      </c>
      <c r="T800" s="1566"/>
      <c r="U800" s="1566"/>
      <c r="V800" s="1566"/>
      <c r="W800" s="1566">
        <v>7305424.6799999997</v>
      </c>
      <c r="X800" s="1566"/>
      <c r="Y800" s="1566"/>
      <c r="Z800" s="1566"/>
      <c r="AA800" s="1566">
        <v>0</v>
      </c>
      <c r="AB800" s="1566"/>
      <c r="AC800" s="1566"/>
      <c r="AD800" s="1566"/>
      <c r="AE800" s="1566"/>
      <c r="AF800" s="1566"/>
      <c r="AG800" s="1566">
        <v>27770619.809999999</v>
      </c>
      <c r="AH800" s="1566"/>
      <c r="AI800" s="1566"/>
      <c r="AJ800" s="1566"/>
      <c r="AK800" s="1566"/>
    </row>
    <row r="801" spans="2:37" ht="9.4" customHeight="1">
      <c r="B801" s="1568" t="s">
        <v>345</v>
      </c>
      <c r="C801" s="1568"/>
      <c r="D801" s="1568"/>
      <c r="E801" s="1568" t="s">
        <v>2313</v>
      </c>
      <c r="F801" s="1568"/>
      <c r="G801" s="1568"/>
      <c r="H801" s="1568"/>
      <c r="J801" s="1568" t="s">
        <v>3004</v>
      </c>
      <c r="K801" s="1568"/>
      <c r="L801" s="1568"/>
      <c r="M801" s="1566">
        <v>0</v>
      </c>
      <c r="N801" s="1566"/>
      <c r="O801" s="1566"/>
      <c r="P801" s="1566">
        <v>20465195.129999999</v>
      </c>
      <c r="Q801" s="1566"/>
      <c r="R801" s="1566"/>
      <c r="S801" s="1566">
        <v>0</v>
      </c>
      <c r="T801" s="1566"/>
      <c r="U801" s="1566"/>
      <c r="V801" s="1566"/>
      <c r="W801" s="1566">
        <v>7305424.6799999997</v>
      </c>
      <c r="X801" s="1566"/>
      <c r="Y801" s="1566"/>
      <c r="Z801" s="1566"/>
      <c r="AA801" s="1566">
        <v>0</v>
      </c>
      <c r="AB801" s="1566"/>
      <c r="AC801" s="1566"/>
      <c r="AD801" s="1566"/>
      <c r="AE801" s="1566"/>
      <c r="AF801" s="1566"/>
      <c r="AG801" s="1566">
        <v>27770619.809999999</v>
      </c>
      <c r="AH801" s="1566"/>
      <c r="AI801" s="1566"/>
      <c r="AJ801" s="1566"/>
      <c r="AK801" s="1566"/>
    </row>
    <row r="802" spans="2:37" ht="9.1999999999999993" customHeight="1">
      <c r="J802" s="1568"/>
      <c r="K802" s="1568"/>
      <c r="L802" s="1568"/>
    </row>
    <row r="803" spans="2:37" ht="8.4499999999999993" customHeight="1">
      <c r="B803" s="1568" t="s">
        <v>345</v>
      </c>
      <c r="C803" s="1568"/>
      <c r="D803" s="1568"/>
      <c r="E803" s="1568" t="s">
        <v>1641</v>
      </c>
      <c r="F803" s="1568"/>
      <c r="G803" s="1568"/>
      <c r="H803" s="1568"/>
      <c r="J803" s="1568" t="s">
        <v>3005</v>
      </c>
      <c r="K803" s="1568"/>
      <c r="L803" s="1568"/>
      <c r="M803" s="1566">
        <v>0</v>
      </c>
      <c r="N803" s="1566"/>
      <c r="O803" s="1566"/>
      <c r="P803" s="1566">
        <v>20465195.129999999</v>
      </c>
      <c r="Q803" s="1566"/>
      <c r="R803" s="1566"/>
      <c r="S803" s="1566">
        <v>0</v>
      </c>
      <c r="T803" s="1566"/>
      <c r="U803" s="1566"/>
      <c r="V803" s="1566"/>
      <c r="W803" s="1566">
        <v>7305424.6799999997</v>
      </c>
      <c r="X803" s="1566"/>
      <c r="Y803" s="1566"/>
      <c r="Z803" s="1566"/>
      <c r="AA803" s="1566">
        <v>0</v>
      </c>
      <c r="AB803" s="1566"/>
      <c r="AC803" s="1566"/>
      <c r="AD803" s="1566"/>
      <c r="AE803" s="1566"/>
      <c r="AF803" s="1566"/>
      <c r="AG803" s="1566">
        <v>27770619.809999999</v>
      </c>
      <c r="AH803" s="1566"/>
      <c r="AI803" s="1566"/>
      <c r="AJ803" s="1566"/>
      <c r="AK803" s="1566"/>
    </row>
    <row r="804" spans="2:37" ht="17.25" customHeight="1">
      <c r="J804" s="1568"/>
      <c r="K804" s="1568"/>
      <c r="L804" s="1568"/>
    </row>
    <row r="805" spans="2:37" ht="8.4499999999999993" customHeight="1">
      <c r="B805" s="1568" t="s">
        <v>345</v>
      </c>
      <c r="C805" s="1568"/>
      <c r="D805" s="1568"/>
      <c r="E805" s="1568" t="s">
        <v>3006</v>
      </c>
      <c r="F805" s="1568"/>
      <c r="G805" s="1568"/>
      <c r="H805" s="1568"/>
      <c r="J805" s="1568" t="s">
        <v>3007</v>
      </c>
      <c r="K805" s="1568"/>
      <c r="L805" s="1568"/>
      <c r="M805" s="1566">
        <v>0</v>
      </c>
      <c r="N805" s="1566"/>
      <c r="O805" s="1566"/>
      <c r="P805" s="1566">
        <v>20183983.120000001</v>
      </c>
      <c r="Q805" s="1566"/>
      <c r="R805" s="1566"/>
      <c r="S805" s="1566">
        <v>0</v>
      </c>
      <c r="T805" s="1566"/>
      <c r="U805" s="1566"/>
      <c r="V805" s="1566"/>
      <c r="W805" s="1566">
        <v>7214273.8799999999</v>
      </c>
      <c r="X805" s="1566"/>
      <c r="Y805" s="1566"/>
      <c r="Z805" s="1566"/>
      <c r="AA805" s="1566">
        <v>0</v>
      </c>
      <c r="AB805" s="1566"/>
      <c r="AC805" s="1566"/>
      <c r="AD805" s="1566"/>
      <c r="AE805" s="1566"/>
      <c r="AF805" s="1566"/>
      <c r="AG805" s="1566">
        <v>27398257</v>
      </c>
      <c r="AH805" s="1566"/>
      <c r="AI805" s="1566"/>
      <c r="AJ805" s="1566"/>
      <c r="AK805" s="1566"/>
    </row>
    <row r="806" spans="2:37" ht="9.1999999999999993" customHeight="1">
      <c r="J806" s="1568"/>
      <c r="K806" s="1568"/>
      <c r="L806" s="1568"/>
    </row>
    <row r="807" spans="2:37" ht="8.4499999999999993" customHeight="1">
      <c r="B807" s="1568" t="s">
        <v>345</v>
      </c>
      <c r="C807" s="1568"/>
      <c r="D807" s="1568"/>
      <c r="E807" s="1568" t="s">
        <v>3008</v>
      </c>
      <c r="F807" s="1568"/>
      <c r="G807" s="1568"/>
      <c r="H807" s="1568"/>
      <c r="J807" s="1568" t="s">
        <v>2316</v>
      </c>
      <c r="K807" s="1568"/>
      <c r="L807" s="1568"/>
      <c r="M807" s="1566">
        <v>0</v>
      </c>
      <c r="N807" s="1566"/>
      <c r="O807" s="1566"/>
      <c r="P807" s="1566">
        <v>893321.68</v>
      </c>
      <c r="Q807" s="1566"/>
      <c r="R807" s="1566"/>
      <c r="S807" s="1566">
        <v>0</v>
      </c>
      <c r="T807" s="1566"/>
      <c r="U807" s="1566"/>
      <c r="V807" s="1566"/>
      <c r="W807" s="1566">
        <v>326904.68</v>
      </c>
      <c r="X807" s="1566"/>
      <c r="Y807" s="1566"/>
      <c r="Z807" s="1566"/>
      <c r="AA807" s="1566">
        <v>0</v>
      </c>
      <c r="AB807" s="1566"/>
      <c r="AC807" s="1566"/>
      <c r="AD807" s="1566"/>
      <c r="AE807" s="1566"/>
      <c r="AF807" s="1566"/>
      <c r="AG807" s="1566">
        <v>1220226.3600000001</v>
      </c>
      <c r="AH807" s="1566"/>
      <c r="AI807" s="1566"/>
      <c r="AJ807" s="1566"/>
      <c r="AK807" s="1566"/>
    </row>
    <row r="808" spans="2:37" ht="9.4" customHeight="1">
      <c r="B808" s="1568" t="s">
        <v>345</v>
      </c>
      <c r="C808" s="1568"/>
      <c r="D808" s="1568"/>
      <c r="E808" s="1568" t="s">
        <v>3009</v>
      </c>
      <c r="F808" s="1568"/>
      <c r="G808" s="1568"/>
      <c r="H808" s="1568"/>
      <c r="J808" s="1568" t="s">
        <v>2318</v>
      </c>
      <c r="K808" s="1568"/>
      <c r="L808" s="1568"/>
      <c r="M808" s="1566">
        <v>0</v>
      </c>
      <c r="N808" s="1566"/>
      <c r="O808" s="1566"/>
      <c r="P808" s="1566">
        <v>13987864.26</v>
      </c>
      <c r="Q808" s="1566"/>
      <c r="R808" s="1566"/>
      <c r="S808" s="1566">
        <v>0</v>
      </c>
      <c r="T808" s="1566"/>
      <c r="U808" s="1566"/>
      <c r="V808" s="1566"/>
      <c r="W808" s="1566">
        <v>4955026.3499999996</v>
      </c>
      <c r="X808" s="1566"/>
      <c r="Y808" s="1566"/>
      <c r="Z808" s="1566"/>
      <c r="AA808" s="1566">
        <v>0</v>
      </c>
      <c r="AB808" s="1566"/>
      <c r="AC808" s="1566"/>
      <c r="AD808" s="1566"/>
      <c r="AE808" s="1566"/>
      <c r="AF808" s="1566"/>
      <c r="AG808" s="1566">
        <v>18942890.609999999</v>
      </c>
      <c r="AH808" s="1566"/>
      <c r="AI808" s="1566"/>
      <c r="AJ808" s="1566"/>
      <c r="AK808" s="1566"/>
    </row>
    <row r="809" spans="2:37" ht="9.4" customHeight="1">
      <c r="B809" s="1568" t="s">
        <v>345</v>
      </c>
      <c r="C809" s="1568"/>
      <c r="D809" s="1568"/>
      <c r="E809" s="1568" t="s">
        <v>3010</v>
      </c>
      <c r="F809" s="1568"/>
      <c r="G809" s="1568"/>
      <c r="H809" s="1568"/>
      <c r="J809" s="1568" t="s">
        <v>2319</v>
      </c>
      <c r="K809" s="1568"/>
      <c r="L809" s="1568"/>
      <c r="M809" s="1566">
        <v>0</v>
      </c>
      <c r="N809" s="1566"/>
      <c r="O809" s="1566"/>
      <c r="P809" s="1566">
        <v>1634712.99</v>
      </c>
      <c r="Q809" s="1566"/>
      <c r="R809" s="1566"/>
      <c r="S809" s="1566">
        <v>0</v>
      </c>
      <c r="T809" s="1566"/>
      <c r="U809" s="1566"/>
      <c r="V809" s="1566"/>
      <c r="W809" s="1566">
        <v>536219.69999999995</v>
      </c>
      <c r="X809" s="1566"/>
      <c r="Y809" s="1566"/>
      <c r="Z809" s="1566"/>
      <c r="AA809" s="1566">
        <v>0</v>
      </c>
      <c r="AB809" s="1566"/>
      <c r="AC809" s="1566"/>
      <c r="AD809" s="1566"/>
      <c r="AE809" s="1566"/>
      <c r="AF809" s="1566"/>
      <c r="AG809" s="1566">
        <v>2170932.69</v>
      </c>
      <c r="AH809" s="1566"/>
      <c r="AI809" s="1566"/>
      <c r="AJ809" s="1566"/>
      <c r="AK809" s="1566"/>
    </row>
    <row r="810" spans="2:37" ht="9.4" customHeight="1">
      <c r="B810" s="1568" t="s">
        <v>345</v>
      </c>
      <c r="C810" s="1568"/>
      <c r="D810" s="1568"/>
      <c r="E810" s="1568" t="s">
        <v>3011</v>
      </c>
      <c r="F810" s="1568"/>
      <c r="G810" s="1568"/>
      <c r="H810" s="1568"/>
      <c r="J810" s="1568" t="s">
        <v>2320</v>
      </c>
      <c r="K810" s="1568"/>
      <c r="L810" s="1568"/>
      <c r="M810" s="1566">
        <v>0</v>
      </c>
      <c r="N810" s="1566"/>
      <c r="O810" s="1566"/>
      <c r="P810" s="1566">
        <v>2776.27</v>
      </c>
      <c r="Q810" s="1566"/>
      <c r="R810" s="1566"/>
      <c r="S810" s="1566">
        <v>0</v>
      </c>
      <c r="T810" s="1566"/>
      <c r="U810" s="1566"/>
      <c r="V810" s="1566"/>
      <c r="W810" s="1566">
        <v>11400.03</v>
      </c>
      <c r="X810" s="1566"/>
      <c r="Y810" s="1566"/>
      <c r="Z810" s="1566"/>
      <c r="AA810" s="1566">
        <v>0</v>
      </c>
      <c r="AB810" s="1566"/>
      <c r="AC810" s="1566"/>
      <c r="AD810" s="1566"/>
      <c r="AE810" s="1566"/>
      <c r="AF810" s="1566"/>
      <c r="AG810" s="1566">
        <v>14176.3</v>
      </c>
      <c r="AH810" s="1566"/>
      <c r="AI810" s="1566"/>
      <c r="AJ810" s="1566"/>
      <c r="AK810" s="1566"/>
    </row>
    <row r="811" spans="2:37" ht="9.4" customHeight="1">
      <c r="B811" s="1568" t="s">
        <v>345</v>
      </c>
      <c r="C811" s="1568"/>
      <c r="D811" s="1568"/>
      <c r="E811" s="1568" t="s">
        <v>6236</v>
      </c>
      <c r="F811" s="1568"/>
      <c r="G811" s="1568"/>
      <c r="H811" s="1568"/>
      <c r="J811" s="1568" t="s">
        <v>6237</v>
      </c>
      <c r="K811" s="1568"/>
      <c r="L811" s="1568"/>
      <c r="M811" s="1566">
        <v>0</v>
      </c>
      <c r="N811" s="1566"/>
      <c r="O811" s="1566"/>
      <c r="P811" s="1566">
        <v>0.03</v>
      </c>
      <c r="Q811" s="1566"/>
      <c r="R811" s="1566"/>
      <c r="S811" s="1566">
        <v>0</v>
      </c>
      <c r="T811" s="1566"/>
      <c r="U811" s="1566"/>
      <c r="V811" s="1566"/>
      <c r="W811" s="1566">
        <v>-0.03</v>
      </c>
      <c r="X811" s="1566"/>
      <c r="Y811" s="1566"/>
      <c r="Z811" s="1566"/>
      <c r="AA811" s="1566">
        <v>0</v>
      </c>
      <c r="AB811" s="1566"/>
      <c r="AC811" s="1566"/>
      <c r="AD811" s="1566"/>
      <c r="AE811" s="1566"/>
      <c r="AF811" s="1566"/>
      <c r="AG811" s="1566">
        <v>0</v>
      </c>
      <c r="AH811" s="1566"/>
      <c r="AI811" s="1566"/>
      <c r="AJ811" s="1566"/>
      <c r="AK811" s="1566"/>
    </row>
    <row r="812" spans="2:37" ht="9.4" customHeight="1">
      <c r="B812" s="1568" t="s">
        <v>345</v>
      </c>
      <c r="C812" s="1568"/>
      <c r="D812" s="1568"/>
      <c r="E812" s="1568" t="s">
        <v>3012</v>
      </c>
      <c r="F812" s="1568"/>
      <c r="G812" s="1568"/>
      <c r="H812" s="1568"/>
      <c r="J812" s="1568" t="s">
        <v>2321</v>
      </c>
      <c r="K812" s="1568"/>
      <c r="L812" s="1568"/>
      <c r="M812" s="1566">
        <v>0</v>
      </c>
      <c r="N812" s="1566"/>
      <c r="O812" s="1566"/>
      <c r="P812" s="1566">
        <v>692062.98</v>
      </c>
      <c r="Q812" s="1566"/>
      <c r="R812" s="1566"/>
      <c r="S812" s="1566">
        <v>0</v>
      </c>
      <c r="T812" s="1566"/>
      <c r="U812" s="1566"/>
      <c r="V812" s="1566"/>
      <c r="W812" s="1566">
        <v>252497.16</v>
      </c>
      <c r="X812" s="1566"/>
      <c r="Y812" s="1566"/>
      <c r="Z812" s="1566"/>
      <c r="AA812" s="1566">
        <v>0</v>
      </c>
      <c r="AB812" s="1566"/>
      <c r="AC812" s="1566"/>
      <c r="AD812" s="1566"/>
      <c r="AE812" s="1566"/>
      <c r="AF812" s="1566"/>
      <c r="AG812" s="1566">
        <v>944560.14</v>
      </c>
      <c r="AH812" s="1566"/>
      <c r="AI812" s="1566"/>
      <c r="AJ812" s="1566"/>
      <c r="AK812" s="1566"/>
    </row>
    <row r="813" spans="2:37" ht="9.4" customHeight="1">
      <c r="B813" s="1568" t="s">
        <v>345</v>
      </c>
      <c r="C813" s="1568"/>
      <c r="D813" s="1568"/>
      <c r="E813" s="1568" t="s">
        <v>3013</v>
      </c>
      <c r="F813" s="1568"/>
      <c r="G813" s="1568"/>
      <c r="H813" s="1568"/>
      <c r="J813" s="1568" t="s">
        <v>2322</v>
      </c>
      <c r="K813" s="1568"/>
      <c r="L813" s="1568"/>
      <c r="M813" s="1566">
        <v>0</v>
      </c>
      <c r="N813" s="1566"/>
      <c r="O813" s="1566"/>
      <c r="P813" s="1566">
        <v>386404.81</v>
      </c>
      <c r="Q813" s="1566"/>
      <c r="R813" s="1566"/>
      <c r="S813" s="1566">
        <v>0</v>
      </c>
      <c r="T813" s="1566"/>
      <c r="U813" s="1566"/>
      <c r="V813" s="1566"/>
      <c r="W813" s="1566">
        <v>129632.74</v>
      </c>
      <c r="X813" s="1566"/>
      <c r="Y813" s="1566"/>
      <c r="Z813" s="1566"/>
      <c r="AA813" s="1566">
        <v>0</v>
      </c>
      <c r="AB813" s="1566"/>
      <c r="AC813" s="1566"/>
      <c r="AD813" s="1566"/>
      <c r="AE813" s="1566"/>
      <c r="AF813" s="1566"/>
      <c r="AG813" s="1566">
        <v>516037.55</v>
      </c>
      <c r="AH813" s="1566"/>
      <c r="AI813" s="1566"/>
      <c r="AJ813" s="1566"/>
      <c r="AK813" s="1566"/>
    </row>
    <row r="814" spans="2:37" ht="9.4" customHeight="1">
      <c r="B814" s="1568" t="s">
        <v>345</v>
      </c>
      <c r="C814" s="1568"/>
      <c r="D814" s="1568"/>
      <c r="E814" s="1568" t="s">
        <v>5991</v>
      </c>
      <c r="F814" s="1568"/>
      <c r="G814" s="1568"/>
      <c r="H814" s="1568"/>
      <c r="J814" s="1568" t="s">
        <v>5992</v>
      </c>
      <c r="K814" s="1568"/>
      <c r="L814" s="1568"/>
      <c r="M814" s="1566">
        <v>0</v>
      </c>
      <c r="N814" s="1566"/>
      <c r="O814" s="1566"/>
      <c r="P814" s="1566">
        <v>400</v>
      </c>
      <c r="Q814" s="1566"/>
      <c r="R814" s="1566"/>
      <c r="S814" s="1566">
        <v>0</v>
      </c>
      <c r="T814" s="1566"/>
      <c r="U814" s="1566"/>
      <c r="V814" s="1566"/>
      <c r="W814" s="1566">
        <v>0</v>
      </c>
      <c r="X814" s="1566"/>
      <c r="Y814" s="1566"/>
      <c r="Z814" s="1566"/>
      <c r="AA814" s="1566">
        <v>0</v>
      </c>
      <c r="AB814" s="1566"/>
      <c r="AC814" s="1566"/>
      <c r="AD814" s="1566"/>
      <c r="AE814" s="1566"/>
      <c r="AF814" s="1566"/>
      <c r="AG814" s="1566">
        <v>400</v>
      </c>
      <c r="AH814" s="1566"/>
      <c r="AI814" s="1566"/>
      <c r="AJ814" s="1566"/>
      <c r="AK814" s="1566"/>
    </row>
    <row r="815" spans="2:37" ht="9.4" customHeight="1">
      <c r="B815" s="1568" t="s">
        <v>345</v>
      </c>
      <c r="C815" s="1568"/>
      <c r="D815" s="1568"/>
      <c r="E815" s="1568" t="s">
        <v>3014</v>
      </c>
      <c r="F815" s="1568"/>
      <c r="G815" s="1568"/>
      <c r="H815" s="1568"/>
      <c r="J815" s="1568" t="s">
        <v>2323</v>
      </c>
      <c r="K815" s="1568"/>
      <c r="L815" s="1568"/>
      <c r="M815" s="1566">
        <v>0</v>
      </c>
      <c r="N815" s="1566"/>
      <c r="O815" s="1566"/>
      <c r="P815" s="1566">
        <v>116909.38</v>
      </c>
      <c r="Q815" s="1566"/>
      <c r="R815" s="1566"/>
      <c r="S815" s="1566">
        <v>0</v>
      </c>
      <c r="T815" s="1566"/>
      <c r="U815" s="1566"/>
      <c r="V815" s="1566"/>
      <c r="W815" s="1566">
        <v>37478.97</v>
      </c>
      <c r="X815" s="1566"/>
      <c r="Y815" s="1566"/>
      <c r="Z815" s="1566"/>
      <c r="AA815" s="1566">
        <v>0</v>
      </c>
      <c r="AB815" s="1566"/>
      <c r="AC815" s="1566"/>
      <c r="AD815" s="1566"/>
      <c r="AE815" s="1566"/>
      <c r="AF815" s="1566"/>
      <c r="AG815" s="1566">
        <v>154388.35</v>
      </c>
      <c r="AH815" s="1566"/>
      <c r="AI815" s="1566"/>
      <c r="AJ815" s="1566"/>
      <c r="AK815" s="1566"/>
    </row>
    <row r="816" spans="2:37" ht="9.4" customHeight="1">
      <c r="B816" s="1568" t="s">
        <v>345</v>
      </c>
      <c r="C816" s="1568"/>
      <c r="D816" s="1568"/>
      <c r="E816" s="1568" t="s">
        <v>3015</v>
      </c>
      <c r="F816" s="1568"/>
      <c r="G816" s="1568"/>
      <c r="H816" s="1568"/>
      <c r="J816" s="1568" t="s">
        <v>2324</v>
      </c>
      <c r="K816" s="1568"/>
      <c r="L816" s="1568"/>
      <c r="M816" s="1566">
        <v>0</v>
      </c>
      <c r="N816" s="1566"/>
      <c r="O816" s="1566"/>
      <c r="P816" s="1566">
        <v>1700716.32</v>
      </c>
      <c r="Q816" s="1566"/>
      <c r="R816" s="1566"/>
      <c r="S816" s="1566">
        <v>0</v>
      </c>
      <c r="T816" s="1566"/>
      <c r="U816" s="1566"/>
      <c r="V816" s="1566"/>
      <c r="W816" s="1566">
        <v>569708.18999999994</v>
      </c>
      <c r="X816" s="1566"/>
      <c r="Y816" s="1566"/>
      <c r="Z816" s="1566"/>
      <c r="AA816" s="1566">
        <v>0</v>
      </c>
      <c r="AB816" s="1566"/>
      <c r="AC816" s="1566"/>
      <c r="AD816" s="1566"/>
      <c r="AE816" s="1566"/>
      <c r="AF816" s="1566"/>
      <c r="AG816" s="1566">
        <v>2270424.5099999998</v>
      </c>
      <c r="AH816" s="1566"/>
      <c r="AI816" s="1566"/>
      <c r="AJ816" s="1566"/>
      <c r="AK816" s="1566"/>
    </row>
    <row r="817" spans="2:37" ht="9.4" customHeight="1">
      <c r="B817" s="1568" t="s">
        <v>345</v>
      </c>
      <c r="C817" s="1568"/>
      <c r="D817" s="1568"/>
      <c r="E817" s="1568" t="s">
        <v>3016</v>
      </c>
      <c r="F817" s="1568"/>
      <c r="G817" s="1568"/>
      <c r="H817" s="1568"/>
      <c r="J817" s="1568" t="s">
        <v>2325</v>
      </c>
      <c r="K817" s="1568"/>
      <c r="L817" s="1568"/>
      <c r="M817" s="1566">
        <v>0</v>
      </c>
      <c r="N817" s="1566"/>
      <c r="O817" s="1566"/>
      <c r="P817" s="1566">
        <v>190465.93</v>
      </c>
      <c r="Q817" s="1566"/>
      <c r="R817" s="1566"/>
      <c r="S817" s="1566">
        <v>0</v>
      </c>
      <c r="T817" s="1566"/>
      <c r="U817" s="1566"/>
      <c r="V817" s="1566"/>
      <c r="W817" s="1566">
        <v>68248.429999999993</v>
      </c>
      <c r="X817" s="1566"/>
      <c r="Y817" s="1566"/>
      <c r="Z817" s="1566"/>
      <c r="AA817" s="1566">
        <v>0</v>
      </c>
      <c r="AB817" s="1566"/>
      <c r="AC817" s="1566"/>
      <c r="AD817" s="1566"/>
      <c r="AE817" s="1566"/>
      <c r="AF817" s="1566"/>
      <c r="AG817" s="1566">
        <v>258714.36</v>
      </c>
      <c r="AH817" s="1566"/>
      <c r="AI817" s="1566"/>
      <c r="AJ817" s="1566"/>
      <c r="AK817" s="1566"/>
    </row>
    <row r="818" spans="2:37" ht="9.4" customHeight="1">
      <c r="B818" s="1568" t="s">
        <v>345</v>
      </c>
      <c r="C818" s="1568"/>
      <c r="D818" s="1568"/>
      <c r="E818" s="1568" t="s">
        <v>6509</v>
      </c>
      <c r="F818" s="1568"/>
      <c r="G818" s="1568"/>
      <c r="H818" s="1568"/>
      <c r="J818" s="1568" t="s">
        <v>6510</v>
      </c>
      <c r="K818" s="1568"/>
      <c r="L818" s="1568"/>
      <c r="M818" s="1566">
        <v>0</v>
      </c>
      <c r="N818" s="1566"/>
      <c r="O818" s="1566"/>
      <c r="P818" s="1566">
        <v>19185.900000000001</v>
      </c>
      <c r="Q818" s="1566"/>
      <c r="R818" s="1566"/>
      <c r="S818" s="1566">
        <v>0</v>
      </c>
      <c r="T818" s="1566"/>
      <c r="U818" s="1566"/>
      <c r="V818" s="1566"/>
      <c r="W818" s="1566">
        <v>0</v>
      </c>
      <c r="X818" s="1566"/>
      <c r="Y818" s="1566"/>
      <c r="Z818" s="1566"/>
      <c r="AA818" s="1566">
        <v>0</v>
      </c>
      <c r="AB818" s="1566"/>
      <c r="AC818" s="1566"/>
      <c r="AD818" s="1566"/>
      <c r="AE818" s="1566"/>
      <c r="AF818" s="1566"/>
      <c r="AG818" s="1566">
        <v>19185.900000000001</v>
      </c>
      <c r="AH818" s="1566"/>
      <c r="AI818" s="1566"/>
      <c r="AJ818" s="1566"/>
      <c r="AK818" s="1566"/>
    </row>
    <row r="819" spans="2:37" ht="9.4" customHeight="1">
      <c r="B819" s="1568" t="s">
        <v>345</v>
      </c>
      <c r="C819" s="1568"/>
      <c r="D819" s="1568"/>
      <c r="E819" s="1568" t="s">
        <v>3017</v>
      </c>
      <c r="F819" s="1568"/>
      <c r="G819" s="1568"/>
      <c r="H819" s="1568"/>
      <c r="J819" s="1568" t="s">
        <v>2326</v>
      </c>
      <c r="K819" s="1568"/>
      <c r="L819" s="1568"/>
      <c r="M819" s="1566">
        <v>0</v>
      </c>
      <c r="N819" s="1566"/>
      <c r="O819" s="1566"/>
      <c r="P819" s="1566">
        <v>78341.119999999995</v>
      </c>
      <c r="Q819" s="1566"/>
      <c r="R819" s="1566"/>
      <c r="S819" s="1566">
        <v>0</v>
      </c>
      <c r="T819" s="1566"/>
      <c r="U819" s="1566"/>
      <c r="V819" s="1566"/>
      <c r="W819" s="1566">
        <v>32953.18</v>
      </c>
      <c r="X819" s="1566"/>
      <c r="Y819" s="1566"/>
      <c r="Z819" s="1566"/>
      <c r="AA819" s="1566">
        <v>0</v>
      </c>
      <c r="AB819" s="1566"/>
      <c r="AC819" s="1566"/>
      <c r="AD819" s="1566"/>
      <c r="AE819" s="1566"/>
      <c r="AF819" s="1566"/>
      <c r="AG819" s="1566">
        <v>111294.3</v>
      </c>
      <c r="AH819" s="1566"/>
      <c r="AI819" s="1566"/>
      <c r="AJ819" s="1566"/>
      <c r="AK819" s="1566"/>
    </row>
    <row r="820" spans="2:37" ht="9.4" customHeight="1">
      <c r="B820" s="1568" t="s">
        <v>345</v>
      </c>
      <c r="C820" s="1568"/>
      <c r="D820" s="1568"/>
      <c r="E820" s="1568" t="s">
        <v>3018</v>
      </c>
      <c r="F820" s="1568"/>
      <c r="G820" s="1568"/>
      <c r="H820" s="1568"/>
      <c r="J820" s="1568" t="s">
        <v>2327</v>
      </c>
      <c r="K820" s="1568"/>
      <c r="L820" s="1568"/>
      <c r="M820" s="1566">
        <v>0</v>
      </c>
      <c r="N820" s="1566"/>
      <c r="O820" s="1566"/>
      <c r="P820" s="1566">
        <v>63890.58</v>
      </c>
      <c r="Q820" s="1566"/>
      <c r="R820" s="1566"/>
      <c r="S820" s="1566">
        <v>0</v>
      </c>
      <c r="T820" s="1566"/>
      <c r="U820" s="1566"/>
      <c r="V820" s="1566"/>
      <c r="W820" s="1566">
        <v>27685.22</v>
      </c>
      <c r="X820" s="1566"/>
      <c r="Y820" s="1566"/>
      <c r="Z820" s="1566"/>
      <c r="AA820" s="1566">
        <v>0</v>
      </c>
      <c r="AB820" s="1566"/>
      <c r="AC820" s="1566"/>
      <c r="AD820" s="1566"/>
      <c r="AE820" s="1566"/>
      <c r="AF820" s="1566"/>
      <c r="AG820" s="1566">
        <v>91575.8</v>
      </c>
      <c r="AH820" s="1566"/>
      <c r="AI820" s="1566"/>
      <c r="AJ820" s="1566"/>
      <c r="AK820" s="1566"/>
    </row>
    <row r="821" spans="2:37" ht="9.4" customHeight="1">
      <c r="B821" s="1568" t="s">
        <v>345</v>
      </c>
      <c r="C821" s="1568"/>
      <c r="D821" s="1568"/>
      <c r="E821" s="1568" t="s">
        <v>3375</v>
      </c>
      <c r="F821" s="1568"/>
      <c r="G821" s="1568"/>
      <c r="H821" s="1568"/>
      <c r="J821" s="1568" t="s">
        <v>2388</v>
      </c>
      <c r="K821" s="1568"/>
      <c r="L821" s="1568"/>
      <c r="M821" s="1566">
        <v>0</v>
      </c>
      <c r="N821" s="1566"/>
      <c r="O821" s="1566"/>
      <c r="P821" s="1566">
        <v>145489.26</v>
      </c>
      <c r="Q821" s="1566"/>
      <c r="R821" s="1566"/>
      <c r="S821" s="1566">
        <v>0</v>
      </c>
      <c r="T821" s="1566"/>
      <c r="U821" s="1566"/>
      <c r="V821" s="1566"/>
      <c r="W821" s="1566">
        <v>93881.1</v>
      </c>
      <c r="X821" s="1566"/>
      <c r="Y821" s="1566"/>
      <c r="Z821" s="1566"/>
      <c r="AA821" s="1566">
        <v>0</v>
      </c>
      <c r="AB821" s="1566"/>
      <c r="AC821" s="1566"/>
      <c r="AD821" s="1566"/>
      <c r="AE821" s="1566"/>
      <c r="AF821" s="1566"/>
      <c r="AG821" s="1566">
        <v>239370.36</v>
      </c>
      <c r="AH821" s="1566"/>
      <c r="AI821" s="1566"/>
      <c r="AJ821" s="1566"/>
      <c r="AK821" s="1566"/>
    </row>
    <row r="822" spans="2:37" ht="9.4" customHeight="1">
      <c r="B822" s="1568" t="s">
        <v>345</v>
      </c>
      <c r="C822" s="1568"/>
      <c r="D822" s="1568"/>
      <c r="E822" s="1568" t="s">
        <v>3019</v>
      </c>
      <c r="F822" s="1568"/>
      <c r="G822" s="1568"/>
      <c r="H822" s="1568"/>
      <c r="J822" s="1568" t="s">
        <v>2328</v>
      </c>
      <c r="K822" s="1568"/>
      <c r="L822" s="1568"/>
      <c r="M822" s="1566">
        <v>0</v>
      </c>
      <c r="N822" s="1566"/>
      <c r="O822" s="1566"/>
      <c r="P822" s="1566">
        <v>271441.61</v>
      </c>
      <c r="Q822" s="1566"/>
      <c r="R822" s="1566"/>
      <c r="S822" s="1566">
        <v>0</v>
      </c>
      <c r="T822" s="1566"/>
      <c r="U822" s="1566"/>
      <c r="V822" s="1566"/>
      <c r="W822" s="1566">
        <v>172638.16</v>
      </c>
      <c r="X822" s="1566"/>
      <c r="Y822" s="1566"/>
      <c r="Z822" s="1566"/>
      <c r="AA822" s="1566">
        <v>0</v>
      </c>
      <c r="AB822" s="1566"/>
      <c r="AC822" s="1566"/>
      <c r="AD822" s="1566"/>
      <c r="AE822" s="1566"/>
      <c r="AF822" s="1566"/>
      <c r="AG822" s="1566">
        <v>444079.77</v>
      </c>
      <c r="AH822" s="1566"/>
      <c r="AI822" s="1566"/>
      <c r="AJ822" s="1566"/>
      <c r="AK822" s="1566"/>
    </row>
    <row r="823" spans="2:37" ht="9.4" customHeight="1">
      <c r="B823" s="1568" t="s">
        <v>345</v>
      </c>
      <c r="C823" s="1568"/>
      <c r="D823" s="1568"/>
      <c r="E823" s="1568" t="s">
        <v>2314</v>
      </c>
      <c r="F823" s="1568"/>
      <c r="G823" s="1568"/>
      <c r="H823" s="1568"/>
      <c r="J823" s="1568" t="s">
        <v>3007</v>
      </c>
      <c r="K823" s="1568"/>
      <c r="L823" s="1568"/>
      <c r="M823" s="1566">
        <v>0</v>
      </c>
      <c r="N823" s="1566"/>
      <c r="O823" s="1566"/>
      <c r="P823" s="1566">
        <v>281212.01</v>
      </c>
      <c r="Q823" s="1566"/>
      <c r="R823" s="1566"/>
      <c r="S823" s="1566">
        <v>0</v>
      </c>
      <c r="T823" s="1566"/>
      <c r="U823" s="1566"/>
      <c r="V823" s="1566"/>
      <c r="W823" s="1566">
        <v>91150.8</v>
      </c>
      <c r="X823" s="1566"/>
      <c r="Y823" s="1566"/>
      <c r="Z823" s="1566"/>
      <c r="AA823" s="1566">
        <v>0</v>
      </c>
      <c r="AB823" s="1566"/>
      <c r="AC823" s="1566"/>
      <c r="AD823" s="1566"/>
      <c r="AE823" s="1566"/>
      <c r="AF823" s="1566"/>
      <c r="AG823" s="1566">
        <v>372362.81</v>
      </c>
      <c r="AH823" s="1566"/>
      <c r="AI823" s="1566"/>
      <c r="AJ823" s="1566"/>
      <c r="AK823" s="1566"/>
    </row>
    <row r="824" spans="2:37" ht="9.1999999999999993" customHeight="1">
      <c r="J824" s="1568"/>
      <c r="K824" s="1568"/>
      <c r="L824" s="1568"/>
    </row>
    <row r="825" spans="2:37" ht="8.4499999999999993" customHeight="1">
      <c r="B825" s="1568" t="s">
        <v>345</v>
      </c>
      <c r="C825" s="1568"/>
      <c r="D825" s="1568"/>
      <c r="E825" s="1568" t="s">
        <v>2315</v>
      </c>
      <c r="F825" s="1568"/>
      <c r="G825" s="1568"/>
      <c r="H825" s="1568"/>
      <c r="J825" s="1568" t="s">
        <v>0</v>
      </c>
      <c r="K825" s="1568"/>
      <c r="L825" s="1568"/>
      <c r="M825" s="1566">
        <v>0</v>
      </c>
      <c r="N825" s="1566"/>
      <c r="O825" s="1566"/>
      <c r="P825" s="1566">
        <v>243426.11</v>
      </c>
      <c r="Q825" s="1566"/>
      <c r="R825" s="1566"/>
      <c r="S825" s="1566">
        <v>0</v>
      </c>
      <c r="T825" s="1566"/>
      <c r="U825" s="1566"/>
      <c r="V825" s="1566"/>
      <c r="W825" s="1566">
        <v>71964.899999999994</v>
      </c>
      <c r="X825" s="1566"/>
      <c r="Y825" s="1566"/>
      <c r="Z825" s="1566"/>
      <c r="AA825" s="1566">
        <v>0</v>
      </c>
      <c r="AB825" s="1566"/>
      <c r="AC825" s="1566"/>
      <c r="AD825" s="1566"/>
      <c r="AE825" s="1566"/>
      <c r="AF825" s="1566"/>
      <c r="AG825" s="1566">
        <v>315391.01</v>
      </c>
      <c r="AH825" s="1566"/>
      <c r="AI825" s="1566"/>
      <c r="AJ825" s="1566"/>
      <c r="AK825" s="1566"/>
    </row>
    <row r="826" spans="2:37" ht="9.4" customHeight="1">
      <c r="B826" s="1568" t="s">
        <v>345</v>
      </c>
      <c r="C826" s="1568"/>
      <c r="D826" s="1568"/>
      <c r="E826" s="1568" t="s">
        <v>3177</v>
      </c>
      <c r="F826" s="1568"/>
      <c r="G826" s="1568"/>
      <c r="H826" s="1568"/>
      <c r="J826" s="1568" t="s">
        <v>3178</v>
      </c>
      <c r="K826" s="1568"/>
      <c r="L826" s="1568"/>
      <c r="M826" s="1566">
        <v>0</v>
      </c>
      <c r="N826" s="1566"/>
      <c r="O826" s="1566"/>
      <c r="P826" s="1566">
        <v>37785.9</v>
      </c>
      <c r="Q826" s="1566"/>
      <c r="R826" s="1566"/>
      <c r="S826" s="1566">
        <v>0</v>
      </c>
      <c r="T826" s="1566"/>
      <c r="U826" s="1566"/>
      <c r="V826" s="1566"/>
      <c r="W826" s="1566">
        <v>19185.900000000001</v>
      </c>
      <c r="X826" s="1566"/>
      <c r="Y826" s="1566"/>
      <c r="Z826" s="1566"/>
      <c r="AA826" s="1566">
        <v>0</v>
      </c>
      <c r="AB826" s="1566"/>
      <c r="AC826" s="1566"/>
      <c r="AD826" s="1566"/>
      <c r="AE826" s="1566"/>
      <c r="AF826" s="1566"/>
      <c r="AG826" s="1566">
        <v>56971.8</v>
      </c>
      <c r="AH826" s="1566"/>
      <c r="AI826" s="1566"/>
      <c r="AJ826" s="1566"/>
      <c r="AK826" s="1566"/>
    </row>
    <row r="827" spans="2:37" ht="9.4" customHeight="1">
      <c r="B827" s="1568" t="s">
        <v>345</v>
      </c>
      <c r="C827" s="1568"/>
      <c r="D827" s="1568"/>
      <c r="E827" s="1568" t="s">
        <v>2329</v>
      </c>
      <c r="F827" s="1568"/>
      <c r="G827" s="1568"/>
      <c r="H827" s="1568"/>
      <c r="J827" s="1568" t="s">
        <v>2330</v>
      </c>
      <c r="K827" s="1568"/>
      <c r="L827" s="1568"/>
      <c r="M827" s="1566">
        <v>0</v>
      </c>
      <c r="N827" s="1566"/>
      <c r="O827" s="1566"/>
      <c r="P827" s="1566">
        <v>1714522.67</v>
      </c>
      <c r="Q827" s="1566"/>
      <c r="R827" s="1566"/>
      <c r="S827" s="1566">
        <v>0</v>
      </c>
      <c r="T827" s="1566"/>
      <c r="U827" s="1566"/>
      <c r="V827" s="1566"/>
      <c r="W827" s="1566">
        <v>962660.4</v>
      </c>
      <c r="X827" s="1566"/>
      <c r="Y827" s="1566"/>
      <c r="Z827" s="1566"/>
      <c r="AA827" s="1566">
        <v>0</v>
      </c>
      <c r="AB827" s="1566"/>
      <c r="AC827" s="1566"/>
      <c r="AD827" s="1566"/>
      <c r="AE827" s="1566"/>
      <c r="AF827" s="1566"/>
      <c r="AG827" s="1566">
        <v>2677183.0699999998</v>
      </c>
      <c r="AH827" s="1566"/>
      <c r="AI827" s="1566"/>
      <c r="AJ827" s="1566"/>
      <c r="AK827" s="1566"/>
    </row>
    <row r="828" spans="2:37" ht="9.4" customHeight="1">
      <c r="B828" s="1568" t="s">
        <v>345</v>
      </c>
      <c r="C828" s="1568"/>
      <c r="D828" s="1568"/>
      <c r="E828" s="1568" t="s">
        <v>2331</v>
      </c>
      <c r="F828" s="1568"/>
      <c r="G828" s="1568"/>
      <c r="H828" s="1568"/>
      <c r="J828" s="1568" t="s">
        <v>2332</v>
      </c>
      <c r="K828" s="1568"/>
      <c r="L828" s="1568"/>
      <c r="M828" s="1566">
        <v>0</v>
      </c>
      <c r="N828" s="1566"/>
      <c r="O828" s="1566"/>
      <c r="P828" s="1566">
        <v>1686632.72</v>
      </c>
      <c r="Q828" s="1566"/>
      <c r="R828" s="1566"/>
      <c r="S828" s="1566">
        <v>0</v>
      </c>
      <c r="T828" s="1566"/>
      <c r="U828" s="1566"/>
      <c r="V828" s="1566"/>
      <c r="W828" s="1566">
        <v>962673.59</v>
      </c>
      <c r="X828" s="1566"/>
      <c r="Y828" s="1566"/>
      <c r="Z828" s="1566"/>
      <c r="AA828" s="1566">
        <v>0</v>
      </c>
      <c r="AB828" s="1566"/>
      <c r="AC828" s="1566"/>
      <c r="AD828" s="1566"/>
      <c r="AE828" s="1566"/>
      <c r="AF828" s="1566"/>
      <c r="AG828" s="1566">
        <v>2649306.31</v>
      </c>
      <c r="AH828" s="1566"/>
      <c r="AI828" s="1566"/>
      <c r="AJ828" s="1566"/>
      <c r="AK828" s="1566"/>
    </row>
    <row r="829" spans="2:37" ht="9.4" customHeight="1">
      <c r="B829" s="1568" t="s">
        <v>345</v>
      </c>
      <c r="C829" s="1568"/>
      <c r="D829" s="1568"/>
      <c r="E829" s="1568" t="s">
        <v>1642</v>
      </c>
      <c r="F829" s="1568"/>
      <c r="G829" s="1568"/>
      <c r="H829" s="1568"/>
      <c r="J829" s="1568" t="s">
        <v>3020</v>
      </c>
      <c r="K829" s="1568"/>
      <c r="L829" s="1568"/>
      <c r="M829" s="1566">
        <v>0</v>
      </c>
      <c r="N829" s="1566"/>
      <c r="O829" s="1566"/>
      <c r="P829" s="1566">
        <v>1686632.72</v>
      </c>
      <c r="Q829" s="1566"/>
      <c r="R829" s="1566"/>
      <c r="S829" s="1566">
        <v>0</v>
      </c>
      <c r="T829" s="1566"/>
      <c r="U829" s="1566"/>
      <c r="V829" s="1566"/>
      <c r="W829" s="1566">
        <v>962673.59</v>
      </c>
      <c r="X829" s="1566"/>
      <c r="Y829" s="1566"/>
      <c r="Z829" s="1566"/>
      <c r="AA829" s="1566">
        <v>0</v>
      </c>
      <c r="AB829" s="1566"/>
      <c r="AC829" s="1566"/>
      <c r="AD829" s="1566"/>
      <c r="AE829" s="1566"/>
      <c r="AF829" s="1566"/>
      <c r="AG829" s="1566">
        <v>2649306.31</v>
      </c>
      <c r="AH829" s="1566"/>
      <c r="AI829" s="1566"/>
      <c r="AJ829" s="1566"/>
      <c r="AK829" s="1566"/>
    </row>
    <row r="830" spans="2:37" ht="9.1999999999999993" customHeight="1">
      <c r="J830" s="1568"/>
      <c r="K830" s="1568"/>
      <c r="L830" s="1568"/>
    </row>
    <row r="831" spans="2:37" ht="8.4499999999999993" customHeight="1">
      <c r="B831" s="1568" t="s">
        <v>345</v>
      </c>
      <c r="C831" s="1568"/>
      <c r="D831" s="1568"/>
      <c r="E831" s="1568" t="s">
        <v>1643</v>
      </c>
      <c r="F831" s="1568"/>
      <c r="G831" s="1568"/>
      <c r="H831" s="1568"/>
      <c r="J831" s="1568" t="s">
        <v>2333</v>
      </c>
      <c r="K831" s="1568"/>
      <c r="L831" s="1568"/>
      <c r="M831" s="1566">
        <v>0</v>
      </c>
      <c r="N831" s="1566"/>
      <c r="O831" s="1566"/>
      <c r="P831" s="1566">
        <v>1628124.34</v>
      </c>
      <c r="Q831" s="1566"/>
      <c r="R831" s="1566"/>
      <c r="S831" s="1566">
        <v>0</v>
      </c>
      <c r="T831" s="1566"/>
      <c r="U831" s="1566"/>
      <c r="V831" s="1566"/>
      <c r="W831" s="1566">
        <v>955136.83</v>
      </c>
      <c r="X831" s="1566"/>
      <c r="Y831" s="1566"/>
      <c r="Z831" s="1566"/>
      <c r="AA831" s="1566">
        <v>0</v>
      </c>
      <c r="AB831" s="1566"/>
      <c r="AC831" s="1566"/>
      <c r="AD831" s="1566"/>
      <c r="AE831" s="1566"/>
      <c r="AF831" s="1566"/>
      <c r="AG831" s="1566">
        <v>2583261.17</v>
      </c>
      <c r="AH831" s="1566"/>
      <c r="AI831" s="1566"/>
      <c r="AJ831" s="1566"/>
      <c r="AK831" s="1566"/>
    </row>
    <row r="832" spans="2:37" ht="9.4" customHeight="1">
      <c r="B832" s="1568" t="s">
        <v>345</v>
      </c>
      <c r="C832" s="1568"/>
      <c r="D832" s="1568"/>
      <c r="E832" s="1568" t="s">
        <v>1644</v>
      </c>
      <c r="F832" s="1568"/>
      <c r="G832" s="1568"/>
      <c r="H832" s="1568"/>
      <c r="J832" s="1568" t="s">
        <v>2334</v>
      </c>
      <c r="K832" s="1568"/>
      <c r="L832" s="1568"/>
      <c r="M832" s="1566">
        <v>0</v>
      </c>
      <c r="N832" s="1566"/>
      <c r="O832" s="1566"/>
      <c r="P832" s="1566">
        <v>5745.1</v>
      </c>
      <c r="Q832" s="1566"/>
      <c r="R832" s="1566"/>
      <c r="S832" s="1566">
        <v>0</v>
      </c>
      <c r="T832" s="1566"/>
      <c r="U832" s="1566"/>
      <c r="V832" s="1566"/>
      <c r="W832" s="1566">
        <v>7536.76</v>
      </c>
      <c r="X832" s="1566"/>
      <c r="Y832" s="1566"/>
      <c r="Z832" s="1566"/>
      <c r="AA832" s="1566">
        <v>0</v>
      </c>
      <c r="AB832" s="1566"/>
      <c r="AC832" s="1566"/>
      <c r="AD832" s="1566"/>
      <c r="AE832" s="1566"/>
      <c r="AF832" s="1566"/>
      <c r="AG832" s="1566">
        <v>13281.86</v>
      </c>
      <c r="AH832" s="1566"/>
      <c r="AI832" s="1566"/>
      <c r="AJ832" s="1566"/>
      <c r="AK832" s="1566"/>
    </row>
    <row r="833" spans="1:38" ht="9.4" customHeight="1">
      <c r="B833" s="1568" t="s">
        <v>345</v>
      </c>
      <c r="C833" s="1568"/>
      <c r="D833" s="1568"/>
      <c r="E833" s="1568" t="s">
        <v>3318</v>
      </c>
      <c r="F833" s="1568"/>
      <c r="G833" s="1568"/>
      <c r="H833" s="1568"/>
      <c r="J833" s="1568" t="s">
        <v>3319</v>
      </c>
      <c r="K833" s="1568"/>
      <c r="L833" s="1568"/>
      <c r="M833" s="1566">
        <v>0</v>
      </c>
      <c r="N833" s="1566"/>
      <c r="O833" s="1566"/>
      <c r="P833" s="1566">
        <v>52763.28</v>
      </c>
      <c r="Q833" s="1566"/>
      <c r="R833" s="1566"/>
      <c r="S833" s="1566">
        <v>0</v>
      </c>
      <c r="T833" s="1566"/>
      <c r="U833" s="1566"/>
      <c r="V833" s="1566"/>
      <c r="W833" s="1566">
        <v>0</v>
      </c>
      <c r="X833" s="1566"/>
      <c r="Y833" s="1566"/>
      <c r="Z833" s="1566"/>
      <c r="AA833" s="1566">
        <v>0</v>
      </c>
      <c r="AB833" s="1566"/>
      <c r="AC833" s="1566"/>
      <c r="AD833" s="1566"/>
      <c r="AE833" s="1566"/>
      <c r="AF833" s="1566"/>
      <c r="AG833" s="1566">
        <v>52763.28</v>
      </c>
      <c r="AH833" s="1566"/>
      <c r="AI833" s="1566"/>
      <c r="AJ833" s="1566"/>
      <c r="AK833" s="1566"/>
    </row>
    <row r="834" spans="1:38" ht="9.4" customHeight="1">
      <c r="B834" s="1568" t="s">
        <v>345</v>
      </c>
      <c r="C834" s="1568"/>
      <c r="D834" s="1568"/>
      <c r="E834" s="1568" t="s">
        <v>2335</v>
      </c>
      <c r="F834" s="1568"/>
      <c r="G834" s="1568"/>
      <c r="H834" s="1568"/>
      <c r="J834" s="1568" t="s">
        <v>1646</v>
      </c>
      <c r="K834" s="1568"/>
      <c r="L834" s="1568"/>
      <c r="M834" s="1566">
        <v>0</v>
      </c>
      <c r="N834" s="1566"/>
      <c r="O834" s="1566"/>
      <c r="P834" s="1566">
        <v>27889.95</v>
      </c>
      <c r="Q834" s="1566"/>
      <c r="R834" s="1566"/>
      <c r="S834" s="1566">
        <v>0</v>
      </c>
      <c r="T834" s="1566"/>
      <c r="U834" s="1566"/>
      <c r="V834" s="1566"/>
      <c r="W834" s="1566">
        <v>-13.19</v>
      </c>
      <c r="X834" s="1566"/>
      <c r="Y834" s="1566"/>
      <c r="Z834" s="1566"/>
      <c r="AA834" s="1566">
        <v>0</v>
      </c>
      <c r="AB834" s="1566"/>
      <c r="AC834" s="1566"/>
      <c r="AD834" s="1566"/>
      <c r="AE834" s="1566"/>
      <c r="AF834" s="1566"/>
      <c r="AG834" s="1566">
        <v>27876.76</v>
      </c>
      <c r="AH834" s="1566"/>
      <c r="AI834" s="1566"/>
      <c r="AJ834" s="1566"/>
      <c r="AK834" s="1566"/>
    </row>
    <row r="835" spans="1:38" ht="9.4" customHeight="1">
      <c r="B835" s="1568" t="s">
        <v>345</v>
      </c>
      <c r="C835" s="1568"/>
      <c r="D835" s="1568"/>
      <c r="E835" s="1568" t="s">
        <v>1645</v>
      </c>
      <c r="F835" s="1568"/>
      <c r="G835" s="1568"/>
      <c r="H835" s="1568"/>
      <c r="J835" s="1568" t="s">
        <v>1646</v>
      </c>
      <c r="K835" s="1568"/>
      <c r="L835" s="1568"/>
      <c r="M835" s="1566">
        <v>0</v>
      </c>
      <c r="N835" s="1566"/>
      <c r="O835" s="1566"/>
      <c r="P835" s="1566">
        <v>27889.95</v>
      </c>
      <c r="Q835" s="1566"/>
      <c r="R835" s="1566"/>
      <c r="S835" s="1566">
        <v>0</v>
      </c>
      <c r="T835" s="1566"/>
      <c r="U835" s="1566"/>
      <c r="V835" s="1566"/>
      <c r="W835" s="1566">
        <v>-13.19</v>
      </c>
      <c r="X835" s="1566"/>
      <c r="Y835" s="1566"/>
      <c r="Z835" s="1566"/>
      <c r="AA835" s="1566">
        <v>0</v>
      </c>
      <c r="AB835" s="1566"/>
      <c r="AC835" s="1566"/>
      <c r="AD835" s="1566"/>
      <c r="AE835" s="1566"/>
      <c r="AF835" s="1566"/>
      <c r="AG835" s="1566">
        <v>27876.76</v>
      </c>
      <c r="AH835" s="1566"/>
      <c r="AI835" s="1566"/>
      <c r="AJ835" s="1566"/>
      <c r="AK835" s="1566"/>
    </row>
    <row r="836" spans="1:38" ht="9.4" customHeight="1">
      <c r="B836" s="1568" t="s">
        <v>345</v>
      </c>
      <c r="C836" s="1568"/>
      <c r="D836" s="1568"/>
      <c r="E836" s="1568" t="s">
        <v>6782</v>
      </c>
      <c r="F836" s="1568"/>
      <c r="G836" s="1568"/>
      <c r="H836" s="1568"/>
      <c r="J836" s="1568" t="s">
        <v>6783</v>
      </c>
      <c r="K836" s="1568"/>
      <c r="L836" s="1568"/>
      <c r="M836" s="1566">
        <v>0</v>
      </c>
      <c r="N836" s="1566"/>
      <c r="O836" s="1566"/>
      <c r="P836" s="1566">
        <v>0</v>
      </c>
      <c r="Q836" s="1566"/>
      <c r="R836" s="1566"/>
      <c r="S836" s="1566">
        <v>0</v>
      </c>
      <c r="T836" s="1566"/>
      <c r="U836" s="1566"/>
      <c r="V836" s="1566"/>
      <c r="W836" s="1566">
        <v>17.46</v>
      </c>
      <c r="X836" s="1566"/>
      <c r="Y836" s="1566"/>
      <c r="Z836" s="1566"/>
      <c r="AA836" s="1566">
        <v>0</v>
      </c>
      <c r="AB836" s="1566"/>
      <c r="AC836" s="1566"/>
      <c r="AD836" s="1566"/>
      <c r="AE836" s="1566"/>
      <c r="AF836" s="1566"/>
      <c r="AG836" s="1566">
        <v>17.46</v>
      </c>
      <c r="AH836" s="1566"/>
      <c r="AI836" s="1566"/>
      <c r="AJ836" s="1566"/>
      <c r="AK836" s="1566"/>
    </row>
    <row r="837" spans="1:38" ht="16.899999999999999" customHeight="1">
      <c r="AG837" s="1565" t="s">
        <v>2383</v>
      </c>
      <c r="AH837" s="1565"/>
      <c r="AI837" s="1565"/>
      <c r="AJ837" s="1565"/>
      <c r="AK837" s="1565"/>
      <c r="AL837" s="1565"/>
    </row>
    <row r="838" spans="1:38" ht="7.15" customHeight="1">
      <c r="D838" s="1578" t="s">
        <v>2992</v>
      </c>
      <c r="E838" s="1578"/>
      <c r="F838" s="1578"/>
      <c r="G838" s="1578"/>
      <c r="H838" s="1578"/>
      <c r="I838" s="1578"/>
      <c r="J838" s="1578"/>
      <c r="K838" s="1578"/>
      <c r="L838" s="1578"/>
      <c r="M838" s="1578"/>
      <c r="N838" s="1578"/>
      <c r="O838" s="1578"/>
      <c r="P838" s="1578"/>
      <c r="Q838" s="1578"/>
      <c r="R838" s="1578"/>
      <c r="S838" s="1578"/>
      <c r="T838" s="1578"/>
      <c r="U838" s="1578"/>
      <c r="V838" s="1578"/>
      <c r="W838" s="1578"/>
      <c r="X838" s="1578"/>
      <c r="Y838" s="1578"/>
      <c r="Z838" s="1578"/>
      <c r="AA838" s="1578"/>
      <c r="AB838" s="1578"/>
      <c r="AC838" s="1578"/>
      <c r="AD838" s="1578"/>
      <c r="AE838" s="1578"/>
      <c r="AF838" s="1578"/>
      <c r="AG838" s="1578"/>
      <c r="AH838" s="1578"/>
    </row>
    <row r="839" spans="1:38" ht="9.6" customHeight="1">
      <c r="A839" s="1579"/>
      <c r="B839" s="1579"/>
      <c r="C839" s="1579"/>
      <c r="D839" s="1579"/>
      <c r="E839" s="1579"/>
      <c r="F839" s="1579"/>
      <c r="G839" s="1579"/>
      <c r="H839" s="1579"/>
      <c r="I839" s="1579"/>
      <c r="J839" s="1578"/>
      <c r="K839" s="1578"/>
      <c r="L839" s="1578"/>
      <c r="M839" s="1578"/>
      <c r="N839" s="1578"/>
      <c r="O839" s="1578"/>
      <c r="P839" s="1578"/>
      <c r="Q839" s="1578"/>
      <c r="R839" s="1578"/>
      <c r="S839" s="1578"/>
      <c r="T839" s="1578"/>
      <c r="U839" s="1578"/>
      <c r="V839" s="1578"/>
      <c r="W839" s="1578"/>
      <c r="X839" s="1578"/>
      <c r="Y839" s="1578"/>
      <c r="Z839" s="1578"/>
      <c r="AA839" s="1578"/>
      <c r="AB839" s="1578"/>
      <c r="AC839" s="1578"/>
      <c r="AD839" s="1578"/>
      <c r="AE839" s="1578"/>
      <c r="AF839" s="1578"/>
      <c r="AG839" s="1578"/>
      <c r="AH839" s="1578"/>
    </row>
    <row r="840" spans="1:38" ht="13.35" customHeight="1">
      <c r="A840" s="1579"/>
      <c r="B840" s="1579"/>
      <c r="C840" s="1579"/>
      <c r="D840" s="1579"/>
      <c r="E840" s="1579"/>
      <c r="F840" s="1579"/>
      <c r="G840" s="1579"/>
      <c r="H840" s="1579"/>
      <c r="I840" s="1579"/>
      <c r="J840" s="1580" t="s">
        <v>79</v>
      </c>
      <c r="K840" s="1580"/>
      <c r="L840" s="1580"/>
      <c r="M840" s="1580"/>
      <c r="N840" s="1580"/>
      <c r="O840" s="1580"/>
      <c r="P840" s="1580"/>
      <c r="Q840" s="1580"/>
      <c r="R840" s="1580"/>
      <c r="S840" s="1580"/>
      <c r="T840" s="1580"/>
      <c r="U840" s="1580"/>
      <c r="V840" s="1580"/>
      <c r="W840" s="1580"/>
      <c r="X840" s="1580"/>
      <c r="Y840" s="1580"/>
      <c r="Z840" s="1580"/>
      <c r="AA840" s="1580"/>
      <c r="AB840" s="1580"/>
      <c r="AC840" s="1580"/>
      <c r="AD840" s="1580"/>
      <c r="AE840" s="1580"/>
      <c r="AF840" s="1580"/>
    </row>
    <row r="841" spans="1:38" ht="5.25" customHeight="1">
      <c r="A841" s="1579"/>
      <c r="B841" s="1579"/>
      <c r="C841" s="1579"/>
      <c r="D841" s="1579"/>
      <c r="E841" s="1579"/>
      <c r="F841" s="1579"/>
      <c r="G841" s="1579"/>
      <c r="H841" s="1579"/>
      <c r="I841" s="1579"/>
      <c r="J841" s="1573" t="s">
        <v>6760</v>
      </c>
      <c r="K841" s="1573"/>
      <c r="L841" s="1573"/>
      <c r="M841" s="1573"/>
      <c r="N841" s="1573"/>
      <c r="O841" s="1573"/>
      <c r="P841" s="1573"/>
      <c r="Q841" s="1573"/>
      <c r="R841" s="1573"/>
      <c r="S841" s="1573"/>
      <c r="T841" s="1573"/>
      <c r="U841" s="1573"/>
      <c r="V841" s="1573"/>
      <c r="W841" s="1573"/>
      <c r="X841" s="1573"/>
      <c r="Y841" s="1573"/>
      <c r="Z841" s="1573"/>
      <c r="AA841" s="1573"/>
      <c r="AB841" s="1573"/>
      <c r="AC841" s="1573"/>
      <c r="AD841" s="1573"/>
      <c r="AE841" s="1573"/>
    </row>
    <row r="842" spans="1:38" ht="8.1" customHeight="1">
      <c r="C842" s="1572" t="s">
        <v>1920</v>
      </c>
      <c r="D842" s="1572"/>
      <c r="E842" s="1572"/>
      <c r="F842" s="1572"/>
      <c r="G842" s="1572"/>
      <c r="H842" s="1572"/>
      <c r="I842" s="1572"/>
      <c r="J842" s="1572"/>
      <c r="K842" s="1573"/>
      <c r="L842" s="1573"/>
      <c r="M842" s="1573"/>
      <c r="N842" s="1573"/>
      <c r="O842" s="1573"/>
      <c r="P842" s="1573"/>
      <c r="Q842" s="1573"/>
      <c r="R842" s="1573"/>
      <c r="S842" s="1573"/>
      <c r="T842" s="1573"/>
      <c r="U842" s="1573"/>
      <c r="V842" s="1573"/>
      <c r="W842" s="1573"/>
      <c r="X842" s="1573"/>
      <c r="Y842" s="1574" t="s">
        <v>5920</v>
      </c>
      <c r="Z842" s="1574"/>
      <c r="AA842" s="1574"/>
      <c r="AB842" s="1574"/>
      <c r="AC842" s="1574"/>
      <c r="AD842" s="1574"/>
      <c r="AE842" s="1574"/>
      <c r="AF842" s="1574"/>
      <c r="AG842" s="1574"/>
      <c r="AH842" s="1575" t="s">
        <v>6761</v>
      </c>
      <c r="AI842" s="1575"/>
      <c r="AJ842" s="1575"/>
      <c r="AK842" s="1575"/>
      <c r="AL842" s="1575"/>
    </row>
    <row r="843" spans="1:38" ht="6" customHeight="1">
      <c r="C843" s="1572"/>
      <c r="D843" s="1572"/>
      <c r="E843" s="1572"/>
      <c r="F843" s="1572"/>
      <c r="G843" s="1572"/>
      <c r="H843" s="1572"/>
      <c r="I843" s="1572"/>
      <c r="J843" s="1572"/>
      <c r="K843" s="1576" t="s">
        <v>1999</v>
      </c>
      <c r="L843" s="1576"/>
      <c r="M843" s="1576"/>
      <c r="N843" s="1576"/>
      <c r="O843" s="1576"/>
      <c r="P843" s="1576"/>
      <c r="Q843" s="1576"/>
      <c r="R843" s="1576"/>
      <c r="S843" s="1576"/>
      <c r="T843" s="1576"/>
      <c r="U843" s="1576"/>
      <c r="V843" s="1576"/>
      <c r="W843" s="1576"/>
      <c r="X843" s="1576"/>
      <c r="Y843" s="1574"/>
      <c r="Z843" s="1574"/>
      <c r="AA843" s="1574"/>
      <c r="AB843" s="1574"/>
      <c r="AC843" s="1574"/>
      <c r="AD843" s="1574"/>
      <c r="AE843" s="1574"/>
      <c r="AF843" s="1574"/>
      <c r="AG843" s="1574"/>
      <c r="AH843" s="1575"/>
      <c r="AI843" s="1575"/>
      <c r="AJ843" s="1575"/>
      <c r="AK843" s="1575"/>
      <c r="AL843" s="1575"/>
    </row>
    <row r="844" spans="1:38" ht="7.35" customHeight="1">
      <c r="C844" s="1572" t="s">
        <v>1998</v>
      </c>
      <c r="D844" s="1572"/>
      <c r="E844" s="1572"/>
      <c r="F844" s="1572"/>
      <c r="G844" s="1577"/>
      <c r="H844" s="1577"/>
      <c r="I844" s="1577"/>
      <c r="J844" s="1577"/>
      <c r="K844" s="1577"/>
      <c r="L844" s="1577"/>
      <c r="M844" s="1577"/>
      <c r="N844" s="1577"/>
      <c r="O844" s="1577"/>
      <c r="P844" s="1577"/>
      <c r="Q844" s="1577"/>
      <c r="R844" s="1577"/>
      <c r="S844" s="1577"/>
      <c r="T844" s="1577"/>
      <c r="U844" s="1577"/>
      <c r="V844" s="1577"/>
      <c r="W844" s="1577"/>
      <c r="X844" s="1577"/>
      <c r="Y844" s="1577"/>
      <c r="Z844" s="1577"/>
      <c r="AA844" s="1577"/>
      <c r="AB844" s="1577"/>
      <c r="AC844" s="1577"/>
      <c r="AD844" s="1577"/>
      <c r="AE844" s="1577"/>
      <c r="AF844" s="1574"/>
      <c r="AG844" s="1574"/>
      <c r="AH844" s="1574" t="s">
        <v>6762</v>
      </c>
      <c r="AI844" s="1574"/>
    </row>
    <row r="845" spans="1:38" ht="6.75" customHeight="1">
      <c r="G845" s="1577"/>
      <c r="H845" s="1577"/>
      <c r="I845" s="1577"/>
      <c r="J845" s="1577"/>
      <c r="K845" s="1577"/>
      <c r="L845" s="1577"/>
      <c r="M845" s="1577"/>
      <c r="N845" s="1577"/>
      <c r="O845" s="1577"/>
      <c r="P845" s="1577"/>
      <c r="Q845" s="1577"/>
      <c r="R845" s="1577"/>
      <c r="S845" s="1577"/>
      <c r="T845" s="1577"/>
      <c r="U845" s="1577"/>
      <c r="V845" s="1577"/>
      <c r="W845" s="1577"/>
      <c r="X845" s="1577"/>
      <c r="Y845" s="1577"/>
      <c r="Z845" s="1577"/>
      <c r="AA845" s="1577"/>
      <c r="AB845" s="1577"/>
      <c r="AC845" s="1577"/>
      <c r="AD845" s="1577"/>
      <c r="AE845" s="1577"/>
      <c r="AF845" s="1574"/>
      <c r="AG845" s="1574"/>
      <c r="AH845" s="1574"/>
      <c r="AI845" s="1574"/>
    </row>
    <row r="846" spans="1:38" ht="11.25" customHeight="1">
      <c r="O846" s="1570" t="s">
        <v>1318</v>
      </c>
      <c r="P846" s="1570"/>
      <c r="Q846" s="1570"/>
      <c r="V846" s="1570" t="s">
        <v>1319</v>
      </c>
      <c r="W846" s="1570"/>
      <c r="X846" s="1570"/>
      <c r="Y846" s="1570"/>
      <c r="AD846" s="1570" t="s">
        <v>1320</v>
      </c>
      <c r="AE846" s="1570"/>
      <c r="AF846" s="1570"/>
      <c r="AG846" s="1570"/>
      <c r="AH846" s="1570"/>
      <c r="AI846" s="1570"/>
      <c r="AJ846" s="1570"/>
    </row>
    <row r="847" spans="1:38" ht="8.4499999999999993" customHeight="1">
      <c r="B847" s="1571" t="s">
        <v>1321</v>
      </c>
      <c r="C847" s="1571"/>
      <c r="D847" s="1571"/>
      <c r="E847" s="1571" t="s">
        <v>1322</v>
      </c>
      <c r="F847" s="1571"/>
      <c r="G847" s="1571"/>
      <c r="J847" s="1571" t="s">
        <v>1323</v>
      </c>
      <c r="K847" s="1571"/>
      <c r="L847" s="1571"/>
      <c r="M847" s="1571"/>
      <c r="N847" s="1571"/>
      <c r="O847" s="1402" t="s">
        <v>1324</v>
      </c>
      <c r="Q847" s="1569" t="s">
        <v>1325</v>
      </c>
      <c r="R847" s="1569"/>
      <c r="U847" s="1569" t="s">
        <v>1324</v>
      </c>
      <c r="V847" s="1569"/>
      <c r="X847" s="1569" t="s">
        <v>1325</v>
      </c>
      <c r="Y847" s="1569"/>
      <c r="Z847" s="1569"/>
      <c r="AC847" s="1569" t="s">
        <v>1324</v>
      </c>
      <c r="AD847" s="1569"/>
      <c r="AE847" s="1569"/>
      <c r="AF847" s="1569"/>
      <c r="AH847" s="1569" t="s">
        <v>1325</v>
      </c>
      <c r="AI847" s="1569"/>
      <c r="AJ847" s="1569"/>
      <c r="AK847" s="1569"/>
    </row>
    <row r="848" spans="1:38" ht="9.9499999999999993" customHeight="1">
      <c r="B848" s="1568" t="s">
        <v>345</v>
      </c>
      <c r="C848" s="1568"/>
      <c r="D848" s="1568"/>
      <c r="E848" s="1568" t="s">
        <v>1647</v>
      </c>
      <c r="F848" s="1568"/>
      <c r="G848" s="1568"/>
      <c r="H848" s="1568"/>
      <c r="J848" s="1568" t="s">
        <v>2336</v>
      </c>
      <c r="K848" s="1568"/>
      <c r="L848" s="1568"/>
      <c r="M848" s="1566">
        <v>0</v>
      </c>
      <c r="N848" s="1566"/>
      <c r="O848" s="1566"/>
      <c r="P848" s="1566">
        <v>27889.95</v>
      </c>
      <c r="Q848" s="1566"/>
      <c r="R848" s="1566"/>
      <c r="S848" s="1566">
        <v>0</v>
      </c>
      <c r="T848" s="1566"/>
      <c r="U848" s="1566"/>
      <c r="V848" s="1566"/>
      <c r="W848" s="1566">
        <v>-30.65</v>
      </c>
      <c r="X848" s="1566"/>
      <c r="Y848" s="1566"/>
      <c r="Z848" s="1566"/>
      <c r="AA848" s="1566">
        <v>0</v>
      </c>
      <c r="AB848" s="1566"/>
      <c r="AC848" s="1566"/>
      <c r="AD848" s="1566"/>
      <c r="AE848" s="1566"/>
      <c r="AF848" s="1566"/>
      <c r="AG848" s="1566">
        <v>27859.3</v>
      </c>
      <c r="AH848" s="1566"/>
      <c r="AI848" s="1566"/>
      <c r="AJ848" s="1566"/>
      <c r="AK848" s="1566"/>
    </row>
    <row r="849" spans="2:37" ht="9.4" customHeight="1">
      <c r="B849" s="1568" t="s">
        <v>1326</v>
      </c>
      <c r="C849" s="1568"/>
      <c r="D849" s="1568"/>
      <c r="E849" s="1568" t="s">
        <v>2337</v>
      </c>
      <c r="F849" s="1568"/>
      <c r="G849" s="1568"/>
      <c r="H849" s="1568"/>
      <c r="J849" s="1568" t="s">
        <v>616</v>
      </c>
      <c r="K849" s="1568"/>
      <c r="L849" s="1568"/>
      <c r="M849" s="1566">
        <v>12357151.27</v>
      </c>
      <c r="N849" s="1566"/>
      <c r="O849" s="1566"/>
      <c r="P849" s="1566">
        <v>0</v>
      </c>
      <c r="Q849" s="1566"/>
      <c r="R849" s="1566"/>
      <c r="S849" s="1566">
        <v>4110807.4</v>
      </c>
      <c r="T849" s="1566"/>
      <c r="U849" s="1566"/>
      <c r="V849" s="1566"/>
      <c r="W849" s="1566">
        <v>0</v>
      </c>
      <c r="X849" s="1566"/>
      <c r="Y849" s="1566"/>
      <c r="Z849" s="1566"/>
      <c r="AA849" s="1566">
        <v>16467958.67</v>
      </c>
      <c r="AB849" s="1566"/>
      <c r="AC849" s="1566"/>
      <c r="AD849" s="1566"/>
      <c r="AE849" s="1566"/>
      <c r="AF849" s="1566"/>
      <c r="AG849" s="1566">
        <v>0</v>
      </c>
      <c r="AH849" s="1566"/>
      <c r="AI849" s="1566"/>
      <c r="AJ849" s="1566"/>
      <c r="AK849" s="1566"/>
    </row>
    <row r="850" spans="2:37" ht="9.4" customHeight="1">
      <c r="B850" s="1568" t="s">
        <v>1326</v>
      </c>
      <c r="C850" s="1568"/>
      <c r="D850" s="1568"/>
      <c r="E850" s="1568" t="s">
        <v>2338</v>
      </c>
      <c r="F850" s="1568"/>
      <c r="G850" s="1568"/>
      <c r="H850" s="1568"/>
      <c r="J850" s="1568" t="s">
        <v>148</v>
      </c>
      <c r="K850" s="1568"/>
      <c r="L850" s="1568"/>
      <c r="M850" s="1566">
        <v>11158354.279999999</v>
      </c>
      <c r="N850" s="1566"/>
      <c r="O850" s="1566"/>
      <c r="P850" s="1566">
        <v>0</v>
      </c>
      <c r="Q850" s="1566"/>
      <c r="R850" s="1566"/>
      <c r="S850" s="1566">
        <v>3702620.56</v>
      </c>
      <c r="T850" s="1566"/>
      <c r="U850" s="1566"/>
      <c r="V850" s="1566"/>
      <c r="W850" s="1566">
        <v>0</v>
      </c>
      <c r="X850" s="1566"/>
      <c r="Y850" s="1566"/>
      <c r="Z850" s="1566"/>
      <c r="AA850" s="1566">
        <v>14860974.84</v>
      </c>
      <c r="AB850" s="1566"/>
      <c r="AC850" s="1566"/>
      <c r="AD850" s="1566"/>
      <c r="AE850" s="1566"/>
      <c r="AF850" s="1566"/>
      <c r="AG850" s="1566">
        <v>0</v>
      </c>
      <c r="AH850" s="1566"/>
      <c r="AI850" s="1566"/>
      <c r="AJ850" s="1566"/>
      <c r="AK850" s="1566"/>
    </row>
    <row r="851" spans="2:37" ht="9.4" customHeight="1">
      <c r="B851" s="1568" t="s">
        <v>1326</v>
      </c>
      <c r="C851" s="1568"/>
      <c r="D851" s="1568"/>
      <c r="E851" s="1568" t="s">
        <v>2339</v>
      </c>
      <c r="F851" s="1568"/>
      <c r="G851" s="1568"/>
      <c r="H851" s="1568"/>
      <c r="J851" s="1568" t="s">
        <v>145</v>
      </c>
      <c r="K851" s="1568"/>
      <c r="L851" s="1568"/>
      <c r="M851" s="1566">
        <v>3260916.44</v>
      </c>
      <c r="N851" s="1566"/>
      <c r="O851" s="1566"/>
      <c r="P851" s="1566">
        <v>0</v>
      </c>
      <c r="Q851" s="1566"/>
      <c r="R851" s="1566"/>
      <c r="S851" s="1566">
        <v>1114900.8999999999</v>
      </c>
      <c r="T851" s="1566"/>
      <c r="U851" s="1566"/>
      <c r="V851" s="1566"/>
      <c r="W851" s="1566">
        <v>0</v>
      </c>
      <c r="X851" s="1566"/>
      <c r="Y851" s="1566"/>
      <c r="Z851" s="1566"/>
      <c r="AA851" s="1566">
        <v>4375817.34</v>
      </c>
      <c r="AB851" s="1566"/>
      <c r="AC851" s="1566"/>
      <c r="AD851" s="1566"/>
      <c r="AE851" s="1566"/>
      <c r="AF851" s="1566"/>
      <c r="AG851" s="1566">
        <v>0</v>
      </c>
      <c r="AH851" s="1566"/>
      <c r="AI851" s="1566"/>
      <c r="AJ851" s="1566"/>
      <c r="AK851" s="1566"/>
    </row>
    <row r="852" spans="2:37" ht="9.4" customHeight="1">
      <c r="B852" s="1568" t="s">
        <v>1326</v>
      </c>
      <c r="C852" s="1568"/>
      <c r="D852" s="1568"/>
      <c r="E852" s="1568" t="s">
        <v>1648</v>
      </c>
      <c r="F852" s="1568"/>
      <c r="G852" s="1568"/>
      <c r="H852" s="1568"/>
      <c r="J852" s="1568" t="s">
        <v>1649</v>
      </c>
      <c r="K852" s="1568"/>
      <c r="L852" s="1568"/>
      <c r="M852" s="1566">
        <v>2502868.5</v>
      </c>
      <c r="N852" s="1566"/>
      <c r="O852" s="1566"/>
      <c r="P852" s="1566">
        <v>0</v>
      </c>
      <c r="Q852" s="1566"/>
      <c r="R852" s="1566"/>
      <c r="S852" s="1566">
        <v>838873.5</v>
      </c>
      <c r="T852" s="1566"/>
      <c r="U852" s="1566"/>
      <c r="V852" s="1566"/>
      <c r="W852" s="1566">
        <v>0</v>
      </c>
      <c r="X852" s="1566"/>
      <c r="Y852" s="1566"/>
      <c r="Z852" s="1566"/>
      <c r="AA852" s="1566">
        <v>3341742</v>
      </c>
      <c r="AB852" s="1566"/>
      <c r="AC852" s="1566"/>
      <c r="AD852" s="1566"/>
      <c r="AE852" s="1566"/>
      <c r="AF852" s="1566"/>
      <c r="AG852" s="1566">
        <v>0</v>
      </c>
      <c r="AH852" s="1566"/>
      <c r="AI852" s="1566"/>
      <c r="AJ852" s="1566"/>
      <c r="AK852" s="1566"/>
    </row>
    <row r="853" spans="2:37" ht="9.1999999999999993" customHeight="1">
      <c r="J853" s="1568"/>
      <c r="K853" s="1568"/>
      <c r="L853" s="1568"/>
    </row>
    <row r="854" spans="2:37" ht="8.4499999999999993" customHeight="1">
      <c r="B854" s="1568" t="s">
        <v>1326</v>
      </c>
      <c r="C854" s="1568"/>
      <c r="D854" s="1568"/>
      <c r="E854" s="1568" t="s">
        <v>2340</v>
      </c>
      <c r="F854" s="1568"/>
      <c r="G854" s="1568"/>
      <c r="H854" s="1568"/>
      <c r="J854" s="1568" t="s">
        <v>2232</v>
      </c>
      <c r="K854" s="1568"/>
      <c r="L854" s="1568"/>
      <c r="M854" s="1566">
        <v>2502868.5</v>
      </c>
      <c r="N854" s="1566"/>
      <c r="O854" s="1566"/>
      <c r="P854" s="1566">
        <v>0</v>
      </c>
      <c r="Q854" s="1566"/>
      <c r="R854" s="1566"/>
      <c r="S854" s="1566">
        <v>838873.5</v>
      </c>
      <c r="T854" s="1566"/>
      <c r="U854" s="1566"/>
      <c r="V854" s="1566"/>
      <c r="W854" s="1566">
        <v>0</v>
      </c>
      <c r="X854" s="1566"/>
      <c r="Y854" s="1566"/>
      <c r="Z854" s="1566"/>
      <c r="AA854" s="1566">
        <v>3341742</v>
      </c>
      <c r="AB854" s="1566"/>
      <c r="AC854" s="1566"/>
      <c r="AD854" s="1566"/>
      <c r="AE854" s="1566"/>
      <c r="AF854" s="1566"/>
      <c r="AG854" s="1566">
        <v>0</v>
      </c>
      <c r="AH854" s="1566"/>
      <c r="AI854" s="1566"/>
      <c r="AJ854" s="1566"/>
      <c r="AK854" s="1566"/>
    </row>
    <row r="855" spans="2:37" ht="9.4" customHeight="1">
      <c r="B855" s="1568" t="s">
        <v>1326</v>
      </c>
      <c r="C855" s="1568"/>
      <c r="D855" s="1568"/>
      <c r="E855" s="1568" t="s">
        <v>1650</v>
      </c>
      <c r="F855" s="1568"/>
      <c r="G855" s="1568"/>
      <c r="H855" s="1568"/>
      <c r="J855" s="1568" t="s">
        <v>1651</v>
      </c>
      <c r="K855" s="1568"/>
      <c r="L855" s="1568"/>
      <c r="M855" s="1566">
        <v>13349.01</v>
      </c>
      <c r="N855" s="1566"/>
      <c r="O855" s="1566"/>
      <c r="P855" s="1566">
        <v>0</v>
      </c>
      <c r="Q855" s="1566"/>
      <c r="R855" s="1566"/>
      <c r="S855" s="1566">
        <v>2026.19</v>
      </c>
      <c r="T855" s="1566"/>
      <c r="U855" s="1566"/>
      <c r="V855" s="1566"/>
      <c r="W855" s="1566">
        <v>0</v>
      </c>
      <c r="X855" s="1566"/>
      <c r="Y855" s="1566"/>
      <c r="Z855" s="1566"/>
      <c r="AA855" s="1566">
        <v>15375.2</v>
      </c>
      <c r="AB855" s="1566"/>
      <c r="AC855" s="1566"/>
      <c r="AD855" s="1566"/>
      <c r="AE855" s="1566"/>
      <c r="AF855" s="1566"/>
      <c r="AG855" s="1566">
        <v>0</v>
      </c>
      <c r="AH855" s="1566"/>
      <c r="AI855" s="1566"/>
      <c r="AJ855" s="1566"/>
      <c r="AK855" s="1566"/>
    </row>
    <row r="856" spans="2:37" ht="9.4" customHeight="1">
      <c r="B856" s="1568" t="s">
        <v>1326</v>
      </c>
      <c r="C856" s="1568"/>
      <c r="D856" s="1568"/>
      <c r="E856" s="1568" t="s">
        <v>2341</v>
      </c>
      <c r="F856" s="1568"/>
      <c r="G856" s="1568"/>
      <c r="H856" s="1568"/>
      <c r="J856" s="1568" t="s">
        <v>1692</v>
      </c>
      <c r="K856" s="1568"/>
      <c r="L856" s="1568"/>
      <c r="M856" s="1566">
        <v>13349.01</v>
      </c>
      <c r="N856" s="1566"/>
      <c r="O856" s="1566"/>
      <c r="P856" s="1566">
        <v>0</v>
      </c>
      <c r="Q856" s="1566"/>
      <c r="R856" s="1566"/>
      <c r="S856" s="1566">
        <v>2026.19</v>
      </c>
      <c r="T856" s="1566"/>
      <c r="U856" s="1566"/>
      <c r="V856" s="1566"/>
      <c r="W856" s="1566">
        <v>0</v>
      </c>
      <c r="X856" s="1566"/>
      <c r="Y856" s="1566"/>
      <c r="Z856" s="1566"/>
      <c r="AA856" s="1566">
        <v>15375.2</v>
      </c>
      <c r="AB856" s="1566"/>
      <c r="AC856" s="1566"/>
      <c r="AD856" s="1566"/>
      <c r="AE856" s="1566"/>
      <c r="AF856" s="1566"/>
      <c r="AG856" s="1566">
        <v>0</v>
      </c>
      <c r="AH856" s="1566"/>
      <c r="AI856" s="1566"/>
      <c r="AJ856" s="1566"/>
      <c r="AK856" s="1566"/>
    </row>
    <row r="857" spans="2:37" ht="9.4" customHeight="1">
      <c r="B857" s="1568" t="s">
        <v>1326</v>
      </c>
      <c r="C857" s="1568"/>
      <c r="D857" s="1568"/>
      <c r="E857" s="1568" t="s">
        <v>1652</v>
      </c>
      <c r="F857" s="1568"/>
      <c r="G857" s="1568"/>
      <c r="H857" s="1568"/>
      <c r="J857" s="1568" t="s">
        <v>1653</v>
      </c>
      <c r="K857" s="1568"/>
      <c r="L857" s="1568"/>
      <c r="M857" s="1566">
        <v>366879.11</v>
      </c>
      <c r="N857" s="1566"/>
      <c r="O857" s="1566"/>
      <c r="P857" s="1566">
        <v>0</v>
      </c>
      <c r="Q857" s="1566"/>
      <c r="R857" s="1566"/>
      <c r="S857" s="1566">
        <v>146320.91</v>
      </c>
      <c r="T857" s="1566"/>
      <c r="U857" s="1566"/>
      <c r="V857" s="1566"/>
      <c r="W857" s="1566">
        <v>0</v>
      </c>
      <c r="X857" s="1566"/>
      <c r="Y857" s="1566"/>
      <c r="Z857" s="1566"/>
      <c r="AA857" s="1566">
        <v>513200.02</v>
      </c>
      <c r="AB857" s="1566"/>
      <c r="AC857" s="1566"/>
      <c r="AD857" s="1566"/>
      <c r="AE857" s="1566"/>
      <c r="AF857" s="1566"/>
      <c r="AG857" s="1566">
        <v>0</v>
      </c>
      <c r="AH857" s="1566"/>
      <c r="AI857" s="1566"/>
      <c r="AJ857" s="1566"/>
      <c r="AK857" s="1566"/>
    </row>
    <row r="858" spans="2:37" ht="9.4" customHeight="1">
      <c r="B858" s="1568" t="s">
        <v>1326</v>
      </c>
      <c r="C858" s="1568"/>
      <c r="D858" s="1568"/>
      <c r="E858" s="1568" t="s">
        <v>2342</v>
      </c>
      <c r="F858" s="1568"/>
      <c r="G858" s="1568"/>
      <c r="H858" s="1568"/>
      <c r="J858" s="1568" t="s">
        <v>2236</v>
      </c>
      <c r="K858" s="1568"/>
      <c r="L858" s="1568"/>
      <c r="M858" s="1566">
        <v>354573.5</v>
      </c>
      <c r="N858" s="1566"/>
      <c r="O858" s="1566"/>
      <c r="P858" s="1566">
        <v>0</v>
      </c>
      <c r="Q858" s="1566"/>
      <c r="R858" s="1566"/>
      <c r="S858" s="1566">
        <v>142219.04</v>
      </c>
      <c r="T858" s="1566"/>
      <c r="U858" s="1566"/>
      <c r="V858" s="1566"/>
      <c r="W858" s="1566">
        <v>0</v>
      </c>
      <c r="X858" s="1566"/>
      <c r="Y858" s="1566"/>
      <c r="Z858" s="1566"/>
      <c r="AA858" s="1566">
        <v>496792.54</v>
      </c>
      <c r="AB858" s="1566"/>
      <c r="AC858" s="1566"/>
      <c r="AD858" s="1566"/>
      <c r="AE858" s="1566"/>
      <c r="AF858" s="1566"/>
      <c r="AG858" s="1566">
        <v>0</v>
      </c>
      <c r="AH858" s="1566"/>
      <c r="AI858" s="1566"/>
      <c r="AJ858" s="1566"/>
      <c r="AK858" s="1566"/>
    </row>
    <row r="859" spans="2:37" ht="9.4" customHeight="1">
      <c r="B859" s="1568" t="s">
        <v>1326</v>
      </c>
      <c r="C859" s="1568"/>
      <c r="D859" s="1568"/>
      <c r="E859" s="1568" t="s">
        <v>2343</v>
      </c>
      <c r="F859" s="1568"/>
      <c r="G859" s="1568"/>
      <c r="H859" s="1568"/>
      <c r="J859" s="1568" t="s">
        <v>2238</v>
      </c>
      <c r="K859" s="1568"/>
      <c r="L859" s="1568"/>
      <c r="M859" s="1566">
        <v>12305.61</v>
      </c>
      <c r="N859" s="1566"/>
      <c r="O859" s="1566"/>
      <c r="P859" s="1566">
        <v>0</v>
      </c>
      <c r="Q859" s="1566"/>
      <c r="R859" s="1566"/>
      <c r="S859" s="1566">
        <v>4101.87</v>
      </c>
      <c r="T859" s="1566"/>
      <c r="U859" s="1566"/>
      <c r="V859" s="1566"/>
      <c r="W859" s="1566">
        <v>0</v>
      </c>
      <c r="X859" s="1566"/>
      <c r="Y859" s="1566"/>
      <c r="Z859" s="1566"/>
      <c r="AA859" s="1566">
        <v>16407.48</v>
      </c>
      <c r="AB859" s="1566"/>
      <c r="AC859" s="1566"/>
      <c r="AD859" s="1566"/>
      <c r="AE859" s="1566"/>
      <c r="AF859" s="1566"/>
      <c r="AG859" s="1566">
        <v>0</v>
      </c>
      <c r="AH859" s="1566"/>
      <c r="AI859" s="1566"/>
      <c r="AJ859" s="1566"/>
      <c r="AK859" s="1566"/>
    </row>
    <row r="860" spans="2:37" ht="9.4" customHeight="1">
      <c r="B860" s="1568" t="s">
        <v>1326</v>
      </c>
      <c r="C860" s="1568"/>
      <c r="D860" s="1568"/>
      <c r="E860" s="1568" t="s">
        <v>1654</v>
      </c>
      <c r="F860" s="1568"/>
      <c r="G860" s="1568"/>
      <c r="H860" s="1568"/>
      <c r="J860" s="1568" t="s">
        <v>1655</v>
      </c>
      <c r="K860" s="1568"/>
      <c r="L860" s="1568"/>
      <c r="M860" s="1566">
        <v>377819.82</v>
      </c>
      <c r="N860" s="1566"/>
      <c r="O860" s="1566"/>
      <c r="P860" s="1566">
        <v>0</v>
      </c>
      <c r="Q860" s="1566"/>
      <c r="R860" s="1566"/>
      <c r="S860" s="1566">
        <v>127680.3</v>
      </c>
      <c r="T860" s="1566"/>
      <c r="U860" s="1566"/>
      <c r="V860" s="1566"/>
      <c r="W860" s="1566">
        <v>0</v>
      </c>
      <c r="X860" s="1566"/>
      <c r="Y860" s="1566"/>
      <c r="Z860" s="1566"/>
      <c r="AA860" s="1566">
        <v>505500.12</v>
      </c>
      <c r="AB860" s="1566"/>
      <c r="AC860" s="1566"/>
      <c r="AD860" s="1566"/>
      <c r="AE860" s="1566"/>
      <c r="AF860" s="1566"/>
      <c r="AG860" s="1566">
        <v>0</v>
      </c>
      <c r="AH860" s="1566"/>
      <c r="AI860" s="1566"/>
      <c r="AJ860" s="1566"/>
      <c r="AK860" s="1566"/>
    </row>
    <row r="861" spans="2:37" ht="9.4" customHeight="1">
      <c r="B861" s="1568" t="s">
        <v>1326</v>
      </c>
      <c r="C861" s="1568"/>
      <c r="D861" s="1568"/>
      <c r="E861" s="1568" t="s">
        <v>2344</v>
      </c>
      <c r="F861" s="1568"/>
      <c r="G861" s="1568"/>
      <c r="H861" s="1568"/>
      <c r="J861" s="1568" t="s">
        <v>2241</v>
      </c>
      <c r="K861" s="1568"/>
      <c r="L861" s="1568"/>
      <c r="M861" s="1566">
        <v>211711.68</v>
      </c>
      <c r="N861" s="1566"/>
      <c r="O861" s="1566"/>
      <c r="P861" s="1566">
        <v>0</v>
      </c>
      <c r="Q861" s="1566"/>
      <c r="R861" s="1566"/>
      <c r="S861" s="1566">
        <v>71762.92</v>
      </c>
      <c r="T861" s="1566"/>
      <c r="U861" s="1566"/>
      <c r="V861" s="1566"/>
      <c r="W861" s="1566">
        <v>0</v>
      </c>
      <c r="X861" s="1566"/>
      <c r="Y861" s="1566"/>
      <c r="Z861" s="1566"/>
      <c r="AA861" s="1566">
        <v>283474.59999999998</v>
      </c>
      <c r="AB861" s="1566"/>
      <c r="AC861" s="1566"/>
      <c r="AD861" s="1566"/>
      <c r="AE861" s="1566"/>
      <c r="AF861" s="1566"/>
      <c r="AG861" s="1566">
        <v>0</v>
      </c>
      <c r="AH861" s="1566"/>
      <c r="AI861" s="1566"/>
      <c r="AJ861" s="1566"/>
      <c r="AK861" s="1566"/>
    </row>
    <row r="862" spans="2:37" ht="9.4" customHeight="1">
      <c r="B862" s="1568" t="s">
        <v>1326</v>
      </c>
      <c r="C862" s="1568"/>
      <c r="D862" s="1568"/>
      <c r="E862" s="1568" t="s">
        <v>2345</v>
      </c>
      <c r="F862" s="1568"/>
      <c r="G862" s="1568"/>
      <c r="H862" s="1568"/>
      <c r="J862" s="1568" t="s">
        <v>1693</v>
      </c>
      <c r="K862" s="1568"/>
      <c r="L862" s="1568"/>
      <c r="M862" s="1566">
        <v>166108.14000000001</v>
      </c>
      <c r="N862" s="1566"/>
      <c r="O862" s="1566"/>
      <c r="P862" s="1566">
        <v>0</v>
      </c>
      <c r="Q862" s="1566"/>
      <c r="R862" s="1566"/>
      <c r="S862" s="1566">
        <v>55917.38</v>
      </c>
      <c r="T862" s="1566"/>
      <c r="U862" s="1566"/>
      <c r="V862" s="1566"/>
      <c r="W862" s="1566">
        <v>0</v>
      </c>
      <c r="X862" s="1566"/>
      <c r="Y862" s="1566"/>
      <c r="Z862" s="1566"/>
      <c r="AA862" s="1566">
        <v>222025.52</v>
      </c>
      <c r="AB862" s="1566"/>
      <c r="AC862" s="1566"/>
      <c r="AD862" s="1566"/>
      <c r="AE862" s="1566"/>
      <c r="AF862" s="1566"/>
      <c r="AG862" s="1566">
        <v>0</v>
      </c>
      <c r="AH862" s="1566"/>
      <c r="AI862" s="1566"/>
      <c r="AJ862" s="1566"/>
      <c r="AK862" s="1566"/>
    </row>
    <row r="863" spans="2:37" ht="9.4" customHeight="1">
      <c r="B863" s="1568" t="s">
        <v>1326</v>
      </c>
      <c r="C863" s="1568"/>
      <c r="D863" s="1568"/>
      <c r="E863" s="1568" t="s">
        <v>2346</v>
      </c>
      <c r="F863" s="1568"/>
      <c r="G863" s="1568"/>
      <c r="H863" s="1568"/>
      <c r="J863" s="1568" t="s">
        <v>146</v>
      </c>
      <c r="K863" s="1568"/>
      <c r="L863" s="1568"/>
      <c r="M863" s="1566">
        <v>188841.28</v>
      </c>
      <c r="N863" s="1566"/>
      <c r="O863" s="1566"/>
      <c r="P863" s="1566">
        <v>0</v>
      </c>
      <c r="Q863" s="1566"/>
      <c r="R863" s="1566"/>
      <c r="S863" s="1566">
        <v>52535.66</v>
      </c>
      <c r="T863" s="1566"/>
      <c r="U863" s="1566"/>
      <c r="V863" s="1566"/>
      <c r="W863" s="1566">
        <v>0</v>
      </c>
      <c r="X863" s="1566"/>
      <c r="Y863" s="1566"/>
      <c r="Z863" s="1566"/>
      <c r="AA863" s="1566">
        <v>241376.94</v>
      </c>
      <c r="AB863" s="1566"/>
      <c r="AC863" s="1566"/>
      <c r="AD863" s="1566"/>
      <c r="AE863" s="1566"/>
      <c r="AF863" s="1566"/>
      <c r="AG863" s="1566">
        <v>0</v>
      </c>
      <c r="AH863" s="1566"/>
      <c r="AI863" s="1566"/>
      <c r="AJ863" s="1566"/>
      <c r="AK863" s="1566"/>
    </row>
    <row r="864" spans="2:37" ht="9.4" customHeight="1">
      <c r="B864" s="1568" t="s">
        <v>1326</v>
      </c>
      <c r="C864" s="1568"/>
      <c r="D864" s="1568"/>
      <c r="E864" s="1568" t="s">
        <v>1656</v>
      </c>
      <c r="F864" s="1568"/>
      <c r="G864" s="1568"/>
      <c r="H864" s="1568"/>
      <c r="J864" s="1568" t="s">
        <v>2347</v>
      </c>
      <c r="K864" s="1568"/>
      <c r="L864" s="1568"/>
      <c r="M864" s="1566">
        <v>50334.03</v>
      </c>
      <c r="N864" s="1566"/>
      <c r="O864" s="1566"/>
      <c r="P864" s="1566">
        <v>0</v>
      </c>
      <c r="Q864" s="1566"/>
      <c r="R864" s="1566"/>
      <c r="S864" s="1566">
        <v>6849.04</v>
      </c>
      <c r="T864" s="1566"/>
      <c r="U864" s="1566"/>
      <c r="V864" s="1566"/>
      <c r="W864" s="1566">
        <v>0</v>
      </c>
      <c r="X864" s="1566"/>
      <c r="Y864" s="1566"/>
      <c r="Z864" s="1566"/>
      <c r="AA864" s="1566">
        <v>57183.07</v>
      </c>
      <c r="AB864" s="1566"/>
      <c r="AC864" s="1566"/>
      <c r="AD864" s="1566"/>
      <c r="AE864" s="1566"/>
      <c r="AF864" s="1566"/>
      <c r="AG864" s="1566">
        <v>0</v>
      </c>
      <c r="AH864" s="1566"/>
      <c r="AI864" s="1566"/>
      <c r="AJ864" s="1566"/>
      <c r="AK864" s="1566"/>
    </row>
    <row r="865" spans="2:37" ht="9.1999999999999993" customHeight="1">
      <c r="J865" s="1568"/>
      <c r="K865" s="1568"/>
      <c r="L865" s="1568"/>
    </row>
    <row r="866" spans="2:37" ht="8.4499999999999993" customHeight="1">
      <c r="B866" s="1568" t="s">
        <v>1326</v>
      </c>
      <c r="C866" s="1568"/>
      <c r="D866" s="1568"/>
      <c r="E866" s="1568" t="s">
        <v>3320</v>
      </c>
      <c r="F866" s="1568"/>
      <c r="G866" s="1568"/>
      <c r="H866" s="1568"/>
      <c r="J866" s="1568" t="s">
        <v>3309</v>
      </c>
      <c r="K866" s="1568"/>
      <c r="L866" s="1568"/>
      <c r="M866" s="1566">
        <v>20783.53</v>
      </c>
      <c r="N866" s="1566"/>
      <c r="O866" s="1566"/>
      <c r="P866" s="1566">
        <v>0</v>
      </c>
      <c r="Q866" s="1566"/>
      <c r="R866" s="1566"/>
      <c r="S866" s="1566">
        <v>1637.94</v>
      </c>
      <c r="T866" s="1566"/>
      <c r="U866" s="1566"/>
      <c r="V866" s="1566"/>
      <c r="W866" s="1566">
        <v>0</v>
      </c>
      <c r="X866" s="1566"/>
      <c r="Y866" s="1566"/>
      <c r="Z866" s="1566"/>
      <c r="AA866" s="1566">
        <v>22421.47</v>
      </c>
      <c r="AB866" s="1566"/>
      <c r="AC866" s="1566"/>
      <c r="AD866" s="1566"/>
      <c r="AE866" s="1566"/>
      <c r="AF866" s="1566"/>
      <c r="AG866" s="1566">
        <v>0</v>
      </c>
      <c r="AH866" s="1566"/>
      <c r="AI866" s="1566"/>
      <c r="AJ866" s="1566"/>
      <c r="AK866" s="1566"/>
    </row>
    <row r="867" spans="2:37" ht="9.4" customHeight="1">
      <c r="B867" s="1568" t="s">
        <v>1326</v>
      </c>
      <c r="C867" s="1568"/>
      <c r="D867" s="1568"/>
      <c r="E867" s="1568" t="s">
        <v>6238</v>
      </c>
      <c r="F867" s="1568"/>
      <c r="G867" s="1568"/>
      <c r="H867" s="1568"/>
      <c r="J867" s="1568" t="s">
        <v>6222</v>
      </c>
      <c r="K867" s="1568"/>
      <c r="L867" s="1568"/>
      <c r="M867" s="1566">
        <v>22375</v>
      </c>
      <c r="N867" s="1566"/>
      <c r="O867" s="1566"/>
      <c r="P867" s="1566">
        <v>0</v>
      </c>
      <c r="Q867" s="1566"/>
      <c r="R867" s="1566"/>
      <c r="S867" s="1566">
        <v>0</v>
      </c>
      <c r="T867" s="1566"/>
      <c r="U867" s="1566"/>
      <c r="V867" s="1566"/>
      <c r="W867" s="1566">
        <v>0</v>
      </c>
      <c r="X867" s="1566"/>
      <c r="Y867" s="1566"/>
      <c r="Z867" s="1566"/>
      <c r="AA867" s="1566">
        <v>22375</v>
      </c>
      <c r="AB867" s="1566"/>
      <c r="AC867" s="1566"/>
      <c r="AD867" s="1566"/>
      <c r="AE867" s="1566"/>
      <c r="AF867" s="1566"/>
      <c r="AG867" s="1566">
        <v>0</v>
      </c>
      <c r="AH867" s="1566"/>
      <c r="AI867" s="1566"/>
      <c r="AJ867" s="1566"/>
      <c r="AK867" s="1566"/>
    </row>
    <row r="868" spans="2:37" ht="9.4" customHeight="1">
      <c r="B868" s="1568" t="s">
        <v>1326</v>
      </c>
      <c r="C868" s="1568"/>
      <c r="D868" s="1568"/>
      <c r="E868" s="1568" t="s">
        <v>6239</v>
      </c>
      <c r="F868" s="1568"/>
      <c r="G868" s="1568"/>
      <c r="H868" s="1568"/>
      <c r="J868" s="1568" t="s">
        <v>6224</v>
      </c>
      <c r="K868" s="1568"/>
      <c r="L868" s="1568"/>
      <c r="M868" s="1566">
        <v>7175.5</v>
      </c>
      <c r="N868" s="1566"/>
      <c r="O868" s="1566"/>
      <c r="P868" s="1566">
        <v>0</v>
      </c>
      <c r="Q868" s="1566"/>
      <c r="R868" s="1566"/>
      <c r="S868" s="1566">
        <v>5211.1000000000004</v>
      </c>
      <c r="T868" s="1566"/>
      <c r="U868" s="1566"/>
      <c r="V868" s="1566"/>
      <c r="W868" s="1566">
        <v>0</v>
      </c>
      <c r="X868" s="1566"/>
      <c r="Y868" s="1566"/>
      <c r="Z868" s="1566"/>
      <c r="AA868" s="1566">
        <v>12386.6</v>
      </c>
      <c r="AB868" s="1566"/>
      <c r="AC868" s="1566"/>
      <c r="AD868" s="1566"/>
      <c r="AE868" s="1566"/>
      <c r="AF868" s="1566"/>
      <c r="AG868" s="1566">
        <v>0</v>
      </c>
      <c r="AH868" s="1566"/>
      <c r="AI868" s="1566"/>
      <c r="AJ868" s="1566"/>
      <c r="AK868" s="1566"/>
    </row>
    <row r="869" spans="2:37" ht="9.4" customHeight="1">
      <c r="B869" s="1568" t="s">
        <v>1326</v>
      </c>
      <c r="C869" s="1568"/>
      <c r="D869" s="1568"/>
      <c r="E869" s="1568" t="s">
        <v>3321</v>
      </c>
      <c r="F869" s="1568"/>
      <c r="G869" s="1568"/>
      <c r="H869" s="1568"/>
      <c r="J869" s="1568" t="s">
        <v>3322</v>
      </c>
      <c r="K869" s="1568"/>
      <c r="L869" s="1568"/>
      <c r="M869" s="1566">
        <v>11801.3</v>
      </c>
      <c r="N869" s="1566"/>
      <c r="O869" s="1566"/>
      <c r="P869" s="1566">
        <v>0</v>
      </c>
      <c r="Q869" s="1566"/>
      <c r="R869" s="1566"/>
      <c r="S869" s="1566">
        <v>4514.6000000000004</v>
      </c>
      <c r="T869" s="1566"/>
      <c r="U869" s="1566"/>
      <c r="V869" s="1566"/>
      <c r="W869" s="1566">
        <v>0</v>
      </c>
      <c r="X869" s="1566"/>
      <c r="Y869" s="1566"/>
      <c r="Z869" s="1566"/>
      <c r="AA869" s="1566">
        <v>16315.9</v>
      </c>
      <c r="AB869" s="1566"/>
      <c r="AC869" s="1566"/>
      <c r="AD869" s="1566"/>
      <c r="AE869" s="1566"/>
      <c r="AF869" s="1566"/>
      <c r="AG869" s="1566">
        <v>0</v>
      </c>
      <c r="AH869" s="1566"/>
      <c r="AI869" s="1566"/>
      <c r="AJ869" s="1566"/>
      <c r="AK869" s="1566"/>
    </row>
    <row r="870" spans="2:37" ht="9.4" customHeight="1">
      <c r="B870" s="1568" t="s">
        <v>1326</v>
      </c>
      <c r="C870" s="1568"/>
      <c r="D870" s="1568"/>
      <c r="E870" s="1568" t="s">
        <v>3323</v>
      </c>
      <c r="F870" s="1568"/>
      <c r="G870" s="1568"/>
      <c r="H870" s="1568"/>
      <c r="J870" s="1568" t="s">
        <v>3311</v>
      </c>
      <c r="K870" s="1568"/>
      <c r="L870" s="1568"/>
      <c r="M870" s="1566">
        <v>11801.3</v>
      </c>
      <c r="N870" s="1566"/>
      <c r="O870" s="1566"/>
      <c r="P870" s="1566">
        <v>0</v>
      </c>
      <c r="Q870" s="1566"/>
      <c r="R870" s="1566"/>
      <c r="S870" s="1566">
        <v>4514.6000000000004</v>
      </c>
      <c r="T870" s="1566"/>
      <c r="U870" s="1566"/>
      <c r="V870" s="1566"/>
      <c r="W870" s="1566">
        <v>0</v>
      </c>
      <c r="X870" s="1566"/>
      <c r="Y870" s="1566"/>
      <c r="Z870" s="1566"/>
      <c r="AA870" s="1566">
        <v>16315.9</v>
      </c>
      <c r="AB870" s="1566"/>
      <c r="AC870" s="1566"/>
      <c r="AD870" s="1566"/>
      <c r="AE870" s="1566"/>
      <c r="AF870" s="1566"/>
      <c r="AG870" s="1566">
        <v>0</v>
      </c>
      <c r="AH870" s="1566"/>
      <c r="AI870" s="1566"/>
      <c r="AJ870" s="1566"/>
      <c r="AK870" s="1566"/>
    </row>
    <row r="871" spans="2:37" ht="9.4" customHeight="1">
      <c r="B871" s="1568" t="s">
        <v>1326</v>
      </c>
      <c r="C871" s="1568"/>
      <c r="D871" s="1568"/>
      <c r="E871" s="1568" t="s">
        <v>1657</v>
      </c>
      <c r="F871" s="1568"/>
      <c r="G871" s="1568"/>
      <c r="H871" s="1568"/>
      <c r="J871" s="1568" t="s">
        <v>1658</v>
      </c>
      <c r="K871" s="1568"/>
      <c r="L871" s="1568"/>
      <c r="M871" s="1566">
        <v>126705.95</v>
      </c>
      <c r="N871" s="1566"/>
      <c r="O871" s="1566"/>
      <c r="P871" s="1566">
        <v>0</v>
      </c>
      <c r="Q871" s="1566"/>
      <c r="R871" s="1566"/>
      <c r="S871" s="1566">
        <v>41172.019999999997</v>
      </c>
      <c r="T871" s="1566"/>
      <c r="U871" s="1566"/>
      <c r="V871" s="1566"/>
      <c r="W871" s="1566">
        <v>0</v>
      </c>
      <c r="X871" s="1566"/>
      <c r="Y871" s="1566"/>
      <c r="Z871" s="1566"/>
      <c r="AA871" s="1566">
        <v>167877.97</v>
      </c>
      <c r="AB871" s="1566"/>
      <c r="AC871" s="1566"/>
      <c r="AD871" s="1566"/>
      <c r="AE871" s="1566"/>
      <c r="AF871" s="1566"/>
      <c r="AG871" s="1566">
        <v>0</v>
      </c>
      <c r="AH871" s="1566"/>
      <c r="AI871" s="1566"/>
      <c r="AJ871" s="1566"/>
      <c r="AK871" s="1566"/>
    </row>
    <row r="872" spans="2:37" ht="9.4" customHeight="1">
      <c r="B872" s="1568" t="s">
        <v>1326</v>
      </c>
      <c r="C872" s="1568"/>
      <c r="D872" s="1568"/>
      <c r="E872" s="1568" t="s">
        <v>2348</v>
      </c>
      <c r="F872" s="1568"/>
      <c r="G872" s="1568"/>
      <c r="H872" s="1568"/>
      <c r="J872" s="1568" t="s">
        <v>1694</v>
      </c>
      <c r="K872" s="1568"/>
      <c r="L872" s="1568"/>
      <c r="M872" s="1566">
        <v>126705.95</v>
      </c>
      <c r="N872" s="1566"/>
      <c r="O872" s="1566"/>
      <c r="P872" s="1566">
        <v>0</v>
      </c>
      <c r="Q872" s="1566"/>
      <c r="R872" s="1566"/>
      <c r="S872" s="1566">
        <v>41172.019999999997</v>
      </c>
      <c r="T872" s="1566"/>
      <c r="U872" s="1566"/>
      <c r="V872" s="1566"/>
      <c r="W872" s="1566">
        <v>0</v>
      </c>
      <c r="X872" s="1566"/>
      <c r="Y872" s="1566"/>
      <c r="Z872" s="1566"/>
      <c r="AA872" s="1566">
        <v>167877.97</v>
      </c>
      <c r="AB872" s="1566"/>
      <c r="AC872" s="1566"/>
      <c r="AD872" s="1566"/>
      <c r="AE872" s="1566"/>
      <c r="AF872" s="1566"/>
      <c r="AG872" s="1566">
        <v>0</v>
      </c>
      <c r="AH872" s="1566"/>
      <c r="AI872" s="1566"/>
      <c r="AJ872" s="1566"/>
      <c r="AK872" s="1566"/>
    </row>
    <row r="873" spans="2:37" ht="9.4" customHeight="1">
      <c r="B873" s="1568" t="s">
        <v>1326</v>
      </c>
      <c r="C873" s="1568"/>
      <c r="D873" s="1568"/>
      <c r="E873" s="1568" t="s">
        <v>2349</v>
      </c>
      <c r="F873" s="1568"/>
      <c r="G873" s="1568"/>
      <c r="H873" s="1568"/>
      <c r="J873" s="1568" t="s">
        <v>147</v>
      </c>
      <c r="K873" s="1568"/>
      <c r="L873" s="1568"/>
      <c r="M873" s="1566">
        <v>7708596.5599999996</v>
      </c>
      <c r="N873" s="1566"/>
      <c r="O873" s="1566"/>
      <c r="P873" s="1566">
        <v>0</v>
      </c>
      <c r="Q873" s="1566"/>
      <c r="R873" s="1566"/>
      <c r="S873" s="1566">
        <v>2535184</v>
      </c>
      <c r="T873" s="1566"/>
      <c r="U873" s="1566"/>
      <c r="V873" s="1566"/>
      <c r="W873" s="1566">
        <v>0</v>
      </c>
      <c r="X873" s="1566"/>
      <c r="Y873" s="1566"/>
      <c r="Z873" s="1566"/>
      <c r="AA873" s="1566">
        <v>10243780.560000001</v>
      </c>
      <c r="AB873" s="1566"/>
      <c r="AC873" s="1566"/>
      <c r="AD873" s="1566"/>
      <c r="AE873" s="1566"/>
      <c r="AF873" s="1566"/>
      <c r="AG873" s="1566">
        <v>0</v>
      </c>
      <c r="AH873" s="1566"/>
      <c r="AI873" s="1566"/>
      <c r="AJ873" s="1566"/>
      <c r="AK873" s="1566"/>
    </row>
    <row r="874" spans="2:37" ht="9.4" customHeight="1">
      <c r="B874" s="1568" t="s">
        <v>1326</v>
      </c>
      <c r="C874" s="1568"/>
      <c r="D874" s="1568"/>
      <c r="E874" s="1568" t="s">
        <v>1659</v>
      </c>
      <c r="F874" s="1568"/>
      <c r="G874" s="1568"/>
      <c r="H874" s="1568"/>
      <c r="J874" s="1568" t="s">
        <v>1660</v>
      </c>
      <c r="K874" s="1568"/>
      <c r="L874" s="1568"/>
      <c r="M874" s="1566">
        <v>1694834.85</v>
      </c>
      <c r="N874" s="1566"/>
      <c r="O874" s="1566"/>
      <c r="P874" s="1566">
        <v>0</v>
      </c>
      <c r="Q874" s="1566"/>
      <c r="R874" s="1566"/>
      <c r="S874" s="1566">
        <v>952759.84</v>
      </c>
      <c r="T874" s="1566"/>
      <c r="U874" s="1566"/>
      <c r="V874" s="1566"/>
      <c r="W874" s="1566">
        <v>0</v>
      </c>
      <c r="X874" s="1566"/>
      <c r="Y874" s="1566"/>
      <c r="Z874" s="1566"/>
      <c r="AA874" s="1566">
        <v>2647594.69</v>
      </c>
      <c r="AB874" s="1566"/>
      <c r="AC874" s="1566"/>
      <c r="AD874" s="1566"/>
      <c r="AE874" s="1566"/>
      <c r="AF874" s="1566"/>
      <c r="AG874" s="1566">
        <v>0</v>
      </c>
      <c r="AH874" s="1566"/>
      <c r="AI874" s="1566"/>
      <c r="AJ874" s="1566"/>
      <c r="AK874" s="1566"/>
    </row>
    <row r="875" spans="2:37" ht="9.4" customHeight="1">
      <c r="B875" s="1568" t="s">
        <v>1326</v>
      </c>
      <c r="C875" s="1568"/>
      <c r="D875" s="1568"/>
      <c r="E875" s="1568" t="s">
        <v>2351</v>
      </c>
      <c r="F875" s="1568"/>
      <c r="G875" s="1568"/>
      <c r="H875" s="1568"/>
      <c r="J875" s="1568" t="s">
        <v>2247</v>
      </c>
      <c r="K875" s="1568"/>
      <c r="L875" s="1568"/>
      <c r="M875" s="1566">
        <v>1598246.17</v>
      </c>
      <c r="N875" s="1566"/>
      <c r="O875" s="1566"/>
      <c r="P875" s="1566">
        <v>0</v>
      </c>
      <c r="Q875" s="1566"/>
      <c r="R875" s="1566"/>
      <c r="S875" s="1566">
        <v>576131.15</v>
      </c>
      <c r="T875" s="1566"/>
      <c r="U875" s="1566"/>
      <c r="V875" s="1566"/>
      <c r="W875" s="1566">
        <v>0</v>
      </c>
      <c r="X875" s="1566"/>
      <c r="Y875" s="1566"/>
      <c r="Z875" s="1566"/>
      <c r="AA875" s="1566">
        <v>2174377.3199999998</v>
      </c>
      <c r="AB875" s="1566"/>
      <c r="AC875" s="1566"/>
      <c r="AD875" s="1566"/>
      <c r="AE875" s="1566"/>
      <c r="AF875" s="1566"/>
      <c r="AG875" s="1566">
        <v>0</v>
      </c>
      <c r="AH875" s="1566"/>
      <c r="AI875" s="1566"/>
      <c r="AJ875" s="1566"/>
      <c r="AK875" s="1566"/>
    </row>
    <row r="876" spans="2:37" ht="9.4" customHeight="1">
      <c r="B876" s="1568" t="s">
        <v>1326</v>
      </c>
      <c r="C876" s="1568"/>
      <c r="D876" s="1568"/>
      <c r="E876" s="1568" t="s">
        <v>6240</v>
      </c>
      <c r="F876" s="1568"/>
      <c r="G876" s="1568"/>
      <c r="H876" s="1568"/>
      <c r="J876" s="1568" t="s">
        <v>6226</v>
      </c>
      <c r="K876" s="1568"/>
      <c r="L876" s="1568"/>
      <c r="M876" s="1566">
        <v>11095.77</v>
      </c>
      <c r="N876" s="1566"/>
      <c r="O876" s="1566"/>
      <c r="P876" s="1566">
        <v>0</v>
      </c>
      <c r="Q876" s="1566"/>
      <c r="R876" s="1566"/>
      <c r="S876" s="1566">
        <v>1407.75</v>
      </c>
      <c r="T876" s="1566"/>
      <c r="U876" s="1566"/>
      <c r="V876" s="1566"/>
      <c r="W876" s="1566">
        <v>0</v>
      </c>
      <c r="X876" s="1566"/>
      <c r="Y876" s="1566"/>
      <c r="Z876" s="1566"/>
      <c r="AA876" s="1566">
        <v>12503.52</v>
      </c>
      <c r="AB876" s="1566"/>
      <c r="AC876" s="1566"/>
      <c r="AD876" s="1566"/>
      <c r="AE876" s="1566"/>
      <c r="AF876" s="1566"/>
      <c r="AG876" s="1566">
        <v>0</v>
      </c>
      <c r="AH876" s="1566"/>
      <c r="AI876" s="1566"/>
      <c r="AJ876" s="1566"/>
      <c r="AK876" s="1566"/>
    </row>
    <row r="877" spans="2:37" ht="9.4" customHeight="1">
      <c r="B877" s="1568" t="s">
        <v>1326</v>
      </c>
      <c r="C877" s="1568"/>
      <c r="D877" s="1568"/>
      <c r="E877" s="1568" t="s">
        <v>2352</v>
      </c>
      <c r="F877" s="1568"/>
      <c r="G877" s="1568"/>
      <c r="H877" s="1568"/>
      <c r="J877" s="1568" t="s">
        <v>246</v>
      </c>
      <c r="K877" s="1568"/>
      <c r="L877" s="1568"/>
      <c r="M877" s="1566">
        <v>32479.88</v>
      </c>
      <c r="N877" s="1566"/>
      <c r="O877" s="1566"/>
      <c r="P877" s="1566">
        <v>0</v>
      </c>
      <c r="Q877" s="1566"/>
      <c r="R877" s="1566"/>
      <c r="S877" s="1566">
        <v>350180.8</v>
      </c>
      <c r="T877" s="1566"/>
      <c r="U877" s="1566"/>
      <c r="V877" s="1566"/>
      <c r="W877" s="1566">
        <v>0</v>
      </c>
      <c r="X877" s="1566"/>
      <c r="Y877" s="1566"/>
      <c r="Z877" s="1566"/>
      <c r="AA877" s="1566">
        <v>382660.68</v>
      </c>
      <c r="AB877" s="1566"/>
      <c r="AC877" s="1566"/>
      <c r="AD877" s="1566"/>
      <c r="AE877" s="1566"/>
      <c r="AF877" s="1566"/>
      <c r="AG877" s="1566">
        <v>0</v>
      </c>
      <c r="AH877" s="1566"/>
      <c r="AI877" s="1566"/>
      <c r="AJ877" s="1566"/>
      <c r="AK877" s="1566"/>
    </row>
    <row r="878" spans="2:37" ht="9.4" customHeight="1">
      <c r="B878" s="1568" t="s">
        <v>1326</v>
      </c>
      <c r="C878" s="1568"/>
      <c r="D878" s="1568"/>
      <c r="E878" s="1568" t="s">
        <v>3324</v>
      </c>
      <c r="F878" s="1568"/>
      <c r="G878" s="1568"/>
      <c r="H878" s="1568"/>
      <c r="J878" s="1568" t="s">
        <v>3313</v>
      </c>
      <c r="K878" s="1568"/>
      <c r="L878" s="1568"/>
      <c r="M878" s="1566">
        <v>49473.279999999999</v>
      </c>
      <c r="N878" s="1566"/>
      <c r="O878" s="1566"/>
      <c r="P878" s="1566">
        <v>0</v>
      </c>
      <c r="Q878" s="1566"/>
      <c r="R878" s="1566"/>
      <c r="S878" s="1566">
        <v>24776.53</v>
      </c>
      <c r="T878" s="1566"/>
      <c r="U878" s="1566"/>
      <c r="V878" s="1566"/>
      <c r="W878" s="1566">
        <v>0</v>
      </c>
      <c r="X878" s="1566"/>
      <c r="Y878" s="1566"/>
      <c r="Z878" s="1566"/>
      <c r="AA878" s="1566">
        <v>74249.81</v>
      </c>
      <c r="AB878" s="1566"/>
      <c r="AC878" s="1566"/>
      <c r="AD878" s="1566"/>
      <c r="AE878" s="1566"/>
      <c r="AF878" s="1566"/>
      <c r="AG878" s="1566">
        <v>0</v>
      </c>
      <c r="AH878" s="1566"/>
      <c r="AI878" s="1566"/>
      <c r="AJ878" s="1566"/>
      <c r="AK878" s="1566"/>
    </row>
    <row r="879" spans="2:37" ht="9.4" customHeight="1">
      <c r="B879" s="1568" t="s">
        <v>1326</v>
      </c>
      <c r="C879" s="1568"/>
      <c r="D879" s="1568"/>
      <c r="E879" s="1568" t="s">
        <v>4082</v>
      </c>
      <c r="F879" s="1568"/>
      <c r="G879" s="1568"/>
      <c r="H879" s="1568"/>
      <c r="J879" s="1568" t="s">
        <v>4081</v>
      </c>
      <c r="K879" s="1568"/>
      <c r="L879" s="1568"/>
      <c r="M879" s="1566">
        <v>3539.75</v>
      </c>
      <c r="N879" s="1566"/>
      <c r="O879" s="1566"/>
      <c r="P879" s="1566">
        <v>0</v>
      </c>
      <c r="Q879" s="1566"/>
      <c r="R879" s="1566"/>
      <c r="S879" s="1566">
        <v>263.61</v>
      </c>
      <c r="T879" s="1566"/>
      <c r="U879" s="1566"/>
      <c r="V879" s="1566"/>
      <c r="W879" s="1566">
        <v>0</v>
      </c>
      <c r="X879" s="1566"/>
      <c r="Y879" s="1566"/>
      <c r="Z879" s="1566"/>
      <c r="AA879" s="1566">
        <v>3803.36</v>
      </c>
      <c r="AB879" s="1566"/>
      <c r="AC879" s="1566"/>
      <c r="AD879" s="1566"/>
      <c r="AE879" s="1566"/>
      <c r="AF879" s="1566"/>
      <c r="AG879" s="1566">
        <v>0</v>
      </c>
      <c r="AH879" s="1566"/>
      <c r="AI879" s="1566"/>
      <c r="AJ879" s="1566"/>
      <c r="AK879" s="1566"/>
    </row>
    <row r="880" spans="2:37" ht="9.4" customHeight="1">
      <c r="B880" s="1568" t="s">
        <v>1326</v>
      </c>
      <c r="C880" s="1568"/>
      <c r="D880" s="1568"/>
      <c r="E880" s="1568" t="s">
        <v>6241</v>
      </c>
      <c r="F880" s="1568"/>
      <c r="G880" s="1568"/>
      <c r="H880" s="1568"/>
      <c r="J880" s="1568" t="s">
        <v>6242</v>
      </c>
      <c r="K880" s="1568"/>
      <c r="L880" s="1568"/>
      <c r="M880" s="1566">
        <v>5850</v>
      </c>
      <c r="N880" s="1566"/>
      <c r="O880" s="1566"/>
      <c r="P880" s="1566">
        <v>0</v>
      </c>
      <c r="Q880" s="1566"/>
      <c r="R880" s="1566"/>
      <c r="S880" s="1566">
        <v>3000</v>
      </c>
      <c r="T880" s="1566"/>
      <c r="U880" s="1566"/>
      <c r="V880" s="1566"/>
      <c r="W880" s="1566">
        <v>0</v>
      </c>
      <c r="X880" s="1566"/>
      <c r="Y880" s="1566"/>
      <c r="Z880" s="1566"/>
      <c r="AA880" s="1566">
        <v>8850</v>
      </c>
      <c r="AB880" s="1566"/>
      <c r="AC880" s="1566"/>
      <c r="AD880" s="1566"/>
      <c r="AE880" s="1566"/>
      <c r="AF880" s="1566"/>
      <c r="AG880" s="1566">
        <v>0</v>
      </c>
      <c r="AH880" s="1566"/>
      <c r="AI880" s="1566"/>
      <c r="AJ880" s="1566"/>
      <c r="AK880" s="1566"/>
    </row>
    <row r="881" spans="2:37" ht="9.4" customHeight="1">
      <c r="B881" s="1568" t="s">
        <v>1326</v>
      </c>
      <c r="C881" s="1568"/>
      <c r="D881" s="1568"/>
      <c r="E881" s="1568" t="s">
        <v>6243</v>
      </c>
      <c r="F881" s="1568"/>
      <c r="G881" s="1568"/>
      <c r="H881" s="1568"/>
      <c r="J881" s="1568" t="s">
        <v>6228</v>
      </c>
      <c r="K881" s="1568"/>
      <c r="L881" s="1568"/>
      <c r="M881" s="1566">
        <v>5850</v>
      </c>
      <c r="N881" s="1566"/>
      <c r="O881" s="1566"/>
      <c r="P881" s="1566">
        <v>0</v>
      </c>
      <c r="Q881" s="1566"/>
      <c r="R881" s="1566"/>
      <c r="S881" s="1566">
        <v>3000</v>
      </c>
      <c r="T881" s="1566"/>
      <c r="U881" s="1566"/>
      <c r="V881" s="1566"/>
      <c r="W881" s="1566">
        <v>0</v>
      </c>
      <c r="X881" s="1566"/>
      <c r="Y881" s="1566"/>
      <c r="Z881" s="1566"/>
      <c r="AA881" s="1566">
        <v>8850</v>
      </c>
      <c r="AB881" s="1566"/>
      <c r="AC881" s="1566"/>
      <c r="AD881" s="1566"/>
      <c r="AE881" s="1566"/>
      <c r="AF881" s="1566"/>
      <c r="AG881" s="1566">
        <v>0</v>
      </c>
      <c r="AH881" s="1566"/>
      <c r="AI881" s="1566"/>
      <c r="AJ881" s="1566"/>
      <c r="AK881" s="1566"/>
    </row>
    <row r="882" spans="2:37" ht="9.4" customHeight="1">
      <c r="B882" s="1568" t="s">
        <v>1326</v>
      </c>
      <c r="C882" s="1568"/>
      <c r="D882" s="1568"/>
      <c r="E882" s="1568" t="s">
        <v>1661</v>
      </c>
      <c r="F882" s="1568"/>
      <c r="G882" s="1568"/>
      <c r="H882" s="1568"/>
      <c r="J882" s="1568" t="s">
        <v>2353</v>
      </c>
      <c r="K882" s="1568"/>
      <c r="L882" s="1568"/>
      <c r="M882" s="1566">
        <v>1552318.47</v>
      </c>
      <c r="N882" s="1566"/>
      <c r="O882" s="1566"/>
      <c r="P882" s="1566">
        <v>0</v>
      </c>
      <c r="Q882" s="1566"/>
      <c r="R882" s="1566"/>
      <c r="S882" s="1566">
        <v>652964.1</v>
      </c>
      <c r="T882" s="1566"/>
      <c r="U882" s="1566"/>
      <c r="V882" s="1566"/>
      <c r="W882" s="1566">
        <v>0</v>
      </c>
      <c r="X882" s="1566"/>
      <c r="Y882" s="1566"/>
      <c r="Z882" s="1566"/>
      <c r="AA882" s="1566">
        <v>2205282.5699999998</v>
      </c>
      <c r="AB882" s="1566"/>
      <c r="AC882" s="1566"/>
      <c r="AD882" s="1566"/>
      <c r="AE882" s="1566"/>
      <c r="AF882" s="1566"/>
      <c r="AG882" s="1566">
        <v>0</v>
      </c>
      <c r="AH882" s="1566"/>
      <c r="AI882" s="1566"/>
      <c r="AJ882" s="1566"/>
      <c r="AK882" s="1566"/>
    </row>
    <row r="883" spans="2:37" ht="9.1999999999999993" customHeight="1">
      <c r="J883" s="1568"/>
      <c r="K883" s="1568"/>
      <c r="L883" s="1568"/>
    </row>
    <row r="884" spans="2:37" ht="8.4499999999999993" customHeight="1">
      <c r="B884" s="1568" t="s">
        <v>1326</v>
      </c>
      <c r="C884" s="1568"/>
      <c r="D884" s="1568"/>
      <c r="E884" s="1568" t="s">
        <v>2354</v>
      </c>
      <c r="F884" s="1568"/>
      <c r="G884" s="1568"/>
      <c r="H884" s="1568"/>
      <c r="J884" s="1568" t="s">
        <v>2249</v>
      </c>
      <c r="K884" s="1568"/>
      <c r="L884" s="1568"/>
      <c r="M884" s="1566">
        <v>46351.37</v>
      </c>
      <c r="N884" s="1566"/>
      <c r="O884" s="1566"/>
      <c r="P884" s="1566">
        <v>0</v>
      </c>
      <c r="Q884" s="1566"/>
      <c r="R884" s="1566"/>
      <c r="S884" s="1566">
        <v>25956.639999999999</v>
      </c>
      <c r="T884" s="1566"/>
      <c r="U884" s="1566"/>
      <c r="V884" s="1566"/>
      <c r="W884" s="1566">
        <v>0</v>
      </c>
      <c r="X884" s="1566"/>
      <c r="Y884" s="1566"/>
      <c r="Z884" s="1566"/>
      <c r="AA884" s="1566">
        <v>72308.009999999995</v>
      </c>
      <c r="AB884" s="1566"/>
      <c r="AC884" s="1566"/>
      <c r="AD884" s="1566"/>
      <c r="AE884" s="1566"/>
      <c r="AF884" s="1566"/>
      <c r="AG884" s="1566">
        <v>0</v>
      </c>
      <c r="AH884" s="1566"/>
      <c r="AI884" s="1566"/>
      <c r="AJ884" s="1566"/>
      <c r="AK884" s="1566"/>
    </row>
    <row r="885" spans="2:37" ht="9.4" customHeight="1">
      <c r="B885" s="1568" t="s">
        <v>1326</v>
      </c>
      <c r="C885" s="1568"/>
      <c r="D885" s="1568"/>
      <c r="E885" s="1568" t="s">
        <v>2355</v>
      </c>
      <c r="F885" s="1568"/>
      <c r="G885" s="1568"/>
      <c r="H885" s="1568"/>
      <c r="J885" s="1568" t="s">
        <v>2251</v>
      </c>
      <c r="K885" s="1568"/>
      <c r="L885" s="1568"/>
      <c r="M885" s="1566">
        <v>4841.32</v>
      </c>
      <c r="N885" s="1566"/>
      <c r="O885" s="1566"/>
      <c r="P885" s="1566">
        <v>0</v>
      </c>
      <c r="Q885" s="1566"/>
      <c r="R885" s="1566"/>
      <c r="S885" s="1566">
        <v>0</v>
      </c>
      <c r="T885" s="1566"/>
      <c r="U885" s="1566"/>
      <c r="V885" s="1566"/>
      <c r="W885" s="1566">
        <v>0</v>
      </c>
      <c r="X885" s="1566"/>
      <c r="Y885" s="1566"/>
      <c r="Z885" s="1566"/>
      <c r="AA885" s="1566">
        <v>4841.32</v>
      </c>
      <c r="AB885" s="1566"/>
      <c r="AC885" s="1566"/>
      <c r="AD885" s="1566"/>
      <c r="AE885" s="1566"/>
      <c r="AF885" s="1566"/>
      <c r="AG885" s="1566">
        <v>0</v>
      </c>
      <c r="AH885" s="1566"/>
      <c r="AI885" s="1566"/>
      <c r="AJ885" s="1566"/>
      <c r="AK885" s="1566"/>
    </row>
    <row r="886" spans="2:37" ht="9.4" customHeight="1">
      <c r="B886" s="1568" t="s">
        <v>1326</v>
      </c>
      <c r="C886" s="1568"/>
      <c r="D886" s="1568"/>
      <c r="E886" s="1568" t="s">
        <v>3325</v>
      </c>
      <c r="F886" s="1568"/>
      <c r="G886" s="1568"/>
      <c r="H886" s="1568"/>
      <c r="J886" s="1568" t="s">
        <v>3315</v>
      </c>
      <c r="K886" s="1568"/>
      <c r="L886" s="1568"/>
      <c r="M886" s="1566">
        <v>1477075.78</v>
      </c>
      <c r="N886" s="1566"/>
      <c r="O886" s="1566"/>
      <c r="P886" s="1566">
        <v>0</v>
      </c>
      <c r="Q886" s="1566"/>
      <c r="R886" s="1566"/>
      <c r="S886" s="1566">
        <v>493525.26</v>
      </c>
      <c r="T886" s="1566"/>
      <c r="U886" s="1566"/>
      <c r="V886" s="1566"/>
      <c r="W886" s="1566">
        <v>0</v>
      </c>
      <c r="X886" s="1566"/>
      <c r="Y886" s="1566"/>
      <c r="Z886" s="1566"/>
      <c r="AA886" s="1566">
        <v>1970601.04</v>
      </c>
      <c r="AB886" s="1566"/>
      <c r="AC886" s="1566"/>
      <c r="AD886" s="1566"/>
      <c r="AE886" s="1566"/>
      <c r="AF886" s="1566"/>
      <c r="AG886" s="1566">
        <v>0</v>
      </c>
      <c r="AH886" s="1566"/>
      <c r="AI886" s="1566"/>
      <c r="AJ886" s="1566"/>
      <c r="AK886" s="1566"/>
    </row>
    <row r="887" spans="2:37" ht="9.4" customHeight="1">
      <c r="B887" s="1568" t="s">
        <v>1326</v>
      </c>
      <c r="C887" s="1568"/>
      <c r="D887" s="1568"/>
      <c r="E887" s="1568" t="s">
        <v>2356</v>
      </c>
      <c r="F887" s="1568"/>
      <c r="G887" s="1568"/>
      <c r="H887" s="1568"/>
      <c r="J887" s="1568" t="s">
        <v>2357</v>
      </c>
      <c r="K887" s="1568"/>
      <c r="L887" s="1568"/>
      <c r="M887" s="1566">
        <v>24050</v>
      </c>
      <c r="N887" s="1566"/>
      <c r="O887" s="1566"/>
      <c r="P887" s="1566">
        <v>0</v>
      </c>
      <c r="Q887" s="1566"/>
      <c r="R887" s="1566"/>
      <c r="S887" s="1566">
        <v>133482.20000000001</v>
      </c>
      <c r="T887" s="1566"/>
      <c r="U887" s="1566"/>
      <c r="V887" s="1566"/>
      <c r="W887" s="1566">
        <v>0</v>
      </c>
      <c r="X887" s="1566"/>
      <c r="Y887" s="1566"/>
      <c r="Z887" s="1566"/>
      <c r="AA887" s="1566">
        <v>157532.20000000001</v>
      </c>
      <c r="AB887" s="1566"/>
      <c r="AC887" s="1566"/>
      <c r="AD887" s="1566"/>
      <c r="AE887" s="1566"/>
      <c r="AF887" s="1566"/>
      <c r="AG887" s="1566">
        <v>0</v>
      </c>
      <c r="AH887" s="1566"/>
      <c r="AI887" s="1566"/>
      <c r="AJ887" s="1566"/>
      <c r="AK887" s="1566"/>
    </row>
    <row r="888" spans="2:37" ht="9.4" customHeight="1">
      <c r="B888" s="1568" t="s">
        <v>1326</v>
      </c>
      <c r="C888" s="1568"/>
      <c r="D888" s="1568"/>
      <c r="E888" s="1568" t="s">
        <v>1662</v>
      </c>
      <c r="F888" s="1568"/>
      <c r="G888" s="1568"/>
      <c r="H888" s="1568"/>
      <c r="J888" s="1568" t="s">
        <v>1663</v>
      </c>
      <c r="K888" s="1568"/>
      <c r="L888" s="1568"/>
      <c r="M888" s="1566">
        <v>82883.839999999997</v>
      </c>
      <c r="N888" s="1566"/>
      <c r="O888" s="1566"/>
      <c r="P888" s="1566">
        <v>0</v>
      </c>
      <c r="Q888" s="1566"/>
      <c r="R888" s="1566"/>
      <c r="S888" s="1566">
        <v>31820.29</v>
      </c>
      <c r="T888" s="1566"/>
      <c r="U888" s="1566"/>
      <c r="V888" s="1566"/>
      <c r="W888" s="1566">
        <v>0</v>
      </c>
      <c r="X888" s="1566"/>
      <c r="Y888" s="1566"/>
      <c r="Z888" s="1566"/>
      <c r="AA888" s="1566">
        <v>114704.13</v>
      </c>
      <c r="AB888" s="1566"/>
      <c r="AC888" s="1566"/>
      <c r="AD888" s="1566"/>
      <c r="AE888" s="1566"/>
      <c r="AF888" s="1566"/>
      <c r="AG888" s="1566">
        <v>0</v>
      </c>
      <c r="AH888" s="1566"/>
      <c r="AI888" s="1566"/>
      <c r="AJ888" s="1566"/>
      <c r="AK888" s="1566"/>
    </row>
    <row r="889" spans="2:37" ht="9.4" customHeight="1">
      <c r="B889" s="1568" t="s">
        <v>1326</v>
      </c>
      <c r="C889" s="1568"/>
      <c r="D889" s="1568"/>
      <c r="E889" s="1568" t="s">
        <v>2358</v>
      </c>
      <c r="F889" s="1568"/>
      <c r="G889" s="1568"/>
      <c r="H889" s="1568"/>
      <c r="J889" s="1568" t="s">
        <v>1765</v>
      </c>
      <c r="K889" s="1568"/>
      <c r="L889" s="1568"/>
      <c r="M889" s="1566">
        <v>5980.76</v>
      </c>
      <c r="N889" s="1566"/>
      <c r="O889" s="1566"/>
      <c r="P889" s="1566">
        <v>0</v>
      </c>
      <c r="Q889" s="1566"/>
      <c r="R889" s="1566"/>
      <c r="S889" s="1566">
        <v>5367.4</v>
      </c>
      <c r="T889" s="1566"/>
      <c r="U889" s="1566"/>
      <c r="V889" s="1566"/>
      <c r="W889" s="1566">
        <v>0</v>
      </c>
      <c r="X889" s="1566"/>
      <c r="Y889" s="1566"/>
      <c r="Z889" s="1566"/>
      <c r="AA889" s="1566">
        <v>11348.16</v>
      </c>
      <c r="AB889" s="1566"/>
      <c r="AC889" s="1566"/>
      <c r="AD889" s="1566"/>
      <c r="AE889" s="1566"/>
      <c r="AF889" s="1566"/>
      <c r="AG889" s="1566">
        <v>0</v>
      </c>
      <c r="AH889" s="1566"/>
      <c r="AI889" s="1566"/>
      <c r="AJ889" s="1566"/>
      <c r="AK889" s="1566"/>
    </row>
    <row r="890" spans="2:37" ht="9.4" customHeight="1">
      <c r="B890" s="1568" t="s">
        <v>1326</v>
      </c>
      <c r="C890" s="1568"/>
      <c r="D890" s="1568"/>
      <c r="E890" s="1568" t="s">
        <v>2359</v>
      </c>
      <c r="F890" s="1568"/>
      <c r="G890" s="1568"/>
      <c r="H890" s="1568"/>
      <c r="J890" s="1568" t="s">
        <v>2254</v>
      </c>
      <c r="K890" s="1568"/>
      <c r="L890" s="1568"/>
      <c r="M890" s="1566">
        <v>76903.08</v>
      </c>
      <c r="N890" s="1566"/>
      <c r="O890" s="1566"/>
      <c r="P890" s="1566">
        <v>0</v>
      </c>
      <c r="Q890" s="1566"/>
      <c r="R890" s="1566"/>
      <c r="S890" s="1566">
        <v>25893.73</v>
      </c>
      <c r="T890" s="1566"/>
      <c r="U890" s="1566"/>
      <c r="V890" s="1566"/>
      <c r="W890" s="1566">
        <v>0</v>
      </c>
      <c r="X890" s="1566"/>
      <c r="Y890" s="1566"/>
      <c r="Z890" s="1566"/>
      <c r="AA890" s="1566">
        <v>102796.81</v>
      </c>
      <c r="AB890" s="1566"/>
      <c r="AC890" s="1566"/>
      <c r="AD890" s="1566"/>
      <c r="AE890" s="1566"/>
      <c r="AF890" s="1566"/>
      <c r="AG890" s="1566">
        <v>0</v>
      </c>
      <c r="AH890" s="1566"/>
      <c r="AI890" s="1566"/>
      <c r="AJ890" s="1566"/>
      <c r="AK890" s="1566"/>
    </row>
    <row r="891" spans="2:37" ht="9.4" customHeight="1">
      <c r="B891" s="1568" t="s">
        <v>1326</v>
      </c>
      <c r="C891" s="1568"/>
      <c r="D891" s="1568"/>
      <c r="E891" s="1568" t="s">
        <v>6784</v>
      </c>
      <c r="F891" s="1568"/>
      <c r="G891" s="1568"/>
      <c r="H891" s="1568"/>
      <c r="J891" s="1568" t="s">
        <v>6776</v>
      </c>
      <c r="K891" s="1568"/>
      <c r="L891" s="1568"/>
      <c r="M891" s="1566">
        <v>0</v>
      </c>
      <c r="N891" s="1566"/>
      <c r="O891" s="1566"/>
      <c r="P891" s="1566">
        <v>0</v>
      </c>
      <c r="Q891" s="1566"/>
      <c r="R891" s="1566"/>
      <c r="S891" s="1566">
        <v>559.16</v>
      </c>
      <c r="T891" s="1566"/>
      <c r="U891" s="1566"/>
      <c r="V891" s="1566"/>
      <c r="W891" s="1566">
        <v>0</v>
      </c>
      <c r="X891" s="1566"/>
      <c r="Y891" s="1566"/>
      <c r="Z891" s="1566"/>
      <c r="AA891" s="1566">
        <v>559.16</v>
      </c>
      <c r="AB891" s="1566"/>
      <c r="AC891" s="1566"/>
      <c r="AD891" s="1566"/>
      <c r="AE891" s="1566"/>
      <c r="AF891" s="1566"/>
      <c r="AG891" s="1566">
        <v>0</v>
      </c>
      <c r="AH891" s="1566"/>
      <c r="AI891" s="1566"/>
      <c r="AJ891" s="1566"/>
      <c r="AK891" s="1566"/>
    </row>
    <row r="892" spans="2:37" ht="9.4" customHeight="1">
      <c r="B892" s="1568" t="s">
        <v>1326</v>
      </c>
      <c r="C892" s="1568"/>
      <c r="D892" s="1568"/>
      <c r="E892" s="1568" t="s">
        <v>1664</v>
      </c>
      <c r="F892" s="1568"/>
      <c r="G892" s="1568"/>
      <c r="H892" s="1568"/>
      <c r="J892" s="1568" t="s">
        <v>2360</v>
      </c>
      <c r="K892" s="1568"/>
      <c r="L892" s="1568"/>
      <c r="M892" s="1566">
        <v>1725381.48</v>
      </c>
      <c r="N892" s="1566"/>
      <c r="O892" s="1566"/>
      <c r="P892" s="1566">
        <v>0</v>
      </c>
      <c r="Q892" s="1566"/>
      <c r="R892" s="1566"/>
      <c r="S892" s="1566">
        <v>709230.12</v>
      </c>
      <c r="T892" s="1566"/>
      <c r="U892" s="1566"/>
      <c r="V892" s="1566"/>
      <c r="W892" s="1566">
        <v>0</v>
      </c>
      <c r="X892" s="1566"/>
      <c r="Y892" s="1566"/>
      <c r="Z892" s="1566"/>
      <c r="AA892" s="1566">
        <v>2434611.6</v>
      </c>
      <c r="AB892" s="1566"/>
      <c r="AC892" s="1566"/>
      <c r="AD892" s="1566"/>
      <c r="AE892" s="1566"/>
      <c r="AF892" s="1566"/>
      <c r="AG892" s="1566">
        <v>0</v>
      </c>
      <c r="AH892" s="1566"/>
      <c r="AI892" s="1566"/>
      <c r="AJ892" s="1566"/>
      <c r="AK892" s="1566"/>
    </row>
    <row r="893" spans="2:37" ht="9.1999999999999993" customHeight="1">
      <c r="J893" s="1568"/>
      <c r="K893" s="1568"/>
      <c r="L893" s="1568"/>
    </row>
    <row r="894" spans="2:37" ht="8.4499999999999993" customHeight="1">
      <c r="B894" s="1568" t="s">
        <v>1326</v>
      </c>
      <c r="C894" s="1568"/>
      <c r="D894" s="1568"/>
      <c r="E894" s="1568" t="s">
        <v>2361</v>
      </c>
      <c r="F894" s="1568"/>
      <c r="G894" s="1568"/>
      <c r="H894" s="1568"/>
      <c r="J894" s="1568" t="s">
        <v>2256</v>
      </c>
      <c r="K894" s="1568"/>
      <c r="L894" s="1568"/>
      <c r="M894" s="1566">
        <v>1502547.17</v>
      </c>
      <c r="N894" s="1566"/>
      <c r="O894" s="1566"/>
      <c r="P894" s="1566">
        <v>0</v>
      </c>
      <c r="Q894" s="1566"/>
      <c r="R894" s="1566"/>
      <c r="S894" s="1566">
        <v>628327.52</v>
      </c>
      <c r="T894" s="1566"/>
      <c r="U894" s="1566"/>
      <c r="V894" s="1566"/>
      <c r="W894" s="1566">
        <v>0</v>
      </c>
      <c r="X894" s="1566"/>
      <c r="Y894" s="1566"/>
      <c r="Z894" s="1566"/>
      <c r="AA894" s="1566">
        <v>2130874.69</v>
      </c>
      <c r="AB894" s="1566"/>
      <c r="AC894" s="1566"/>
      <c r="AD894" s="1566"/>
      <c r="AE894" s="1566"/>
      <c r="AF894" s="1566"/>
      <c r="AG894" s="1566">
        <v>0</v>
      </c>
      <c r="AH894" s="1566"/>
      <c r="AI894" s="1566"/>
      <c r="AJ894" s="1566"/>
      <c r="AK894" s="1566"/>
    </row>
    <row r="895" spans="2:37" ht="9.4" customHeight="1">
      <c r="B895" s="1568" t="s">
        <v>1326</v>
      </c>
      <c r="C895" s="1568"/>
      <c r="D895" s="1568"/>
      <c r="E895" s="1568" t="s">
        <v>6244</v>
      </c>
      <c r="F895" s="1568"/>
      <c r="G895" s="1568"/>
      <c r="H895" s="1568"/>
      <c r="J895" s="1568" t="s">
        <v>6230</v>
      </c>
      <c r="K895" s="1568"/>
      <c r="L895" s="1568"/>
      <c r="M895" s="1566">
        <v>17893.54</v>
      </c>
      <c r="N895" s="1566"/>
      <c r="O895" s="1566"/>
      <c r="P895" s="1566">
        <v>0</v>
      </c>
      <c r="Q895" s="1566"/>
      <c r="R895" s="1566"/>
      <c r="S895" s="1566">
        <v>0</v>
      </c>
      <c r="T895" s="1566"/>
      <c r="U895" s="1566"/>
      <c r="V895" s="1566"/>
      <c r="W895" s="1566">
        <v>0</v>
      </c>
      <c r="X895" s="1566"/>
      <c r="Y895" s="1566"/>
      <c r="Z895" s="1566"/>
      <c r="AA895" s="1566">
        <v>17893.54</v>
      </c>
      <c r="AB895" s="1566"/>
      <c r="AC895" s="1566"/>
      <c r="AD895" s="1566"/>
      <c r="AE895" s="1566"/>
      <c r="AF895" s="1566"/>
      <c r="AG895" s="1566">
        <v>0</v>
      </c>
      <c r="AH895" s="1566"/>
      <c r="AI895" s="1566"/>
      <c r="AJ895" s="1566"/>
      <c r="AK895" s="1566"/>
    </row>
    <row r="896" spans="2:37" ht="8.4499999999999993" customHeight="1"/>
    <row r="897" spans="1:38" ht="14.1" customHeight="1">
      <c r="AG897" s="1565" t="s">
        <v>2389</v>
      </c>
      <c r="AH897" s="1565"/>
      <c r="AI897" s="1565"/>
      <c r="AJ897" s="1565"/>
      <c r="AK897" s="1565"/>
      <c r="AL897" s="1565"/>
    </row>
    <row r="898" spans="1:38" ht="7.15" customHeight="1">
      <c r="D898" s="1578" t="s">
        <v>2992</v>
      </c>
      <c r="E898" s="1578"/>
      <c r="F898" s="1578"/>
      <c r="G898" s="1578"/>
      <c r="H898" s="1578"/>
      <c r="I898" s="1578"/>
      <c r="J898" s="1578"/>
      <c r="K898" s="1578"/>
      <c r="L898" s="1578"/>
      <c r="M898" s="1578"/>
      <c r="N898" s="1578"/>
      <c r="O898" s="1578"/>
      <c r="P898" s="1578"/>
      <c r="Q898" s="1578"/>
      <c r="R898" s="1578"/>
      <c r="S898" s="1578"/>
      <c r="T898" s="1578"/>
      <c r="U898" s="1578"/>
      <c r="V898" s="1578"/>
      <c r="W898" s="1578"/>
      <c r="X898" s="1578"/>
      <c r="Y898" s="1578"/>
      <c r="Z898" s="1578"/>
      <c r="AA898" s="1578"/>
      <c r="AB898" s="1578"/>
      <c r="AC898" s="1578"/>
      <c r="AD898" s="1578"/>
      <c r="AE898" s="1578"/>
      <c r="AF898" s="1578"/>
      <c r="AG898" s="1578"/>
      <c r="AH898" s="1578"/>
    </row>
    <row r="899" spans="1:38" ht="9.6" customHeight="1">
      <c r="A899" s="1579"/>
      <c r="B899" s="1579"/>
      <c r="C899" s="1579"/>
      <c r="D899" s="1579"/>
      <c r="E899" s="1579"/>
      <c r="F899" s="1579"/>
      <c r="G899" s="1579"/>
      <c r="H899" s="1579"/>
      <c r="I899" s="1579"/>
      <c r="J899" s="1578"/>
      <c r="K899" s="1578"/>
      <c r="L899" s="1578"/>
      <c r="M899" s="1578"/>
      <c r="N899" s="1578"/>
      <c r="O899" s="1578"/>
      <c r="P899" s="1578"/>
      <c r="Q899" s="1578"/>
      <c r="R899" s="1578"/>
      <c r="S899" s="1578"/>
      <c r="T899" s="1578"/>
      <c r="U899" s="1578"/>
      <c r="V899" s="1578"/>
      <c r="W899" s="1578"/>
      <c r="X899" s="1578"/>
      <c r="Y899" s="1578"/>
      <c r="Z899" s="1578"/>
      <c r="AA899" s="1578"/>
      <c r="AB899" s="1578"/>
      <c r="AC899" s="1578"/>
      <c r="AD899" s="1578"/>
      <c r="AE899" s="1578"/>
      <c r="AF899" s="1578"/>
      <c r="AG899" s="1578"/>
      <c r="AH899" s="1578"/>
    </row>
    <row r="900" spans="1:38" ht="13.35" customHeight="1">
      <c r="A900" s="1579"/>
      <c r="B900" s="1579"/>
      <c r="C900" s="1579"/>
      <c r="D900" s="1579"/>
      <c r="E900" s="1579"/>
      <c r="F900" s="1579"/>
      <c r="G900" s="1579"/>
      <c r="H900" s="1579"/>
      <c r="I900" s="1579"/>
      <c r="J900" s="1580" t="s">
        <v>79</v>
      </c>
      <c r="K900" s="1580"/>
      <c r="L900" s="1580"/>
      <c r="M900" s="1580"/>
      <c r="N900" s="1580"/>
      <c r="O900" s="1580"/>
      <c r="P900" s="1580"/>
      <c r="Q900" s="1580"/>
      <c r="R900" s="1580"/>
      <c r="S900" s="1580"/>
      <c r="T900" s="1580"/>
      <c r="U900" s="1580"/>
      <c r="V900" s="1580"/>
      <c r="W900" s="1580"/>
      <c r="X900" s="1580"/>
      <c r="Y900" s="1580"/>
      <c r="Z900" s="1580"/>
      <c r="AA900" s="1580"/>
      <c r="AB900" s="1580"/>
      <c r="AC900" s="1580"/>
      <c r="AD900" s="1580"/>
      <c r="AE900" s="1580"/>
      <c r="AF900" s="1580"/>
    </row>
    <row r="901" spans="1:38" ht="5.25" customHeight="1">
      <c r="A901" s="1579"/>
      <c r="B901" s="1579"/>
      <c r="C901" s="1579"/>
      <c r="D901" s="1579"/>
      <c r="E901" s="1579"/>
      <c r="F901" s="1579"/>
      <c r="G901" s="1579"/>
      <c r="H901" s="1579"/>
      <c r="I901" s="1579"/>
      <c r="J901" s="1573" t="s">
        <v>6760</v>
      </c>
      <c r="K901" s="1573"/>
      <c r="L901" s="1573"/>
      <c r="M901" s="1573"/>
      <c r="N901" s="1573"/>
      <c r="O901" s="1573"/>
      <c r="P901" s="1573"/>
      <c r="Q901" s="1573"/>
      <c r="R901" s="1573"/>
      <c r="S901" s="1573"/>
      <c r="T901" s="1573"/>
      <c r="U901" s="1573"/>
      <c r="V901" s="1573"/>
      <c r="W901" s="1573"/>
      <c r="X901" s="1573"/>
      <c r="Y901" s="1573"/>
      <c r="Z901" s="1573"/>
      <c r="AA901" s="1573"/>
      <c r="AB901" s="1573"/>
      <c r="AC901" s="1573"/>
      <c r="AD901" s="1573"/>
      <c r="AE901" s="1573"/>
    </row>
    <row r="902" spans="1:38" ht="8.1" customHeight="1">
      <c r="C902" s="1572" t="s">
        <v>1920</v>
      </c>
      <c r="D902" s="1572"/>
      <c r="E902" s="1572"/>
      <c r="F902" s="1572"/>
      <c r="G902" s="1572"/>
      <c r="H902" s="1572"/>
      <c r="I902" s="1572"/>
      <c r="J902" s="1572"/>
      <c r="K902" s="1573"/>
      <c r="L902" s="1573"/>
      <c r="M902" s="1573"/>
      <c r="N902" s="1573"/>
      <c r="O902" s="1573"/>
      <c r="P902" s="1573"/>
      <c r="Q902" s="1573"/>
      <c r="R902" s="1573"/>
      <c r="S902" s="1573"/>
      <c r="T902" s="1573"/>
      <c r="U902" s="1573"/>
      <c r="V902" s="1573"/>
      <c r="W902" s="1573"/>
      <c r="X902" s="1573"/>
      <c r="Y902" s="1574" t="s">
        <v>5920</v>
      </c>
      <c r="Z902" s="1574"/>
      <c r="AA902" s="1574"/>
      <c r="AB902" s="1574"/>
      <c r="AC902" s="1574"/>
      <c r="AD902" s="1574"/>
      <c r="AE902" s="1574"/>
      <c r="AF902" s="1574"/>
      <c r="AG902" s="1574"/>
      <c r="AH902" s="1575" t="s">
        <v>6761</v>
      </c>
      <c r="AI902" s="1575"/>
      <c r="AJ902" s="1575"/>
      <c r="AK902" s="1575"/>
      <c r="AL902" s="1575"/>
    </row>
    <row r="903" spans="1:38" ht="6" customHeight="1">
      <c r="C903" s="1572"/>
      <c r="D903" s="1572"/>
      <c r="E903" s="1572"/>
      <c r="F903" s="1572"/>
      <c r="G903" s="1572"/>
      <c r="H903" s="1572"/>
      <c r="I903" s="1572"/>
      <c r="J903" s="1572"/>
      <c r="K903" s="1576" t="s">
        <v>1999</v>
      </c>
      <c r="L903" s="1576"/>
      <c r="M903" s="1576"/>
      <c r="N903" s="1576"/>
      <c r="O903" s="1576"/>
      <c r="P903" s="1576"/>
      <c r="Q903" s="1576"/>
      <c r="R903" s="1576"/>
      <c r="S903" s="1576"/>
      <c r="T903" s="1576"/>
      <c r="U903" s="1576"/>
      <c r="V903" s="1576"/>
      <c r="W903" s="1576"/>
      <c r="X903" s="1576"/>
      <c r="Y903" s="1574"/>
      <c r="Z903" s="1574"/>
      <c r="AA903" s="1574"/>
      <c r="AB903" s="1574"/>
      <c r="AC903" s="1574"/>
      <c r="AD903" s="1574"/>
      <c r="AE903" s="1574"/>
      <c r="AF903" s="1574"/>
      <c r="AG903" s="1574"/>
      <c r="AH903" s="1575"/>
      <c r="AI903" s="1575"/>
      <c r="AJ903" s="1575"/>
      <c r="AK903" s="1575"/>
      <c r="AL903" s="1575"/>
    </row>
    <row r="904" spans="1:38" ht="7.35" customHeight="1">
      <c r="C904" s="1572" t="s">
        <v>1998</v>
      </c>
      <c r="D904" s="1572"/>
      <c r="E904" s="1572"/>
      <c r="F904" s="1572"/>
      <c r="G904" s="1577"/>
      <c r="H904" s="1577"/>
      <c r="I904" s="1577"/>
      <c r="J904" s="1577"/>
      <c r="K904" s="1577"/>
      <c r="L904" s="1577"/>
      <c r="M904" s="1577"/>
      <c r="N904" s="1577"/>
      <c r="O904" s="1577"/>
      <c r="P904" s="1577"/>
      <c r="Q904" s="1577"/>
      <c r="R904" s="1577"/>
      <c r="S904" s="1577"/>
      <c r="T904" s="1577"/>
      <c r="U904" s="1577"/>
      <c r="V904" s="1577"/>
      <c r="W904" s="1577"/>
      <c r="X904" s="1577"/>
      <c r="Y904" s="1577"/>
      <c r="Z904" s="1577"/>
      <c r="AA904" s="1577"/>
      <c r="AB904" s="1577"/>
      <c r="AC904" s="1577"/>
      <c r="AD904" s="1577"/>
      <c r="AE904" s="1577"/>
      <c r="AF904" s="1574"/>
      <c r="AG904" s="1574"/>
      <c r="AH904" s="1574" t="s">
        <v>6762</v>
      </c>
      <c r="AI904" s="1574"/>
    </row>
    <row r="905" spans="1:38" ht="6.75" customHeight="1">
      <c r="G905" s="1577"/>
      <c r="H905" s="1577"/>
      <c r="I905" s="1577"/>
      <c r="J905" s="1577"/>
      <c r="K905" s="1577"/>
      <c r="L905" s="1577"/>
      <c r="M905" s="1577"/>
      <c r="N905" s="1577"/>
      <c r="O905" s="1577"/>
      <c r="P905" s="1577"/>
      <c r="Q905" s="1577"/>
      <c r="R905" s="1577"/>
      <c r="S905" s="1577"/>
      <c r="T905" s="1577"/>
      <c r="U905" s="1577"/>
      <c r="V905" s="1577"/>
      <c r="W905" s="1577"/>
      <c r="X905" s="1577"/>
      <c r="Y905" s="1577"/>
      <c r="Z905" s="1577"/>
      <c r="AA905" s="1577"/>
      <c r="AB905" s="1577"/>
      <c r="AC905" s="1577"/>
      <c r="AD905" s="1577"/>
      <c r="AE905" s="1577"/>
      <c r="AF905" s="1574"/>
      <c r="AG905" s="1574"/>
      <c r="AH905" s="1574"/>
      <c r="AI905" s="1574"/>
    </row>
    <row r="906" spans="1:38" ht="11.25" customHeight="1">
      <c r="O906" s="1570" t="s">
        <v>1318</v>
      </c>
      <c r="P906" s="1570"/>
      <c r="Q906" s="1570"/>
      <c r="V906" s="1570" t="s">
        <v>1319</v>
      </c>
      <c r="W906" s="1570"/>
      <c r="X906" s="1570"/>
      <c r="Y906" s="1570"/>
      <c r="AD906" s="1570" t="s">
        <v>1320</v>
      </c>
      <c r="AE906" s="1570"/>
      <c r="AF906" s="1570"/>
      <c r="AG906" s="1570"/>
      <c r="AH906" s="1570"/>
      <c r="AI906" s="1570"/>
      <c r="AJ906" s="1570"/>
    </row>
    <row r="907" spans="1:38" ht="8.4499999999999993" customHeight="1">
      <c r="B907" s="1571" t="s">
        <v>1321</v>
      </c>
      <c r="C907" s="1571"/>
      <c r="D907" s="1571"/>
      <c r="E907" s="1571" t="s">
        <v>1322</v>
      </c>
      <c r="F907" s="1571"/>
      <c r="G907" s="1571"/>
      <c r="J907" s="1571" t="s">
        <v>1323</v>
      </c>
      <c r="K907" s="1571"/>
      <c r="L907" s="1571"/>
      <c r="M907" s="1571"/>
      <c r="N907" s="1571"/>
      <c r="O907" s="1402" t="s">
        <v>1324</v>
      </c>
      <c r="Q907" s="1569" t="s">
        <v>1325</v>
      </c>
      <c r="R907" s="1569"/>
      <c r="U907" s="1569" t="s">
        <v>1324</v>
      </c>
      <c r="V907" s="1569"/>
      <c r="X907" s="1569" t="s">
        <v>1325</v>
      </c>
      <c r="Y907" s="1569"/>
      <c r="Z907" s="1569"/>
      <c r="AC907" s="1569" t="s">
        <v>1324</v>
      </c>
      <c r="AD907" s="1569"/>
      <c r="AE907" s="1569"/>
      <c r="AF907" s="1569"/>
      <c r="AH907" s="1569" t="s">
        <v>1325</v>
      </c>
      <c r="AI907" s="1569"/>
      <c r="AJ907" s="1569"/>
      <c r="AK907" s="1569"/>
    </row>
    <row r="908" spans="1:38" ht="9.9499999999999993" customHeight="1">
      <c r="B908" s="1568" t="s">
        <v>1326</v>
      </c>
      <c r="C908" s="1568"/>
      <c r="D908" s="1568"/>
      <c r="E908" s="1568" t="s">
        <v>6245</v>
      </c>
      <c r="F908" s="1568"/>
      <c r="G908" s="1568"/>
      <c r="H908" s="1568"/>
      <c r="J908" s="1568" t="s">
        <v>6232</v>
      </c>
      <c r="K908" s="1568"/>
      <c r="L908" s="1568"/>
      <c r="M908" s="1566">
        <v>176612.15</v>
      </c>
      <c r="N908" s="1566"/>
      <c r="O908" s="1566"/>
      <c r="P908" s="1566">
        <v>0</v>
      </c>
      <c r="Q908" s="1566"/>
      <c r="R908" s="1566"/>
      <c r="S908" s="1566">
        <v>68150</v>
      </c>
      <c r="T908" s="1566"/>
      <c r="U908" s="1566"/>
      <c r="V908" s="1566"/>
      <c r="W908" s="1566">
        <v>0</v>
      </c>
      <c r="X908" s="1566"/>
      <c r="Y908" s="1566"/>
      <c r="Z908" s="1566"/>
      <c r="AA908" s="1566">
        <v>244762.15</v>
      </c>
      <c r="AB908" s="1566"/>
      <c r="AC908" s="1566"/>
      <c r="AD908" s="1566"/>
      <c r="AE908" s="1566"/>
      <c r="AF908" s="1566"/>
      <c r="AG908" s="1566">
        <v>0</v>
      </c>
      <c r="AH908" s="1566"/>
      <c r="AI908" s="1566"/>
      <c r="AJ908" s="1566"/>
      <c r="AK908" s="1566"/>
    </row>
    <row r="909" spans="1:38" ht="9.4" customHeight="1">
      <c r="B909" s="1568" t="s">
        <v>1326</v>
      </c>
      <c r="C909" s="1568"/>
      <c r="D909" s="1568"/>
      <c r="E909" s="1568" t="s">
        <v>2362</v>
      </c>
      <c r="F909" s="1568"/>
      <c r="G909" s="1568"/>
      <c r="H909" s="1568"/>
      <c r="J909" s="1568" t="s">
        <v>2363</v>
      </c>
      <c r="K909" s="1568"/>
      <c r="L909" s="1568"/>
      <c r="M909" s="1566">
        <v>28328.62</v>
      </c>
      <c r="N909" s="1566"/>
      <c r="O909" s="1566"/>
      <c r="P909" s="1566">
        <v>0</v>
      </c>
      <c r="Q909" s="1566"/>
      <c r="R909" s="1566"/>
      <c r="S909" s="1566">
        <v>12752.6</v>
      </c>
      <c r="T909" s="1566"/>
      <c r="U909" s="1566"/>
      <c r="V909" s="1566"/>
      <c r="W909" s="1566">
        <v>0</v>
      </c>
      <c r="X909" s="1566"/>
      <c r="Y909" s="1566"/>
      <c r="Z909" s="1566"/>
      <c r="AA909" s="1566">
        <v>41081.22</v>
      </c>
      <c r="AB909" s="1566"/>
      <c r="AC909" s="1566"/>
      <c r="AD909" s="1566"/>
      <c r="AE909" s="1566"/>
      <c r="AF909" s="1566"/>
      <c r="AG909" s="1566">
        <v>0</v>
      </c>
      <c r="AH909" s="1566"/>
      <c r="AI909" s="1566"/>
      <c r="AJ909" s="1566"/>
      <c r="AK909" s="1566"/>
    </row>
    <row r="910" spans="1:38" ht="9.4" customHeight="1">
      <c r="B910" s="1568" t="s">
        <v>1326</v>
      </c>
      <c r="C910" s="1568"/>
      <c r="D910" s="1568"/>
      <c r="E910" s="1568" t="s">
        <v>1665</v>
      </c>
      <c r="F910" s="1568"/>
      <c r="G910" s="1568"/>
      <c r="H910" s="1568"/>
      <c r="J910" s="1568" t="s">
        <v>1666</v>
      </c>
      <c r="K910" s="1568"/>
      <c r="L910" s="1568"/>
      <c r="M910" s="1566">
        <v>10123.219999999999</v>
      </c>
      <c r="N910" s="1566"/>
      <c r="O910" s="1566"/>
      <c r="P910" s="1566">
        <v>0</v>
      </c>
      <c r="Q910" s="1566"/>
      <c r="R910" s="1566"/>
      <c r="S910" s="1566">
        <v>13376.28</v>
      </c>
      <c r="T910" s="1566"/>
      <c r="U910" s="1566"/>
      <c r="V910" s="1566"/>
      <c r="W910" s="1566">
        <v>0</v>
      </c>
      <c r="X910" s="1566"/>
      <c r="Y910" s="1566"/>
      <c r="Z910" s="1566"/>
      <c r="AA910" s="1566">
        <v>23499.5</v>
      </c>
      <c r="AB910" s="1566"/>
      <c r="AC910" s="1566"/>
      <c r="AD910" s="1566"/>
      <c r="AE910" s="1566"/>
      <c r="AF910" s="1566"/>
      <c r="AG910" s="1566">
        <v>0</v>
      </c>
      <c r="AH910" s="1566"/>
      <c r="AI910" s="1566"/>
      <c r="AJ910" s="1566"/>
      <c r="AK910" s="1566"/>
    </row>
    <row r="911" spans="1:38" ht="9.4" customHeight="1">
      <c r="B911" s="1568" t="s">
        <v>1326</v>
      </c>
      <c r="C911" s="1568"/>
      <c r="D911" s="1568"/>
      <c r="E911" s="1568" t="s">
        <v>2364</v>
      </c>
      <c r="F911" s="1568"/>
      <c r="G911" s="1568"/>
      <c r="H911" s="1568"/>
      <c r="J911" s="1568" t="s">
        <v>2258</v>
      </c>
      <c r="K911" s="1568"/>
      <c r="L911" s="1568"/>
      <c r="M911" s="1566">
        <v>10123.219999999999</v>
      </c>
      <c r="N911" s="1566"/>
      <c r="O911" s="1566"/>
      <c r="P911" s="1566">
        <v>0</v>
      </c>
      <c r="Q911" s="1566"/>
      <c r="R911" s="1566"/>
      <c r="S911" s="1566">
        <v>13376.28</v>
      </c>
      <c r="T911" s="1566"/>
      <c r="U911" s="1566"/>
      <c r="V911" s="1566"/>
      <c r="W911" s="1566">
        <v>0</v>
      </c>
      <c r="X911" s="1566"/>
      <c r="Y911" s="1566"/>
      <c r="Z911" s="1566"/>
      <c r="AA911" s="1566">
        <v>23499.5</v>
      </c>
      <c r="AB911" s="1566"/>
      <c r="AC911" s="1566"/>
      <c r="AD911" s="1566"/>
      <c r="AE911" s="1566"/>
      <c r="AF911" s="1566"/>
      <c r="AG911" s="1566">
        <v>0</v>
      </c>
      <c r="AH911" s="1566"/>
      <c r="AI911" s="1566"/>
      <c r="AJ911" s="1566"/>
      <c r="AK911" s="1566"/>
    </row>
    <row r="912" spans="1:38" ht="9.4" customHeight="1">
      <c r="B912" s="1568" t="s">
        <v>1326</v>
      </c>
      <c r="C912" s="1568"/>
      <c r="D912" s="1568"/>
      <c r="E912" s="1568" t="s">
        <v>3118</v>
      </c>
      <c r="F912" s="1568"/>
      <c r="G912" s="1568"/>
      <c r="H912" s="1568"/>
      <c r="J912" s="1568" t="s">
        <v>3119</v>
      </c>
      <c r="K912" s="1568"/>
      <c r="L912" s="1568"/>
      <c r="M912" s="1566">
        <v>175483.13</v>
      </c>
      <c r="N912" s="1566"/>
      <c r="O912" s="1566"/>
      <c r="P912" s="1566">
        <v>0</v>
      </c>
      <c r="Q912" s="1566"/>
      <c r="R912" s="1566"/>
      <c r="S912" s="1566">
        <v>125523.16</v>
      </c>
      <c r="T912" s="1566"/>
      <c r="U912" s="1566"/>
      <c r="V912" s="1566"/>
      <c r="W912" s="1566">
        <v>0</v>
      </c>
      <c r="X912" s="1566"/>
      <c r="Y912" s="1566"/>
      <c r="Z912" s="1566"/>
      <c r="AA912" s="1566">
        <v>301006.28999999998</v>
      </c>
      <c r="AB912" s="1566"/>
      <c r="AC912" s="1566"/>
      <c r="AD912" s="1566"/>
      <c r="AE912" s="1566"/>
      <c r="AF912" s="1566"/>
      <c r="AG912" s="1566">
        <v>0</v>
      </c>
      <c r="AH912" s="1566"/>
      <c r="AI912" s="1566"/>
      <c r="AJ912" s="1566"/>
      <c r="AK912" s="1566"/>
    </row>
    <row r="913" spans="2:37" ht="9.4" customHeight="1">
      <c r="B913" s="1568" t="s">
        <v>1326</v>
      </c>
      <c r="C913" s="1568"/>
      <c r="D913" s="1568"/>
      <c r="E913" s="1568" t="s">
        <v>3120</v>
      </c>
      <c r="F913" s="1568"/>
      <c r="G913" s="1568"/>
      <c r="H913" s="1568"/>
      <c r="J913" s="1568" t="s">
        <v>3115</v>
      </c>
      <c r="K913" s="1568"/>
      <c r="L913" s="1568"/>
      <c r="M913" s="1566">
        <v>175311.29</v>
      </c>
      <c r="N913" s="1566"/>
      <c r="O913" s="1566"/>
      <c r="P913" s="1566">
        <v>0</v>
      </c>
      <c r="Q913" s="1566"/>
      <c r="R913" s="1566"/>
      <c r="S913" s="1566">
        <v>125523.16</v>
      </c>
      <c r="T913" s="1566"/>
      <c r="U913" s="1566"/>
      <c r="V913" s="1566"/>
      <c r="W913" s="1566">
        <v>0</v>
      </c>
      <c r="X913" s="1566"/>
      <c r="Y913" s="1566"/>
      <c r="Z913" s="1566"/>
      <c r="AA913" s="1566">
        <v>300834.45</v>
      </c>
      <c r="AB913" s="1566"/>
      <c r="AC913" s="1566"/>
      <c r="AD913" s="1566"/>
      <c r="AE913" s="1566"/>
      <c r="AF913" s="1566"/>
      <c r="AG913" s="1566">
        <v>0</v>
      </c>
      <c r="AH913" s="1566"/>
      <c r="AI913" s="1566"/>
      <c r="AJ913" s="1566"/>
      <c r="AK913" s="1566"/>
    </row>
    <row r="914" spans="2:37" ht="9.4" customHeight="1">
      <c r="B914" s="1568" t="s">
        <v>1326</v>
      </c>
      <c r="C914" s="1568"/>
      <c r="D914" s="1568"/>
      <c r="E914" s="1568" t="s">
        <v>6246</v>
      </c>
      <c r="F914" s="1568"/>
      <c r="G914" s="1568"/>
      <c r="H914" s="1568"/>
      <c r="J914" s="1568" t="s">
        <v>6234</v>
      </c>
      <c r="K914" s="1568"/>
      <c r="L914" s="1568"/>
      <c r="M914" s="1566">
        <v>171.84</v>
      </c>
      <c r="N914" s="1566"/>
      <c r="O914" s="1566"/>
      <c r="P914" s="1566">
        <v>0</v>
      </c>
      <c r="Q914" s="1566"/>
      <c r="R914" s="1566"/>
      <c r="S914" s="1566">
        <v>0</v>
      </c>
      <c r="T914" s="1566"/>
      <c r="U914" s="1566"/>
      <c r="V914" s="1566"/>
      <c r="W914" s="1566">
        <v>0</v>
      </c>
      <c r="X914" s="1566"/>
      <c r="Y914" s="1566"/>
      <c r="Z914" s="1566"/>
      <c r="AA914" s="1566">
        <v>171.84</v>
      </c>
      <c r="AB914" s="1566"/>
      <c r="AC914" s="1566"/>
      <c r="AD914" s="1566"/>
      <c r="AE914" s="1566"/>
      <c r="AF914" s="1566"/>
      <c r="AG914" s="1566">
        <v>0</v>
      </c>
      <c r="AH914" s="1566"/>
      <c r="AI914" s="1566"/>
      <c r="AJ914" s="1566"/>
      <c r="AK914" s="1566"/>
    </row>
    <row r="915" spans="2:37" ht="9.4" customHeight="1">
      <c r="B915" s="1568" t="s">
        <v>1326</v>
      </c>
      <c r="C915" s="1568"/>
      <c r="D915" s="1568"/>
      <c r="E915" s="1568" t="s">
        <v>1667</v>
      </c>
      <c r="F915" s="1568"/>
      <c r="G915" s="1568"/>
      <c r="H915" s="1568"/>
      <c r="J915" s="1568" t="s">
        <v>1668</v>
      </c>
      <c r="K915" s="1568"/>
      <c r="L915" s="1568"/>
      <c r="M915" s="1566">
        <v>2461721.5699999998</v>
      </c>
      <c r="N915" s="1566"/>
      <c r="O915" s="1566"/>
      <c r="P915" s="1566">
        <v>0</v>
      </c>
      <c r="Q915" s="1566"/>
      <c r="R915" s="1566"/>
      <c r="S915" s="1566">
        <v>46510.21</v>
      </c>
      <c r="T915" s="1566"/>
      <c r="U915" s="1566"/>
      <c r="V915" s="1566"/>
      <c r="W915" s="1566">
        <v>0</v>
      </c>
      <c r="X915" s="1566"/>
      <c r="Y915" s="1566"/>
      <c r="Z915" s="1566"/>
      <c r="AA915" s="1566">
        <v>2508231.7799999998</v>
      </c>
      <c r="AB915" s="1566"/>
      <c r="AC915" s="1566"/>
      <c r="AD915" s="1566"/>
      <c r="AE915" s="1566"/>
      <c r="AF915" s="1566"/>
      <c r="AG915" s="1566">
        <v>0</v>
      </c>
      <c r="AH915" s="1566"/>
      <c r="AI915" s="1566"/>
      <c r="AJ915" s="1566"/>
      <c r="AK915" s="1566"/>
    </row>
    <row r="916" spans="2:37" ht="9.4" customHeight="1">
      <c r="B916" s="1568" t="s">
        <v>1326</v>
      </c>
      <c r="C916" s="1568"/>
      <c r="D916" s="1568"/>
      <c r="E916" s="1568" t="s">
        <v>2365</v>
      </c>
      <c r="F916" s="1568"/>
      <c r="G916" s="1568"/>
      <c r="H916" s="1568"/>
      <c r="J916" s="1568" t="s">
        <v>2260</v>
      </c>
      <c r="K916" s="1568"/>
      <c r="L916" s="1568"/>
      <c r="M916" s="1566">
        <v>2461721.5699999998</v>
      </c>
      <c r="N916" s="1566"/>
      <c r="O916" s="1566"/>
      <c r="P916" s="1566">
        <v>0</v>
      </c>
      <c r="Q916" s="1566"/>
      <c r="R916" s="1566"/>
      <c r="S916" s="1566">
        <v>46510.21</v>
      </c>
      <c r="T916" s="1566"/>
      <c r="U916" s="1566"/>
      <c r="V916" s="1566"/>
      <c r="W916" s="1566">
        <v>0</v>
      </c>
      <c r="X916" s="1566"/>
      <c r="Y916" s="1566"/>
      <c r="Z916" s="1566"/>
      <c r="AA916" s="1566">
        <v>2508231.7799999998</v>
      </c>
      <c r="AB916" s="1566"/>
      <c r="AC916" s="1566"/>
      <c r="AD916" s="1566"/>
      <c r="AE916" s="1566"/>
      <c r="AF916" s="1566"/>
      <c r="AG916" s="1566">
        <v>0</v>
      </c>
      <c r="AH916" s="1566"/>
      <c r="AI916" s="1566"/>
      <c r="AJ916" s="1566"/>
      <c r="AK916" s="1566"/>
    </row>
    <row r="917" spans="2:37" ht="9.4" customHeight="1">
      <c r="B917" s="1568" t="s">
        <v>1326</v>
      </c>
      <c r="C917" s="1568"/>
      <c r="D917" s="1568"/>
      <c r="E917" s="1568" t="s">
        <v>2366</v>
      </c>
      <c r="F917" s="1568"/>
      <c r="G917" s="1568"/>
      <c r="H917" s="1568"/>
      <c r="J917" s="1568" t="s">
        <v>2367</v>
      </c>
      <c r="K917" s="1568"/>
      <c r="L917" s="1568"/>
      <c r="M917" s="1566">
        <v>125428.79</v>
      </c>
      <c r="N917" s="1566"/>
      <c r="O917" s="1566"/>
      <c r="P917" s="1566">
        <v>0</v>
      </c>
      <c r="Q917" s="1566"/>
      <c r="R917" s="1566"/>
      <c r="S917" s="1566">
        <v>34098.68</v>
      </c>
      <c r="T917" s="1566"/>
      <c r="U917" s="1566"/>
      <c r="V917" s="1566"/>
      <c r="W917" s="1566">
        <v>0</v>
      </c>
      <c r="X917" s="1566"/>
      <c r="Y917" s="1566"/>
      <c r="Z917" s="1566"/>
      <c r="AA917" s="1566">
        <v>159527.47</v>
      </c>
      <c r="AB917" s="1566"/>
      <c r="AC917" s="1566"/>
      <c r="AD917" s="1566"/>
      <c r="AE917" s="1566"/>
      <c r="AF917" s="1566"/>
      <c r="AG917" s="1566">
        <v>0</v>
      </c>
      <c r="AH917" s="1566"/>
      <c r="AI917" s="1566"/>
      <c r="AJ917" s="1566"/>
      <c r="AK917" s="1566"/>
    </row>
    <row r="918" spans="2:37" ht="9.1999999999999993" customHeight="1">
      <c r="J918" s="1568"/>
      <c r="K918" s="1568"/>
      <c r="L918" s="1568"/>
    </row>
    <row r="919" spans="2:37" ht="8.4499999999999993" customHeight="1">
      <c r="B919" s="1568" t="s">
        <v>1326</v>
      </c>
      <c r="C919" s="1568"/>
      <c r="D919" s="1568"/>
      <c r="E919" s="1568" t="s">
        <v>2368</v>
      </c>
      <c r="F919" s="1568"/>
      <c r="G919" s="1568"/>
      <c r="H919" s="1568"/>
      <c r="J919" s="1568" t="s">
        <v>2369</v>
      </c>
      <c r="K919" s="1568"/>
      <c r="L919" s="1568"/>
      <c r="M919" s="1566">
        <v>43084.91</v>
      </c>
      <c r="N919" s="1566"/>
      <c r="O919" s="1566"/>
      <c r="P919" s="1566">
        <v>0</v>
      </c>
      <c r="Q919" s="1566"/>
      <c r="R919" s="1566"/>
      <c r="S919" s="1566">
        <v>6650.72</v>
      </c>
      <c r="T919" s="1566"/>
      <c r="U919" s="1566"/>
      <c r="V919" s="1566"/>
      <c r="W919" s="1566">
        <v>0</v>
      </c>
      <c r="X919" s="1566"/>
      <c r="Y919" s="1566"/>
      <c r="Z919" s="1566"/>
      <c r="AA919" s="1566">
        <v>49735.63</v>
      </c>
      <c r="AB919" s="1566"/>
      <c r="AC919" s="1566"/>
      <c r="AD919" s="1566"/>
      <c r="AE919" s="1566"/>
      <c r="AF919" s="1566"/>
      <c r="AG919" s="1566">
        <v>0</v>
      </c>
      <c r="AH919" s="1566"/>
      <c r="AI919" s="1566"/>
      <c r="AJ919" s="1566"/>
      <c r="AK919" s="1566"/>
    </row>
    <row r="920" spans="2:37" ht="9.1999999999999993" customHeight="1">
      <c r="J920" s="1568"/>
      <c r="K920" s="1568"/>
      <c r="L920" s="1568"/>
    </row>
    <row r="921" spans="2:37" ht="8.4499999999999993" customHeight="1">
      <c r="B921" s="1568" t="s">
        <v>1326</v>
      </c>
      <c r="C921" s="1568"/>
      <c r="D921" s="1568"/>
      <c r="E921" s="1568" t="s">
        <v>2370</v>
      </c>
      <c r="F921" s="1568"/>
      <c r="G921" s="1568"/>
      <c r="H921" s="1568"/>
      <c r="J921" s="1568" t="s">
        <v>2371</v>
      </c>
      <c r="K921" s="1568"/>
      <c r="L921" s="1568"/>
      <c r="M921" s="1566">
        <v>43084.91</v>
      </c>
      <c r="N921" s="1566"/>
      <c r="O921" s="1566"/>
      <c r="P921" s="1566">
        <v>0</v>
      </c>
      <c r="Q921" s="1566"/>
      <c r="R921" s="1566"/>
      <c r="S921" s="1566">
        <v>6650.72</v>
      </c>
      <c r="T921" s="1566"/>
      <c r="U921" s="1566"/>
      <c r="V921" s="1566"/>
      <c r="W921" s="1566">
        <v>0</v>
      </c>
      <c r="X921" s="1566"/>
      <c r="Y921" s="1566"/>
      <c r="Z921" s="1566"/>
      <c r="AA921" s="1566">
        <v>49735.63</v>
      </c>
      <c r="AB921" s="1566"/>
      <c r="AC921" s="1566"/>
      <c r="AD921" s="1566"/>
      <c r="AE921" s="1566"/>
      <c r="AF921" s="1566"/>
      <c r="AG921" s="1566">
        <v>0</v>
      </c>
      <c r="AH921" s="1566"/>
      <c r="AI921" s="1566"/>
      <c r="AJ921" s="1566"/>
      <c r="AK921" s="1566"/>
    </row>
    <row r="922" spans="2:37" ht="9.4" customHeight="1">
      <c r="B922" s="1568" t="s">
        <v>1326</v>
      </c>
      <c r="C922" s="1568"/>
      <c r="D922" s="1568"/>
      <c r="E922" s="1568" t="s">
        <v>2372</v>
      </c>
      <c r="F922" s="1568"/>
      <c r="G922" s="1568"/>
      <c r="H922" s="1568"/>
      <c r="J922" s="1568" t="s">
        <v>2264</v>
      </c>
      <c r="K922" s="1568"/>
      <c r="L922" s="1568"/>
      <c r="M922" s="1566">
        <v>43084.91</v>
      </c>
      <c r="N922" s="1566"/>
      <c r="O922" s="1566"/>
      <c r="P922" s="1566">
        <v>0</v>
      </c>
      <c r="Q922" s="1566"/>
      <c r="R922" s="1566"/>
      <c r="S922" s="1566">
        <v>6650.72</v>
      </c>
      <c r="T922" s="1566"/>
      <c r="U922" s="1566"/>
      <c r="V922" s="1566"/>
      <c r="W922" s="1566">
        <v>0</v>
      </c>
      <c r="X922" s="1566"/>
      <c r="Y922" s="1566"/>
      <c r="Z922" s="1566"/>
      <c r="AA922" s="1566">
        <v>49735.63</v>
      </c>
      <c r="AB922" s="1566"/>
      <c r="AC922" s="1566"/>
      <c r="AD922" s="1566"/>
      <c r="AE922" s="1566"/>
      <c r="AF922" s="1566"/>
      <c r="AG922" s="1566">
        <v>0</v>
      </c>
      <c r="AH922" s="1566"/>
      <c r="AI922" s="1566"/>
      <c r="AJ922" s="1566"/>
      <c r="AK922" s="1566"/>
    </row>
    <row r="923" spans="2:37" ht="9.4" customHeight="1">
      <c r="B923" s="1568" t="s">
        <v>1326</v>
      </c>
      <c r="C923" s="1568"/>
      <c r="D923" s="1568"/>
      <c r="E923" s="1568" t="s">
        <v>2373</v>
      </c>
      <c r="F923" s="1568"/>
      <c r="G923" s="1568"/>
      <c r="H923" s="1568"/>
      <c r="J923" s="1568" t="s">
        <v>2374</v>
      </c>
      <c r="K923" s="1568"/>
      <c r="L923" s="1568"/>
      <c r="M923" s="1566">
        <v>82343.88</v>
      </c>
      <c r="N923" s="1566"/>
      <c r="O923" s="1566"/>
      <c r="P923" s="1566">
        <v>0</v>
      </c>
      <c r="Q923" s="1566"/>
      <c r="R923" s="1566"/>
      <c r="S923" s="1566">
        <v>27447.96</v>
      </c>
      <c r="T923" s="1566"/>
      <c r="U923" s="1566"/>
      <c r="V923" s="1566"/>
      <c r="W923" s="1566">
        <v>0</v>
      </c>
      <c r="X923" s="1566"/>
      <c r="Y923" s="1566"/>
      <c r="Z923" s="1566"/>
      <c r="AA923" s="1566">
        <v>109791.84</v>
      </c>
      <c r="AB923" s="1566"/>
      <c r="AC923" s="1566"/>
      <c r="AD923" s="1566"/>
      <c r="AE923" s="1566"/>
      <c r="AF923" s="1566"/>
      <c r="AG923" s="1566">
        <v>0</v>
      </c>
      <c r="AH923" s="1566"/>
      <c r="AI923" s="1566"/>
      <c r="AJ923" s="1566"/>
      <c r="AK923" s="1566"/>
    </row>
    <row r="924" spans="2:37" ht="9.4" customHeight="1">
      <c r="B924" s="1568" t="s">
        <v>1326</v>
      </c>
      <c r="C924" s="1568"/>
      <c r="D924" s="1568"/>
      <c r="E924" s="1568" t="s">
        <v>2375</v>
      </c>
      <c r="F924" s="1568"/>
      <c r="G924" s="1568"/>
      <c r="H924" s="1568"/>
      <c r="J924" s="1568" t="s">
        <v>2376</v>
      </c>
      <c r="K924" s="1568"/>
      <c r="L924" s="1568"/>
      <c r="M924" s="1566">
        <v>59870.52</v>
      </c>
      <c r="N924" s="1566"/>
      <c r="O924" s="1566"/>
      <c r="P924" s="1566">
        <v>0</v>
      </c>
      <c r="Q924" s="1566"/>
      <c r="R924" s="1566"/>
      <c r="S924" s="1566">
        <v>19956.84</v>
      </c>
      <c r="T924" s="1566"/>
      <c r="U924" s="1566"/>
      <c r="V924" s="1566"/>
      <c r="W924" s="1566">
        <v>0</v>
      </c>
      <c r="X924" s="1566"/>
      <c r="Y924" s="1566"/>
      <c r="Z924" s="1566"/>
      <c r="AA924" s="1566">
        <v>79827.360000000001</v>
      </c>
      <c r="AB924" s="1566"/>
      <c r="AC924" s="1566"/>
      <c r="AD924" s="1566"/>
      <c r="AE924" s="1566"/>
      <c r="AF924" s="1566"/>
      <c r="AG924" s="1566">
        <v>0</v>
      </c>
      <c r="AH924" s="1566"/>
      <c r="AI924" s="1566"/>
      <c r="AJ924" s="1566"/>
      <c r="AK924" s="1566"/>
    </row>
    <row r="925" spans="2:37" ht="9.4" customHeight="1">
      <c r="B925" s="1568" t="s">
        <v>1326</v>
      </c>
      <c r="C925" s="1568"/>
      <c r="D925" s="1568"/>
      <c r="E925" s="1568" t="s">
        <v>2377</v>
      </c>
      <c r="F925" s="1568"/>
      <c r="G925" s="1568"/>
      <c r="H925" s="1568"/>
      <c r="J925" s="1568" t="s">
        <v>2266</v>
      </c>
      <c r="K925" s="1568"/>
      <c r="L925" s="1568"/>
      <c r="M925" s="1566">
        <v>59870.52</v>
      </c>
      <c r="N925" s="1566"/>
      <c r="O925" s="1566"/>
      <c r="P925" s="1566">
        <v>0</v>
      </c>
      <c r="Q925" s="1566"/>
      <c r="R925" s="1566"/>
      <c r="S925" s="1566">
        <v>19956.84</v>
      </c>
      <c r="T925" s="1566"/>
      <c r="U925" s="1566"/>
      <c r="V925" s="1566"/>
      <c r="W925" s="1566">
        <v>0</v>
      </c>
      <c r="X925" s="1566"/>
      <c r="Y925" s="1566"/>
      <c r="Z925" s="1566"/>
      <c r="AA925" s="1566">
        <v>79827.360000000001</v>
      </c>
      <c r="AB925" s="1566"/>
      <c r="AC925" s="1566"/>
      <c r="AD925" s="1566"/>
      <c r="AE925" s="1566"/>
      <c r="AF925" s="1566"/>
      <c r="AG925" s="1566">
        <v>0</v>
      </c>
      <c r="AH925" s="1566"/>
      <c r="AI925" s="1566"/>
      <c r="AJ925" s="1566"/>
      <c r="AK925" s="1566"/>
    </row>
    <row r="926" spans="2:37" ht="9.4" customHeight="1">
      <c r="B926" s="1568" t="s">
        <v>1326</v>
      </c>
      <c r="C926" s="1568"/>
      <c r="D926" s="1568"/>
      <c r="E926" s="1568" t="s">
        <v>2969</v>
      </c>
      <c r="F926" s="1568"/>
      <c r="G926" s="1568"/>
      <c r="H926" s="1568"/>
      <c r="J926" s="1568" t="s">
        <v>2970</v>
      </c>
      <c r="K926" s="1568"/>
      <c r="L926" s="1568"/>
      <c r="M926" s="1566">
        <v>22473.360000000001</v>
      </c>
      <c r="N926" s="1566"/>
      <c r="O926" s="1566"/>
      <c r="P926" s="1566">
        <v>0</v>
      </c>
      <c r="Q926" s="1566"/>
      <c r="R926" s="1566"/>
      <c r="S926" s="1566">
        <v>7491.12</v>
      </c>
      <c r="T926" s="1566"/>
      <c r="U926" s="1566"/>
      <c r="V926" s="1566"/>
      <c r="W926" s="1566">
        <v>0</v>
      </c>
      <c r="X926" s="1566"/>
      <c r="Y926" s="1566"/>
      <c r="Z926" s="1566"/>
      <c r="AA926" s="1566">
        <v>29964.48</v>
      </c>
      <c r="AB926" s="1566"/>
      <c r="AC926" s="1566"/>
      <c r="AD926" s="1566"/>
      <c r="AE926" s="1566"/>
      <c r="AF926" s="1566"/>
      <c r="AG926" s="1566">
        <v>0</v>
      </c>
      <c r="AH926" s="1566"/>
      <c r="AI926" s="1566"/>
      <c r="AJ926" s="1566"/>
      <c r="AK926" s="1566"/>
    </row>
    <row r="927" spans="2:37" ht="9.4" customHeight="1">
      <c r="B927" s="1568" t="s">
        <v>1326</v>
      </c>
      <c r="C927" s="1568"/>
      <c r="D927" s="1568"/>
      <c r="E927" s="1568" t="s">
        <v>2971</v>
      </c>
      <c r="F927" s="1568"/>
      <c r="G927" s="1568"/>
      <c r="H927" s="1568"/>
      <c r="J927" s="1568" t="s">
        <v>2968</v>
      </c>
      <c r="K927" s="1568"/>
      <c r="L927" s="1568"/>
      <c r="M927" s="1566">
        <v>22473.360000000001</v>
      </c>
      <c r="N927" s="1566"/>
      <c r="O927" s="1566"/>
      <c r="P927" s="1566">
        <v>0</v>
      </c>
      <c r="Q927" s="1566"/>
      <c r="R927" s="1566"/>
      <c r="S927" s="1566">
        <v>7491.12</v>
      </c>
      <c r="T927" s="1566"/>
      <c r="U927" s="1566"/>
      <c r="V927" s="1566"/>
      <c r="W927" s="1566">
        <v>0</v>
      </c>
      <c r="X927" s="1566"/>
      <c r="Y927" s="1566"/>
      <c r="Z927" s="1566"/>
      <c r="AA927" s="1566">
        <v>29964.48</v>
      </c>
      <c r="AB927" s="1566"/>
      <c r="AC927" s="1566"/>
      <c r="AD927" s="1566"/>
      <c r="AE927" s="1566"/>
      <c r="AF927" s="1566"/>
      <c r="AG927" s="1566">
        <v>0</v>
      </c>
      <c r="AH927" s="1566"/>
      <c r="AI927" s="1566"/>
      <c r="AJ927" s="1566"/>
      <c r="AK927" s="1566"/>
    </row>
    <row r="928" spans="2:37" ht="9.4" customHeight="1">
      <c r="B928" s="1568" t="s">
        <v>1326</v>
      </c>
      <c r="C928" s="1568"/>
      <c r="D928" s="1568"/>
      <c r="E928" s="1568" t="s">
        <v>2378</v>
      </c>
      <c r="F928" s="1568"/>
      <c r="G928" s="1568"/>
      <c r="H928" s="1568"/>
      <c r="J928" s="1568" t="s">
        <v>1855</v>
      </c>
      <c r="K928" s="1568"/>
      <c r="L928" s="1568"/>
      <c r="M928" s="1566">
        <v>1073368.2</v>
      </c>
      <c r="N928" s="1566"/>
      <c r="O928" s="1566"/>
      <c r="P928" s="1566">
        <v>0</v>
      </c>
      <c r="Q928" s="1566"/>
      <c r="R928" s="1566"/>
      <c r="S928" s="1566">
        <v>374088.16</v>
      </c>
      <c r="T928" s="1566"/>
      <c r="U928" s="1566"/>
      <c r="V928" s="1566"/>
      <c r="W928" s="1566">
        <v>0</v>
      </c>
      <c r="X928" s="1566"/>
      <c r="Y928" s="1566"/>
      <c r="Z928" s="1566"/>
      <c r="AA928" s="1566">
        <v>1447456.36</v>
      </c>
      <c r="AB928" s="1566"/>
      <c r="AC928" s="1566"/>
      <c r="AD928" s="1566"/>
      <c r="AE928" s="1566"/>
      <c r="AF928" s="1566"/>
      <c r="AG928" s="1566">
        <v>0</v>
      </c>
      <c r="AH928" s="1566"/>
      <c r="AI928" s="1566"/>
      <c r="AJ928" s="1566"/>
      <c r="AK928" s="1566"/>
    </row>
    <row r="929" spans="2:37" ht="9.4" customHeight="1">
      <c r="B929" s="1568" t="s">
        <v>1326</v>
      </c>
      <c r="C929" s="1568"/>
      <c r="D929" s="1568"/>
      <c r="E929" s="1568" t="s">
        <v>2379</v>
      </c>
      <c r="F929" s="1568"/>
      <c r="G929" s="1568"/>
      <c r="H929" s="1568"/>
      <c r="J929" s="1568" t="s">
        <v>2380</v>
      </c>
      <c r="K929" s="1568"/>
      <c r="L929" s="1568"/>
      <c r="M929" s="1566">
        <v>1031286.22</v>
      </c>
      <c r="N929" s="1566"/>
      <c r="O929" s="1566"/>
      <c r="P929" s="1566">
        <v>0</v>
      </c>
      <c r="Q929" s="1566"/>
      <c r="R929" s="1566"/>
      <c r="S929" s="1566">
        <v>341180.7</v>
      </c>
      <c r="T929" s="1566"/>
      <c r="U929" s="1566"/>
      <c r="V929" s="1566"/>
      <c r="W929" s="1566">
        <v>0</v>
      </c>
      <c r="X929" s="1566"/>
      <c r="Y929" s="1566"/>
      <c r="Z929" s="1566"/>
      <c r="AA929" s="1566">
        <v>1372466.92</v>
      </c>
      <c r="AB929" s="1566"/>
      <c r="AC929" s="1566"/>
      <c r="AD929" s="1566"/>
      <c r="AE929" s="1566"/>
      <c r="AF929" s="1566"/>
      <c r="AG929" s="1566">
        <v>0</v>
      </c>
      <c r="AH929" s="1566"/>
      <c r="AI929" s="1566"/>
      <c r="AJ929" s="1566"/>
      <c r="AK929" s="1566"/>
    </row>
    <row r="930" spans="2:37" ht="9.1999999999999993" customHeight="1">
      <c r="J930" s="1568"/>
      <c r="K930" s="1568"/>
      <c r="L930" s="1568"/>
    </row>
    <row r="931" spans="2:37" ht="8.4499999999999993" customHeight="1">
      <c r="B931" s="1568" t="s">
        <v>1326</v>
      </c>
      <c r="C931" s="1568"/>
      <c r="D931" s="1568"/>
      <c r="E931" s="1568" t="s">
        <v>1669</v>
      </c>
      <c r="F931" s="1568"/>
      <c r="G931" s="1568"/>
      <c r="H931" s="1568"/>
      <c r="J931" s="1568" t="s">
        <v>1670</v>
      </c>
      <c r="K931" s="1568"/>
      <c r="L931" s="1568"/>
      <c r="M931" s="1566">
        <v>765847.2</v>
      </c>
      <c r="N931" s="1566"/>
      <c r="O931" s="1566"/>
      <c r="P931" s="1566">
        <v>0</v>
      </c>
      <c r="Q931" s="1566"/>
      <c r="R931" s="1566"/>
      <c r="S931" s="1566">
        <v>255260.25</v>
      </c>
      <c r="T931" s="1566"/>
      <c r="U931" s="1566"/>
      <c r="V931" s="1566"/>
      <c r="W931" s="1566">
        <v>0</v>
      </c>
      <c r="X931" s="1566"/>
      <c r="Y931" s="1566"/>
      <c r="Z931" s="1566"/>
      <c r="AA931" s="1566">
        <v>1021107.45</v>
      </c>
      <c r="AB931" s="1566"/>
      <c r="AC931" s="1566"/>
      <c r="AD931" s="1566"/>
      <c r="AE931" s="1566"/>
      <c r="AF931" s="1566"/>
      <c r="AG931" s="1566">
        <v>0</v>
      </c>
      <c r="AH931" s="1566"/>
      <c r="AI931" s="1566"/>
      <c r="AJ931" s="1566"/>
      <c r="AK931" s="1566"/>
    </row>
    <row r="932" spans="2:37" ht="9.4" customHeight="1">
      <c r="B932" s="1568" t="s">
        <v>1326</v>
      </c>
      <c r="C932" s="1568"/>
      <c r="D932" s="1568"/>
      <c r="E932" s="1568" t="s">
        <v>1671</v>
      </c>
      <c r="F932" s="1568"/>
      <c r="G932" s="1568"/>
      <c r="H932" s="1568"/>
      <c r="J932" s="1568" t="s">
        <v>2205</v>
      </c>
      <c r="K932" s="1568"/>
      <c r="L932" s="1568"/>
      <c r="M932" s="1566">
        <v>765847.2</v>
      </c>
      <c r="N932" s="1566"/>
      <c r="O932" s="1566"/>
      <c r="P932" s="1566">
        <v>0</v>
      </c>
      <c r="Q932" s="1566"/>
      <c r="R932" s="1566"/>
      <c r="S932" s="1566">
        <v>255260.25</v>
      </c>
      <c r="T932" s="1566"/>
      <c r="U932" s="1566"/>
      <c r="V932" s="1566"/>
      <c r="W932" s="1566">
        <v>0</v>
      </c>
      <c r="X932" s="1566"/>
      <c r="Y932" s="1566"/>
      <c r="Z932" s="1566"/>
      <c r="AA932" s="1566">
        <v>1021107.45</v>
      </c>
      <c r="AB932" s="1566"/>
      <c r="AC932" s="1566"/>
      <c r="AD932" s="1566"/>
      <c r="AE932" s="1566"/>
      <c r="AF932" s="1566"/>
      <c r="AG932" s="1566">
        <v>0</v>
      </c>
      <c r="AH932" s="1566"/>
      <c r="AI932" s="1566"/>
      <c r="AJ932" s="1566"/>
      <c r="AK932" s="1566"/>
    </row>
    <row r="933" spans="2:37" ht="9.4" customHeight="1">
      <c r="B933" s="1568" t="s">
        <v>1326</v>
      </c>
      <c r="C933" s="1568"/>
      <c r="D933" s="1568"/>
      <c r="E933" s="1568" t="s">
        <v>1672</v>
      </c>
      <c r="F933" s="1568"/>
      <c r="G933" s="1568"/>
      <c r="H933" s="1568"/>
      <c r="J933" s="1568" t="s">
        <v>1673</v>
      </c>
      <c r="K933" s="1568"/>
      <c r="L933" s="1568"/>
      <c r="M933" s="1566">
        <v>265439.02</v>
      </c>
      <c r="N933" s="1566"/>
      <c r="O933" s="1566"/>
      <c r="P933" s="1566">
        <v>0</v>
      </c>
      <c r="Q933" s="1566"/>
      <c r="R933" s="1566"/>
      <c r="S933" s="1566">
        <v>85920.45</v>
      </c>
      <c r="T933" s="1566"/>
      <c r="U933" s="1566"/>
      <c r="V933" s="1566"/>
      <c r="W933" s="1566">
        <v>0</v>
      </c>
      <c r="X933" s="1566"/>
      <c r="Y933" s="1566"/>
      <c r="Z933" s="1566"/>
      <c r="AA933" s="1566">
        <v>351359.47</v>
      </c>
      <c r="AB933" s="1566"/>
      <c r="AC933" s="1566"/>
      <c r="AD933" s="1566"/>
      <c r="AE933" s="1566"/>
      <c r="AF933" s="1566"/>
      <c r="AG933" s="1566">
        <v>0</v>
      </c>
      <c r="AH933" s="1566"/>
      <c r="AI933" s="1566"/>
      <c r="AJ933" s="1566"/>
      <c r="AK933" s="1566"/>
    </row>
    <row r="934" spans="2:37" ht="9.4" customHeight="1">
      <c r="B934" s="1568" t="s">
        <v>1326</v>
      </c>
      <c r="C934" s="1568"/>
      <c r="D934" s="1568"/>
      <c r="E934" s="1568" t="s">
        <v>1674</v>
      </c>
      <c r="F934" s="1568"/>
      <c r="G934" s="1568"/>
      <c r="H934" s="1568"/>
      <c r="J934" s="1568" t="s">
        <v>2381</v>
      </c>
      <c r="K934" s="1568"/>
      <c r="L934" s="1568"/>
      <c r="M934" s="1566">
        <v>8482.24</v>
      </c>
      <c r="N934" s="1566"/>
      <c r="O934" s="1566"/>
      <c r="P934" s="1566">
        <v>0</v>
      </c>
      <c r="Q934" s="1566"/>
      <c r="R934" s="1566"/>
      <c r="S934" s="1566">
        <v>2877.49</v>
      </c>
      <c r="T934" s="1566"/>
      <c r="U934" s="1566"/>
      <c r="V934" s="1566"/>
      <c r="W934" s="1566">
        <v>0</v>
      </c>
      <c r="X934" s="1566"/>
      <c r="Y934" s="1566"/>
      <c r="Z934" s="1566"/>
      <c r="AA934" s="1566">
        <v>11359.73</v>
      </c>
      <c r="AB934" s="1566"/>
      <c r="AC934" s="1566"/>
      <c r="AD934" s="1566"/>
      <c r="AE934" s="1566"/>
      <c r="AF934" s="1566"/>
      <c r="AG934" s="1566">
        <v>0</v>
      </c>
      <c r="AH934" s="1566"/>
      <c r="AI934" s="1566"/>
      <c r="AJ934" s="1566"/>
      <c r="AK934" s="1566"/>
    </row>
    <row r="935" spans="2:37" ht="9.4" customHeight="1">
      <c r="B935" s="1568" t="s">
        <v>1326</v>
      </c>
      <c r="C935" s="1568"/>
      <c r="D935" s="1568"/>
      <c r="E935" s="1568" t="s">
        <v>1675</v>
      </c>
      <c r="F935" s="1568"/>
      <c r="G935" s="1568"/>
      <c r="H935" s="1568"/>
      <c r="J935" s="1568" t="s">
        <v>2381</v>
      </c>
      <c r="K935" s="1568"/>
      <c r="L935" s="1568"/>
      <c r="M935" s="1566">
        <v>93553.51</v>
      </c>
      <c r="N935" s="1566"/>
      <c r="O935" s="1566"/>
      <c r="P935" s="1566">
        <v>0</v>
      </c>
      <c r="Q935" s="1566"/>
      <c r="R935" s="1566"/>
      <c r="S935" s="1566">
        <v>31546.22</v>
      </c>
      <c r="T935" s="1566"/>
      <c r="U935" s="1566"/>
      <c r="V935" s="1566"/>
      <c r="W935" s="1566">
        <v>0</v>
      </c>
      <c r="X935" s="1566"/>
      <c r="Y935" s="1566"/>
      <c r="Z935" s="1566"/>
      <c r="AA935" s="1566">
        <v>125099.73</v>
      </c>
      <c r="AB935" s="1566"/>
      <c r="AC935" s="1566"/>
      <c r="AD935" s="1566"/>
      <c r="AE935" s="1566"/>
      <c r="AF935" s="1566"/>
      <c r="AG935" s="1566">
        <v>0</v>
      </c>
      <c r="AH935" s="1566"/>
      <c r="AI935" s="1566"/>
      <c r="AJ935" s="1566"/>
      <c r="AK935" s="1566"/>
    </row>
    <row r="936" spans="2:37" ht="9.4" customHeight="1">
      <c r="B936" s="1568" t="s">
        <v>1326</v>
      </c>
      <c r="C936" s="1568"/>
      <c r="D936" s="1568"/>
      <c r="E936" s="1568" t="s">
        <v>1676</v>
      </c>
      <c r="F936" s="1568"/>
      <c r="G936" s="1568"/>
      <c r="H936" s="1568"/>
      <c r="J936" s="1568" t="s">
        <v>2223</v>
      </c>
      <c r="K936" s="1568"/>
      <c r="L936" s="1568"/>
      <c r="M936" s="1566">
        <v>108079.95</v>
      </c>
      <c r="N936" s="1566"/>
      <c r="O936" s="1566"/>
      <c r="P936" s="1566">
        <v>0</v>
      </c>
      <c r="Q936" s="1566"/>
      <c r="R936" s="1566"/>
      <c r="S936" s="1566">
        <v>30021.61</v>
      </c>
      <c r="T936" s="1566"/>
      <c r="U936" s="1566"/>
      <c r="V936" s="1566"/>
      <c r="W936" s="1566">
        <v>0</v>
      </c>
      <c r="X936" s="1566"/>
      <c r="Y936" s="1566"/>
      <c r="Z936" s="1566"/>
      <c r="AA936" s="1566">
        <v>138101.56</v>
      </c>
      <c r="AB936" s="1566"/>
      <c r="AC936" s="1566"/>
      <c r="AD936" s="1566"/>
      <c r="AE936" s="1566"/>
      <c r="AF936" s="1566"/>
      <c r="AG936" s="1566">
        <v>0</v>
      </c>
      <c r="AH936" s="1566"/>
      <c r="AI936" s="1566"/>
      <c r="AJ936" s="1566"/>
      <c r="AK936" s="1566"/>
    </row>
    <row r="937" spans="2:37" ht="9.4" customHeight="1">
      <c r="B937" s="1568" t="s">
        <v>1326</v>
      </c>
      <c r="C937" s="1568"/>
      <c r="D937" s="1568"/>
      <c r="E937" s="1568" t="s">
        <v>1677</v>
      </c>
      <c r="F937" s="1568"/>
      <c r="G937" s="1568"/>
      <c r="H937" s="1568"/>
      <c r="J937" s="1568" t="s">
        <v>2382</v>
      </c>
      <c r="K937" s="1568"/>
      <c r="L937" s="1568"/>
      <c r="M937" s="1566">
        <v>55323.32</v>
      </c>
      <c r="N937" s="1566"/>
      <c r="O937" s="1566"/>
      <c r="P937" s="1566">
        <v>0</v>
      </c>
      <c r="Q937" s="1566"/>
      <c r="R937" s="1566"/>
      <c r="S937" s="1566">
        <v>21475.13</v>
      </c>
      <c r="T937" s="1566"/>
      <c r="U937" s="1566"/>
      <c r="V937" s="1566"/>
      <c r="W937" s="1566">
        <v>0</v>
      </c>
      <c r="X937" s="1566"/>
      <c r="Y937" s="1566"/>
      <c r="Z937" s="1566"/>
      <c r="AA937" s="1566">
        <v>76798.45</v>
      </c>
      <c r="AB937" s="1566"/>
      <c r="AC937" s="1566"/>
      <c r="AD937" s="1566"/>
      <c r="AE937" s="1566"/>
      <c r="AF937" s="1566"/>
      <c r="AG937" s="1566">
        <v>0</v>
      </c>
      <c r="AH937" s="1566"/>
      <c r="AI937" s="1566"/>
      <c r="AJ937" s="1566"/>
      <c r="AK937" s="1566"/>
    </row>
    <row r="938" spans="2:37" ht="9.4" customHeight="1">
      <c r="B938" s="1568" t="s">
        <v>1326</v>
      </c>
      <c r="C938" s="1568"/>
      <c r="D938" s="1568"/>
      <c r="E938" s="1568" t="s">
        <v>1779</v>
      </c>
      <c r="F938" s="1568"/>
      <c r="G938" s="1568"/>
      <c r="H938" s="1568"/>
      <c r="J938" s="1568" t="s">
        <v>1780</v>
      </c>
      <c r="K938" s="1568"/>
      <c r="L938" s="1568"/>
      <c r="M938" s="1566">
        <v>42081.98</v>
      </c>
      <c r="N938" s="1566"/>
      <c r="O938" s="1566"/>
      <c r="P938" s="1566">
        <v>0</v>
      </c>
      <c r="Q938" s="1566"/>
      <c r="R938" s="1566"/>
      <c r="S938" s="1566">
        <v>32907.46</v>
      </c>
      <c r="T938" s="1566"/>
      <c r="U938" s="1566"/>
      <c r="V938" s="1566"/>
      <c r="W938" s="1566">
        <v>0</v>
      </c>
      <c r="X938" s="1566"/>
      <c r="Y938" s="1566"/>
      <c r="Z938" s="1566"/>
      <c r="AA938" s="1566">
        <v>74989.440000000002</v>
      </c>
      <c r="AB938" s="1566"/>
      <c r="AC938" s="1566"/>
      <c r="AD938" s="1566"/>
      <c r="AE938" s="1566"/>
      <c r="AF938" s="1566"/>
      <c r="AG938" s="1566">
        <v>0</v>
      </c>
      <c r="AH938" s="1566"/>
      <c r="AI938" s="1566"/>
      <c r="AJ938" s="1566"/>
      <c r="AK938" s="1566"/>
    </row>
    <row r="939" spans="2:37" ht="9.4" customHeight="1">
      <c r="B939" s="1568" t="s">
        <v>1326</v>
      </c>
      <c r="C939" s="1568"/>
      <c r="D939" s="1568"/>
      <c r="E939" s="1568" t="s">
        <v>6511</v>
      </c>
      <c r="F939" s="1568"/>
      <c r="G939" s="1568"/>
      <c r="H939" s="1568"/>
      <c r="J939" s="1568" t="s">
        <v>6512</v>
      </c>
      <c r="K939" s="1568"/>
      <c r="L939" s="1568"/>
      <c r="M939" s="1566">
        <v>14371.68</v>
      </c>
      <c r="N939" s="1566"/>
      <c r="O939" s="1566"/>
      <c r="P939" s="1566">
        <v>0</v>
      </c>
      <c r="Q939" s="1566"/>
      <c r="R939" s="1566"/>
      <c r="S939" s="1566">
        <v>29036.78</v>
      </c>
      <c r="T939" s="1566"/>
      <c r="U939" s="1566"/>
      <c r="V939" s="1566"/>
      <c r="W939" s="1566">
        <v>0</v>
      </c>
      <c r="X939" s="1566"/>
      <c r="Y939" s="1566"/>
      <c r="Z939" s="1566"/>
      <c r="AA939" s="1566">
        <v>43408.46</v>
      </c>
      <c r="AB939" s="1566"/>
      <c r="AC939" s="1566"/>
      <c r="AD939" s="1566"/>
      <c r="AE939" s="1566"/>
      <c r="AF939" s="1566"/>
      <c r="AG939" s="1566">
        <v>0</v>
      </c>
      <c r="AH939" s="1566"/>
      <c r="AI939" s="1566"/>
      <c r="AJ939" s="1566"/>
      <c r="AK939" s="1566"/>
    </row>
    <row r="940" spans="2:37" ht="9.4" customHeight="1">
      <c r="B940" s="1568" t="s">
        <v>1326</v>
      </c>
      <c r="C940" s="1568"/>
      <c r="D940" s="1568"/>
      <c r="E940" s="1568" t="s">
        <v>6513</v>
      </c>
      <c r="F940" s="1568"/>
      <c r="G940" s="1568"/>
      <c r="H940" s="1568"/>
      <c r="J940" s="1568" t="s">
        <v>6514</v>
      </c>
      <c r="K940" s="1568"/>
      <c r="L940" s="1568"/>
      <c r="M940" s="1566">
        <v>14371.68</v>
      </c>
      <c r="N940" s="1566"/>
      <c r="O940" s="1566"/>
      <c r="P940" s="1566">
        <v>0</v>
      </c>
      <c r="Q940" s="1566"/>
      <c r="R940" s="1566"/>
      <c r="S940" s="1566">
        <v>29036.78</v>
      </c>
      <c r="T940" s="1566"/>
      <c r="U940" s="1566"/>
      <c r="V940" s="1566"/>
      <c r="W940" s="1566">
        <v>0</v>
      </c>
      <c r="X940" s="1566"/>
      <c r="Y940" s="1566"/>
      <c r="Z940" s="1566"/>
      <c r="AA940" s="1566">
        <v>43408.46</v>
      </c>
      <c r="AB940" s="1566"/>
      <c r="AC940" s="1566"/>
      <c r="AD940" s="1566"/>
      <c r="AE940" s="1566"/>
      <c r="AF940" s="1566"/>
      <c r="AG940" s="1566">
        <v>0</v>
      </c>
      <c r="AH940" s="1566"/>
      <c r="AI940" s="1566"/>
      <c r="AJ940" s="1566"/>
      <c r="AK940" s="1566"/>
    </row>
    <row r="941" spans="2:37" ht="9.4" customHeight="1">
      <c r="B941" s="1568" t="s">
        <v>1326</v>
      </c>
      <c r="C941" s="1568"/>
      <c r="D941" s="1568"/>
      <c r="E941" s="1568" t="s">
        <v>1678</v>
      </c>
      <c r="F941" s="1568"/>
      <c r="G941" s="1568"/>
      <c r="H941" s="1568"/>
      <c r="J941" s="1568" t="s">
        <v>1679</v>
      </c>
      <c r="K941" s="1568"/>
      <c r="L941" s="1568"/>
      <c r="M941" s="1566">
        <v>27710.3</v>
      </c>
      <c r="N941" s="1566"/>
      <c r="O941" s="1566"/>
      <c r="P941" s="1566">
        <v>0</v>
      </c>
      <c r="Q941" s="1566"/>
      <c r="R941" s="1566"/>
      <c r="S941" s="1566">
        <v>3870.68</v>
      </c>
      <c r="T941" s="1566"/>
      <c r="U941" s="1566"/>
      <c r="V941" s="1566"/>
      <c r="W941" s="1566">
        <v>0</v>
      </c>
      <c r="X941" s="1566"/>
      <c r="Y941" s="1566"/>
      <c r="Z941" s="1566"/>
      <c r="AA941" s="1566">
        <v>31580.98</v>
      </c>
      <c r="AB941" s="1566"/>
      <c r="AC941" s="1566"/>
      <c r="AD941" s="1566"/>
      <c r="AE941" s="1566"/>
      <c r="AF941" s="1566"/>
      <c r="AG941" s="1566">
        <v>0</v>
      </c>
      <c r="AH941" s="1566"/>
      <c r="AI941" s="1566"/>
      <c r="AJ941" s="1566"/>
      <c r="AK941" s="1566"/>
    </row>
    <row r="942" spans="2:37" ht="9.4" customHeight="1">
      <c r="B942" s="1568" t="s">
        <v>1326</v>
      </c>
      <c r="C942" s="1568"/>
      <c r="D942" s="1568"/>
      <c r="E942" s="1568" t="s">
        <v>1680</v>
      </c>
      <c r="F942" s="1568"/>
      <c r="G942" s="1568"/>
      <c r="H942" s="1568"/>
      <c r="J942" s="1568" t="s">
        <v>2384</v>
      </c>
      <c r="K942" s="1568"/>
      <c r="L942" s="1568"/>
      <c r="M942" s="1566">
        <v>21067.67</v>
      </c>
      <c r="N942" s="1566"/>
      <c r="O942" s="1566"/>
      <c r="P942" s="1566">
        <v>0</v>
      </c>
      <c r="Q942" s="1566"/>
      <c r="R942" s="1566"/>
      <c r="S942" s="1566">
        <v>2831.09</v>
      </c>
      <c r="T942" s="1566"/>
      <c r="U942" s="1566"/>
      <c r="V942" s="1566"/>
      <c r="W942" s="1566">
        <v>0</v>
      </c>
      <c r="X942" s="1566"/>
      <c r="Y942" s="1566"/>
      <c r="Z942" s="1566"/>
      <c r="AA942" s="1566">
        <v>23898.76</v>
      </c>
      <c r="AB942" s="1566"/>
      <c r="AC942" s="1566"/>
      <c r="AD942" s="1566"/>
      <c r="AE942" s="1566"/>
      <c r="AF942" s="1566"/>
      <c r="AG942" s="1566">
        <v>0</v>
      </c>
      <c r="AH942" s="1566"/>
      <c r="AI942" s="1566"/>
      <c r="AJ942" s="1566"/>
      <c r="AK942" s="1566"/>
    </row>
    <row r="943" spans="2:37" ht="9.4" customHeight="1">
      <c r="B943" s="1568" t="s">
        <v>1326</v>
      </c>
      <c r="C943" s="1568"/>
      <c r="D943" s="1568"/>
      <c r="E943" s="1568" t="s">
        <v>1681</v>
      </c>
      <c r="F943" s="1568"/>
      <c r="G943" s="1568"/>
      <c r="H943" s="1568"/>
      <c r="J943" s="1568" t="s">
        <v>2385</v>
      </c>
      <c r="K943" s="1568"/>
      <c r="L943" s="1568"/>
      <c r="M943" s="1566">
        <v>6642.63</v>
      </c>
      <c r="N943" s="1566"/>
      <c r="O943" s="1566"/>
      <c r="P943" s="1566">
        <v>0</v>
      </c>
      <c r="Q943" s="1566"/>
      <c r="R943" s="1566"/>
      <c r="S943" s="1566">
        <v>1039.5899999999999</v>
      </c>
      <c r="T943" s="1566"/>
      <c r="U943" s="1566"/>
      <c r="V943" s="1566"/>
      <c r="W943" s="1566">
        <v>0</v>
      </c>
      <c r="X943" s="1566"/>
      <c r="Y943" s="1566"/>
      <c r="Z943" s="1566"/>
      <c r="AA943" s="1566">
        <v>7682.22</v>
      </c>
      <c r="AB943" s="1566"/>
      <c r="AC943" s="1566"/>
      <c r="AD943" s="1566"/>
      <c r="AE943" s="1566"/>
      <c r="AF943" s="1566"/>
      <c r="AG943" s="1566">
        <v>0</v>
      </c>
      <c r="AH943" s="1566"/>
      <c r="AI943" s="1566"/>
      <c r="AJ943" s="1566"/>
      <c r="AK943" s="1566"/>
    </row>
    <row r="944" spans="2:37" ht="9.4" customHeight="1">
      <c r="B944" s="1568" t="s">
        <v>1326</v>
      </c>
      <c r="C944" s="1568"/>
      <c r="D944" s="1568"/>
      <c r="E944" s="1568" t="s">
        <v>6247</v>
      </c>
      <c r="F944" s="1568"/>
      <c r="G944" s="1568"/>
      <c r="H944" s="1568"/>
      <c r="J944" s="1568" t="s">
        <v>6248</v>
      </c>
      <c r="K944" s="1568"/>
      <c r="L944" s="1568"/>
      <c r="M944" s="1566">
        <v>0</v>
      </c>
      <c r="N944" s="1566"/>
      <c r="O944" s="1566"/>
      <c r="P944" s="1566">
        <v>0</v>
      </c>
      <c r="Q944" s="1566"/>
      <c r="R944" s="1566"/>
      <c r="S944" s="1566">
        <v>0</v>
      </c>
      <c r="T944" s="1566"/>
      <c r="U944" s="1566"/>
      <c r="V944" s="1566"/>
      <c r="W944" s="1566">
        <v>0</v>
      </c>
      <c r="X944" s="1566"/>
      <c r="Y944" s="1566"/>
      <c r="Z944" s="1566"/>
      <c r="AA944" s="1566">
        <v>0</v>
      </c>
      <c r="AB944" s="1566"/>
      <c r="AC944" s="1566"/>
      <c r="AD944" s="1566"/>
      <c r="AE944" s="1566"/>
      <c r="AF944" s="1566"/>
      <c r="AG944" s="1566">
        <v>0</v>
      </c>
      <c r="AH944" s="1566"/>
      <c r="AI944" s="1566"/>
      <c r="AJ944" s="1566"/>
      <c r="AK944" s="1566"/>
    </row>
    <row r="945" spans="1:38" ht="9.4" customHeight="1">
      <c r="B945" s="1568" t="s">
        <v>1326</v>
      </c>
      <c r="C945" s="1568"/>
      <c r="D945" s="1568"/>
      <c r="E945" s="1568" t="s">
        <v>2386</v>
      </c>
      <c r="F945" s="1568"/>
      <c r="G945" s="1568"/>
      <c r="H945" s="1568"/>
      <c r="J945" s="1568" t="s">
        <v>5921</v>
      </c>
      <c r="K945" s="1568"/>
      <c r="L945" s="1568"/>
      <c r="M945" s="1566">
        <v>0</v>
      </c>
      <c r="N945" s="1566"/>
      <c r="O945" s="1566"/>
      <c r="P945" s="1566">
        <v>0</v>
      </c>
      <c r="Q945" s="1566"/>
      <c r="R945" s="1566"/>
      <c r="S945" s="1566">
        <v>31483047.120000001</v>
      </c>
      <c r="T945" s="1566"/>
      <c r="U945" s="1566"/>
      <c r="V945" s="1566"/>
      <c r="W945" s="1566">
        <v>31483047.120000001</v>
      </c>
      <c r="X945" s="1566"/>
      <c r="Y945" s="1566"/>
      <c r="Z945" s="1566"/>
      <c r="AA945" s="1566">
        <v>0</v>
      </c>
      <c r="AB945" s="1566"/>
      <c r="AC945" s="1566"/>
      <c r="AD945" s="1566"/>
      <c r="AE945" s="1566"/>
      <c r="AF945" s="1566"/>
      <c r="AG945" s="1566">
        <v>0</v>
      </c>
      <c r="AH945" s="1566"/>
      <c r="AI945" s="1566"/>
      <c r="AJ945" s="1566"/>
      <c r="AK945" s="1566"/>
    </row>
    <row r="946" spans="1:38" ht="9.4" customHeight="1">
      <c r="B946" s="1568" t="s">
        <v>1326</v>
      </c>
      <c r="C946" s="1568"/>
      <c r="D946" s="1568"/>
      <c r="E946" s="1568" t="s">
        <v>2387</v>
      </c>
      <c r="F946" s="1568"/>
      <c r="G946" s="1568"/>
      <c r="H946" s="1568"/>
      <c r="J946" s="1568" t="s">
        <v>5922</v>
      </c>
      <c r="K946" s="1568"/>
      <c r="L946" s="1568"/>
      <c r="M946" s="1566">
        <v>0</v>
      </c>
      <c r="N946" s="1566"/>
      <c r="O946" s="1566"/>
      <c r="P946" s="1566">
        <v>0</v>
      </c>
      <c r="Q946" s="1566"/>
      <c r="R946" s="1566"/>
      <c r="S946" s="1566">
        <v>16536170.16</v>
      </c>
      <c r="T946" s="1566"/>
      <c r="U946" s="1566"/>
      <c r="V946" s="1566"/>
      <c r="W946" s="1566">
        <v>16536170.16</v>
      </c>
      <c r="X946" s="1566"/>
      <c r="Y946" s="1566"/>
      <c r="Z946" s="1566"/>
      <c r="AA946" s="1566">
        <v>0</v>
      </c>
      <c r="AB946" s="1566"/>
      <c r="AC946" s="1566"/>
      <c r="AD946" s="1566"/>
      <c r="AE946" s="1566"/>
      <c r="AF946" s="1566"/>
      <c r="AG946" s="1566">
        <v>0</v>
      </c>
      <c r="AH946" s="1566"/>
      <c r="AI946" s="1566"/>
      <c r="AJ946" s="1566"/>
      <c r="AK946" s="1566"/>
    </row>
    <row r="947" spans="1:38" ht="9.4" customHeight="1">
      <c r="B947" s="1568" t="s">
        <v>1326</v>
      </c>
      <c r="C947" s="1568"/>
      <c r="D947" s="1568"/>
      <c r="E947" s="1568" t="s">
        <v>1682</v>
      </c>
      <c r="F947" s="1568"/>
      <c r="G947" s="1568"/>
      <c r="H947" s="1568"/>
      <c r="J947" s="1568" t="s">
        <v>1683</v>
      </c>
      <c r="K947" s="1568"/>
      <c r="L947" s="1568"/>
      <c r="M947" s="1566">
        <v>104709875</v>
      </c>
      <c r="N947" s="1566"/>
      <c r="O947" s="1566"/>
      <c r="P947" s="1566">
        <v>0</v>
      </c>
      <c r="Q947" s="1566"/>
      <c r="R947" s="1566"/>
      <c r="S947" s="1566">
        <v>0</v>
      </c>
      <c r="T947" s="1566"/>
      <c r="U947" s="1566"/>
      <c r="V947" s="1566"/>
      <c r="W947" s="1566">
        <v>0</v>
      </c>
      <c r="X947" s="1566"/>
      <c r="Y947" s="1566"/>
      <c r="Z947" s="1566"/>
      <c r="AA947" s="1566">
        <v>104709875</v>
      </c>
      <c r="AB947" s="1566"/>
      <c r="AC947" s="1566"/>
      <c r="AD947" s="1566"/>
      <c r="AE947" s="1566"/>
      <c r="AF947" s="1566"/>
      <c r="AG947" s="1566">
        <v>0</v>
      </c>
      <c r="AH947" s="1566"/>
      <c r="AI947" s="1566"/>
      <c r="AJ947" s="1566"/>
      <c r="AK947" s="1566"/>
    </row>
    <row r="948" spans="1:38" ht="9.4" customHeight="1">
      <c r="B948" s="1568" t="s">
        <v>1326</v>
      </c>
      <c r="C948" s="1568"/>
      <c r="D948" s="1568"/>
      <c r="E948" s="1568" t="s">
        <v>3021</v>
      </c>
      <c r="F948" s="1568"/>
      <c r="G948" s="1568"/>
      <c r="H948" s="1568"/>
      <c r="J948" s="1568" t="s">
        <v>2996</v>
      </c>
      <c r="K948" s="1568"/>
      <c r="L948" s="1568"/>
      <c r="M948" s="1566">
        <v>101100153</v>
      </c>
      <c r="N948" s="1566"/>
      <c r="O948" s="1566"/>
      <c r="P948" s="1566">
        <v>0</v>
      </c>
      <c r="Q948" s="1566"/>
      <c r="R948" s="1566"/>
      <c r="S948" s="1566">
        <v>0</v>
      </c>
      <c r="T948" s="1566"/>
      <c r="U948" s="1566"/>
      <c r="V948" s="1566"/>
      <c r="W948" s="1566">
        <v>0</v>
      </c>
      <c r="X948" s="1566"/>
      <c r="Y948" s="1566"/>
      <c r="Z948" s="1566"/>
      <c r="AA948" s="1566">
        <v>101100153</v>
      </c>
      <c r="AB948" s="1566"/>
      <c r="AC948" s="1566"/>
      <c r="AD948" s="1566"/>
      <c r="AE948" s="1566"/>
      <c r="AF948" s="1566"/>
      <c r="AG948" s="1566">
        <v>0</v>
      </c>
      <c r="AH948" s="1566"/>
      <c r="AI948" s="1566"/>
      <c r="AJ948" s="1566"/>
      <c r="AK948" s="1566"/>
    </row>
    <row r="949" spans="1:38" ht="17.25" customHeight="1">
      <c r="J949" s="1568"/>
      <c r="K949" s="1568"/>
      <c r="L949" s="1568"/>
    </row>
    <row r="950" spans="1:38" ht="8.4499999999999993" customHeight="1">
      <c r="B950" s="1568" t="s">
        <v>1326</v>
      </c>
      <c r="C950" s="1568"/>
      <c r="D950" s="1568"/>
      <c r="E950" s="1568" t="s">
        <v>3022</v>
      </c>
      <c r="F950" s="1568"/>
      <c r="G950" s="1568"/>
      <c r="H950" s="1568"/>
      <c r="J950" s="1568" t="s">
        <v>3007</v>
      </c>
      <c r="K950" s="1568"/>
      <c r="L950" s="1568"/>
      <c r="M950" s="1566">
        <v>96844862</v>
      </c>
      <c r="N950" s="1566"/>
      <c r="O950" s="1566"/>
      <c r="P950" s="1566">
        <v>0</v>
      </c>
      <c r="Q950" s="1566"/>
      <c r="R950" s="1566"/>
      <c r="S950" s="1566">
        <v>0</v>
      </c>
      <c r="T950" s="1566"/>
      <c r="U950" s="1566"/>
      <c r="V950" s="1566"/>
      <c r="W950" s="1566">
        <v>0</v>
      </c>
      <c r="X950" s="1566"/>
      <c r="Y950" s="1566"/>
      <c r="Z950" s="1566"/>
      <c r="AA950" s="1566">
        <v>96844862</v>
      </c>
      <c r="AB950" s="1566"/>
      <c r="AC950" s="1566"/>
      <c r="AD950" s="1566"/>
      <c r="AE950" s="1566"/>
      <c r="AF950" s="1566"/>
      <c r="AG950" s="1566">
        <v>0</v>
      </c>
      <c r="AH950" s="1566"/>
      <c r="AI950" s="1566"/>
      <c r="AJ950" s="1566"/>
      <c r="AK950" s="1566"/>
    </row>
    <row r="951" spans="1:38" ht="9.1999999999999993" customHeight="1">
      <c r="J951" s="1568"/>
      <c r="K951" s="1568"/>
      <c r="L951" s="1568"/>
    </row>
    <row r="952" spans="1:38" ht="8.4499999999999993" customHeight="1">
      <c r="B952" s="1568" t="s">
        <v>1326</v>
      </c>
      <c r="C952" s="1568"/>
      <c r="D952" s="1568"/>
      <c r="E952" s="1568" t="s">
        <v>3023</v>
      </c>
      <c r="F952" s="1568"/>
      <c r="G952" s="1568"/>
      <c r="H952" s="1568"/>
      <c r="J952" s="1568" t="s">
        <v>2316</v>
      </c>
      <c r="K952" s="1568"/>
      <c r="L952" s="1568"/>
      <c r="M952" s="1566">
        <v>3973171</v>
      </c>
      <c r="N952" s="1566"/>
      <c r="O952" s="1566"/>
      <c r="P952" s="1566">
        <v>0</v>
      </c>
      <c r="Q952" s="1566"/>
      <c r="R952" s="1566"/>
      <c r="S952" s="1566">
        <v>0</v>
      </c>
      <c r="T952" s="1566"/>
      <c r="U952" s="1566"/>
      <c r="V952" s="1566"/>
      <c r="W952" s="1566">
        <v>0</v>
      </c>
      <c r="X952" s="1566"/>
      <c r="Y952" s="1566"/>
      <c r="Z952" s="1566"/>
      <c r="AA952" s="1566">
        <v>3973171</v>
      </c>
      <c r="AB952" s="1566"/>
      <c r="AC952" s="1566"/>
      <c r="AD952" s="1566"/>
      <c r="AE952" s="1566"/>
      <c r="AF952" s="1566"/>
      <c r="AG952" s="1566">
        <v>0</v>
      </c>
      <c r="AH952" s="1566"/>
      <c r="AI952" s="1566"/>
      <c r="AJ952" s="1566"/>
      <c r="AK952" s="1566"/>
    </row>
    <row r="953" spans="1:38" ht="9.4" customHeight="1">
      <c r="B953" s="1568" t="s">
        <v>1326</v>
      </c>
      <c r="C953" s="1568"/>
      <c r="D953" s="1568"/>
      <c r="E953" s="1568" t="s">
        <v>3024</v>
      </c>
      <c r="F953" s="1568"/>
      <c r="G953" s="1568"/>
      <c r="H953" s="1568"/>
      <c r="J953" s="1568" t="s">
        <v>2318</v>
      </c>
      <c r="K953" s="1568"/>
      <c r="L953" s="1568"/>
      <c r="M953" s="1566">
        <v>69830951</v>
      </c>
      <c r="N953" s="1566"/>
      <c r="O953" s="1566"/>
      <c r="P953" s="1566">
        <v>0</v>
      </c>
      <c r="Q953" s="1566"/>
      <c r="R953" s="1566"/>
      <c r="S953" s="1566">
        <v>0</v>
      </c>
      <c r="T953" s="1566"/>
      <c r="U953" s="1566"/>
      <c r="V953" s="1566"/>
      <c r="W953" s="1566">
        <v>0</v>
      </c>
      <c r="X953" s="1566"/>
      <c r="Y953" s="1566"/>
      <c r="Z953" s="1566"/>
      <c r="AA953" s="1566">
        <v>69830951</v>
      </c>
      <c r="AB953" s="1566"/>
      <c r="AC953" s="1566"/>
      <c r="AD953" s="1566"/>
      <c r="AE953" s="1566"/>
      <c r="AF953" s="1566"/>
      <c r="AG953" s="1566">
        <v>0</v>
      </c>
      <c r="AH953" s="1566"/>
      <c r="AI953" s="1566"/>
      <c r="AJ953" s="1566"/>
      <c r="AK953" s="1566"/>
    </row>
    <row r="954" spans="1:38" ht="9.4" customHeight="1">
      <c r="B954" s="1568" t="s">
        <v>1326</v>
      </c>
      <c r="C954" s="1568"/>
      <c r="D954" s="1568"/>
      <c r="E954" s="1568" t="s">
        <v>3025</v>
      </c>
      <c r="F954" s="1568"/>
      <c r="G954" s="1568"/>
      <c r="H954" s="1568"/>
      <c r="J954" s="1568" t="s">
        <v>2319</v>
      </c>
      <c r="K954" s="1568"/>
      <c r="L954" s="1568"/>
      <c r="M954" s="1566">
        <v>7400936</v>
      </c>
      <c r="N954" s="1566"/>
      <c r="O954" s="1566"/>
      <c r="P954" s="1566">
        <v>0</v>
      </c>
      <c r="Q954" s="1566"/>
      <c r="R954" s="1566"/>
      <c r="S954" s="1566">
        <v>0</v>
      </c>
      <c r="T954" s="1566"/>
      <c r="U954" s="1566"/>
      <c r="V954" s="1566"/>
      <c r="W954" s="1566">
        <v>0</v>
      </c>
      <c r="X954" s="1566"/>
      <c r="Y954" s="1566"/>
      <c r="Z954" s="1566"/>
      <c r="AA954" s="1566">
        <v>7400936</v>
      </c>
      <c r="AB954" s="1566"/>
      <c r="AC954" s="1566"/>
      <c r="AD954" s="1566"/>
      <c r="AE954" s="1566"/>
      <c r="AF954" s="1566"/>
      <c r="AG954" s="1566">
        <v>0</v>
      </c>
      <c r="AH954" s="1566"/>
      <c r="AI954" s="1566"/>
      <c r="AJ954" s="1566"/>
      <c r="AK954" s="1566"/>
    </row>
    <row r="955" spans="1:38" ht="9.4" customHeight="1">
      <c r="B955" s="1568" t="s">
        <v>1326</v>
      </c>
      <c r="C955" s="1568"/>
      <c r="D955" s="1568"/>
      <c r="E955" s="1568" t="s">
        <v>3026</v>
      </c>
      <c r="F955" s="1568"/>
      <c r="G955" s="1568"/>
      <c r="H955" s="1568"/>
      <c r="J955" s="1568" t="s">
        <v>2321</v>
      </c>
      <c r="K955" s="1568"/>
      <c r="L955" s="1568"/>
      <c r="M955" s="1566">
        <v>4041664</v>
      </c>
      <c r="N955" s="1566"/>
      <c r="O955" s="1566"/>
      <c r="P955" s="1566">
        <v>0</v>
      </c>
      <c r="Q955" s="1566"/>
      <c r="R955" s="1566"/>
      <c r="S955" s="1566">
        <v>0</v>
      </c>
      <c r="T955" s="1566"/>
      <c r="U955" s="1566"/>
      <c r="V955" s="1566"/>
      <c r="W955" s="1566">
        <v>0</v>
      </c>
      <c r="X955" s="1566"/>
      <c r="Y955" s="1566"/>
      <c r="Z955" s="1566"/>
      <c r="AA955" s="1566">
        <v>4041664</v>
      </c>
      <c r="AB955" s="1566"/>
      <c r="AC955" s="1566"/>
      <c r="AD955" s="1566"/>
      <c r="AE955" s="1566"/>
      <c r="AF955" s="1566"/>
      <c r="AG955" s="1566">
        <v>0</v>
      </c>
      <c r="AH955" s="1566"/>
      <c r="AI955" s="1566"/>
      <c r="AJ955" s="1566"/>
      <c r="AK955" s="1566"/>
    </row>
    <row r="956" spans="1:38" ht="15.75" customHeight="1">
      <c r="AG956" s="1565" t="s">
        <v>2393</v>
      </c>
      <c r="AH956" s="1565"/>
      <c r="AI956" s="1565"/>
      <c r="AJ956" s="1565"/>
      <c r="AK956" s="1565"/>
      <c r="AL956" s="1565"/>
    </row>
    <row r="957" spans="1:38" ht="7.15" customHeight="1">
      <c r="D957" s="1578" t="s">
        <v>2992</v>
      </c>
      <c r="E957" s="1578"/>
      <c r="F957" s="1578"/>
      <c r="G957" s="1578"/>
      <c r="H957" s="1578"/>
      <c r="I957" s="1578"/>
      <c r="J957" s="1578"/>
      <c r="K957" s="1578"/>
      <c r="L957" s="1578"/>
      <c r="M957" s="1578"/>
      <c r="N957" s="1578"/>
      <c r="O957" s="1578"/>
      <c r="P957" s="1578"/>
      <c r="Q957" s="1578"/>
      <c r="R957" s="1578"/>
      <c r="S957" s="1578"/>
      <c r="T957" s="1578"/>
      <c r="U957" s="1578"/>
      <c r="V957" s="1578"/>
      <c r="W957" s="1578"/>
      <c r="X957" s="1578"/>
      <c r="Y957" s="1578"/>
      <c r="Z957" s="1578"/>
      <c r="AA957" s="1578"/>
      <c r="AB957" s="1578"/>
      <c r="AC957" s="1578"/>
      <c r="AD957" s="1578"/>
      <c r="AE957" s="1578"/>
      <c r="AF957" s="1578"/>
      <c r="AG957" s="1578"/>
      <c r="AH957" s="1578"/>
    </row>
    <row r="958" spans="1:38" ht="9.6" customHeight="1">
      <c r="A958" s="1579"/>
      <c r="B958" s="1579"/>
      <c r="C958" s="1579"/>
      <c r="D958" s="1579"/>
      <c r="E958" s="1579"/>
      <c r="F958" s="1579"/>
      <c r="G958" s="1579"/>
      <c r="H958" s="1579"/>
      <c r="I958" s="1579"/>
      <c r="J958" s="1578"/>
      <c r="K958" s="1578"/>
      <c r="L958" s="1578"/>
      <c r="M958" s="1578"/>
      <c r="N958" s="1578"/>
      <c r="O958" s="1578"/>
      <c r="P958" s="1578"/>
      <c r="Q958" s="1578"/>
      <c r="R958" s="1578"/>
      <c r="S958" s="1578"/>
      <c r="T958" s="1578"/>
      <c r="U958" s="1578"/>
      <c r="V958" s="1578"/>
      <c r="W958" s="1578"/>
      <c r="X958" s="1578"/>
      <c r="Y958" s="1578"/>
      <c r="Z958" s="1578"/>
      <c r="AA958" s="1578"/>
      <c r="AB958" s="1578"/>
      <c r="AC958" s="1578"/>
      <c r="AD958" s="1578"/>
      <c r="AE958" s="1578"/>
      <c r="AF958" s="1578"/>
      <c r="AG958" s="1578"/>
      <c r="AH958" s="1578"/>
    </row>
    <row r="959" spans="1:38" ht="13.35" customHeight="1">
      <c r="A959" s="1579"/>
      <c r="B959" s="1579"/>
      <c r="C959" s="1579"/>
      <c r="D959" s="1579"/>
      <c r="E959" s="1579"/>
      <c r="F959" s="1579"/>
      <c r="G959" s="1579"/>
      <c r="H959" s="1579"/>
      <c r="I959" s="1579"/>
      <c r="J959" s="1580" t="s">
        <v>79</v>
      </c>
      <c r="K959" s="1580"/>
      <c r="L959" s="1580"/>
      <c r="M959" s="1580"/>
      <c r="N959" s="1580"/>
      <c r="O959" s="1580"/>
      <c r="P959" s="1580"/>
      <c r="Q959" s="1580"/>
      <c r="R959" s="1580"/>
      <c r="S959" s="1580"/>
      <c r="T959" s="1580"/>
      <c r="U959" s="1580"/>
      <c r="V959" s="1580"/>
      <c r="W959" s="1580"/>
      <c r="X959" s="1580"/>
      <c r="Y959" s="1580"/>
      <c r="Z959" s="1580"/>
      <c r="AA959" s="1580"/>
      <c r="AB959" s="1580"/>
      <c r="AC959" s="1580"/>
      <c r="AD959" s="1580"/>
      <c r="AE959" s="1580"/>
      <c r="AF959" s="1580"/>
    </row>
    <row r="960" spans="1:38" ht="5.25" customHeight="1">
      <c r="A960" s="1579"/>
      <c r="B960" s="1579"/>
      <c r="C960" s="1579"/>
      <c r="D960" s="1579"/>
      <c r="E960" s="1579"/>
      <c r="F960" s="1579"/>
      <c r="G960" s="1579"/>
      <c r="H960" s="1579"/>
      <c r="I960" s="1579"/>
      <c r="J960" s="1573" t="s">
        <v>6760</v>
      </c>
      <c r="K960" s="1573"/>
      <c r="L960" s="1573"/>
      <c r="M960" s="1573"/>
      <c r="N960" s="1573"/>
      <c r="O960" s="1573"/>
      <c r="P960" s="1573"/>
      <c r="Q960" s="1573"/>
      <c r="R960" s="1573"/>
      <c r="S960" s="1573"/>
      <c r="T960" s="1573"/>
      <c r="U960" s="1573"/>
      <c r="V960" s="1573"/>
      <c r="W960" s="1573"/>
      <c r="X960" s="1573"/>
      <c r="Y960" s="1573"/>
      <c r="Z960" s="1573"/>
      <c r="AA960" s="1573"/>
      <c r="AB960" s="1573"/>
      <c r="AC960" s="1573"/>
      <c r="AD960" s="1573"/>
      <c r="AE960" s="1573"/>
    </row>
    <row r="961" spans="2:38" ht="8.1" customHeight="1">
      <c r="C961" s="1572" t="s">
        <v>1920</v>
      </c>
      <c r="D961" s="1572"/>
      <c r="E961" s="1572"/>
      <c r="F961" s="1572"/>
      <c r="G961" s="1572"/>
      <c r="H961" s="1572"/>
      <c r="I961" s="1572"/>
      <c r="J961" s="1572"/>
      <c r="K961" s="1573"/>
      <c r="L961" s="1573"/>
      <c r="M961" s="1573"/>
      <c r="N961" s="1573"/>
      <c r="O961" s="1573"/>
      <c r="P961" s="1573"/>
      <c r="Q961" s="1573"/>
      <c r="R961" s="1573"/>
      <c r="S961" s="1573"/>
      <c r="T961" s="1573"/>
      <c r="U961" s="1573"/>
      <c r="V961" s="1573"/>
      <c r="W961" s="1573"/>
      <c r="X961" s="1573"/>
      <c r="Y961" s="1574" t="s">
        <v>5920</v>
      </c>
      <c r="Z961" s="1574"/>
      <c r="AA961" s="1574"/>
      <c r="AB961" s="1574"/>
      <c r="AC961" s="1574"/>
      <c r="AD961" s="1574"/>
      <c r="AE961" s="1574"/>
      <c r="AF961" s="1574"/>
      <c r="AG961" s="1574"/>
      <c r="AH961" s="1575" t="s">
        <v>6761</v>
      </c>
      <c r="AI961" s="1575"/>
      <c r="AJ961" s="1575"/>
      <c r="AK961" s="1575"/>
      <c r="AL961" s="1575"/>
    </row>
    <row r="962" spans="2:38" ht="6" customHeight="1">
      <c r="C962" s="1572"/>
      <c r="D962" s="1572"/>
      <c r="E962" s="1572"/>
      <c r="F962" s="1572"/>
      <c r="G962" s="1572"/>
      <c r="H962" s="1572"/>
      <c r="I962" s="1572"/>
      <c r="J962" s="1572"/>
      <c r="K962" s="1576" t="s">
        <v>1999</v>
      </c>
      <c r="L962" s="1576"/>
      <c r="M962" s="1576"/>
      <c r="N962" s="1576"/>
      <c r="O962" s="1576"/>
      <c r="P962" s="1576"/>
      <c r="Q962" s="1576"/>
      <c r="R962" s="1576"/>
      <c r="S962" s="1576"/>
      <c r="T962" s="1576"/>
      <c r="U962" s="1576"/>
      <c r="V962" s="1576"/>
      <c r="W962" s="1576"/>
      <c r="X962" s="1576"/>
      <c r="Y962" s="1574"/>
      <c r="Z962" s="1574"/>
      <c r="AA962" s="1574"/>
      <c r="AB962" s="1574"/>
      <c r="AC962" s="1574"/>
      <c r="AD962" s="1574"/>
      <c r="AE962" s="1574"/>
      <c r="AF962" s="1574"/>
      <c r="AG962" s="1574"/>
      <c r="AH962" s="1575"/>
      <c r="AI962" s="1575"/>
      <c r="AJ962" s="1575"/>
      <c r="AK962" s="1575"/>
      <c r="AL962" s="1575"/>
    </row>
    <row r="963" spans="2:38" ht="7.35" customHeight="1">
      <c r="C963" s="1572" t="s">
        <v>1998</v>
      </c>
      <c r="D963" s="1572"/>
      <c r="E963" s="1572"/>
      <c r="F963" s="1572"/>
      <c r="G963" s="1577"/>
      <c r="H963" s="1577"/>
      <c r="I963" s="1577"/>
      <c r="J963" s="1577"/>
      <c r="K963" s="1577"/>
      <c r="L963" s="1577"/>
      <c r="M963" s="1577"/>
      <c r="N963" s="1577"/>
      <c r="O963" s="1577"/>
      <c r="P963" s="1577"/>
      <c r="Q963" s="1577"/>
      <c r="R963" s="1577"/>
      <c r="S963" s="1577"/>
      <c r="T963" s="1577"/>
      <c r="U963" s="1577"/>
      <c r="V963" s="1577"/>
      <c r="W963" s="1577"/>
      <c r="X963" s="1577"/>
      <c r="Y963" s="1577"/>
      <c r="Z963" s="1577"/>
      <c r="AA963" s="1577"/>
      <c r="AB963" s="1577"/>
      <c r="AC963" s="1577"/>
      <c r="AD963" s="1577"/>
      <c r="AE963" s="1577"/>
      <c r="AF963" s="1574"/>
      <c r="AG963" s="1574"/>
      <c r="AH963" s="1574" t="s">
        <v>6762</v>
      </c>
      <c r="AI963" s="1574"/>
    </row>
    <row r="964" spans="2:38" ht="6.75" customHeight="1">
      <c r="G964" s="1577"/>
      <c r="H964" s="1577"/>
      <c r="I964" s="1577"/>
      <c r="J964" s="1577"/>
      <c r="K964" s="1577"/>
      <c r="L964" s="1577"/>
      <c r="M964" s="1577"/>
      <c r="N964" s="1577"/>
      <c r="O964" s="1577"/>
      <c r="P964" s="1577"/>
      <c r="Q964" s="1577"/>
      <c r="R964" s="1577"/>
      <c r="S964" s="1577"/>
      <c r="T964" s="1577"/>
      <c r="U964" s="1577"/>
      <c r="V964" s="1577"/>
      <c r="W964" s="1577"/>
      <c r="X964" s="1577"/>
      <c r="Y964" s="1577"/>
      <c r="Z964" s="1577"/>
      <c r="AA964" s="1577"/>
      <c r="AB964" s="1577"/>
      <c r="AC964" s="1577"/>
      <c r="AD964" s="1577"/>
      <c r="AE964" s="1577"/>
      <c r="AF964" s="1574"/>
      <c r="AG964" s="1574"/>
      <c r="AH964" s="1574"/>
      <c r="AI964" s="1574"/>
    </row>
    <row r="965" spans="2:38" ht="11.25" customHeight="1">
      <c r="O965" s="1570" t="s">
        <v>1318</v>
      </c>
      <c r="P965" s="1570"/>
      <c r="Q965" s="1570"/>
      <c r="V965" s="1570" t="s">
        <v>1319</v>
      </c>
      <c r="W965" s="1570"/>
      <c r="X965" s="1570"/>
      <c r="Y965" s="1570"/>
      <c r="AD965" s="1570" t="s">
        <v>1320</v>
      </c>
      <c r="AE965" s="1570"/>
      <c r="AF965" s="1570"/>
      <c r="AG965" s="1570"/>
      <c r="AH965" s="1570"/>
      <c r="AI965" s="1570"/>
      <c r="AJ965" s="1570"/>
    </row>
    <row r="966" spans="2:38" ht="8.4499999999999993" customHeight="1">
      <c r="B966" s="1571" t="s">
        <v>1321</v>
      </c>
      <c r="C966" s="1571"/>
      <c r="D966" s="1571"/>
      <c r="E966" s="1571" t="s">
        <v>1322</v>
      </c>
      <c r="F966" s="1571"/>
      <c r="G966" s="1571"/>
      <c r="J966" s="1571" t="s">
        <v>1323</v>
      </c>
      <c r="K966" s="1571"/>
      <c r="L966" s="1571"/>
      <c r="M966" s="1571"/>
      <c r="N966" s="1571"/>
      <c r="O966" s="1402" t="s">
        <v>1324</v>
      </c>
      <c r="Q966" s="1569" t="s">
        <v>1325</v>
      </c>
      <c r="R966" s="1569"/>
      <c r="U966" s="1569" t="s">
        <v>1324</v>
      </c>
      <c r="V966" s="1569"/>
      <c r="X966" s="1569" t="s">
        <v>1325</v>
      </c>
      <c r="Y966" s="1569"/>
      <c r="Z966" s="1569"/>
      <c r="AC966" s="1569" t="s">
        <v>1324</v>
      </c>
      <c r="AD966" s="1569"/>
      <c r="AE966" s="1569"/>
      <c r="AF966" s="1569"/>
      <c r="AH966" s="1569" t="s">
        <v>1325</v>
      </c>
      <c r="AI966" s="1569"/>
      <c r="AJ966" s="1569"/>
      <c r="AK966" s="1569"/>
    </row>
    <row r="967" spans="2:38" ht="9.9499999999999993" customHeight="1">
      <c r="B967" s="1568" t="s">
        <v>1326</v>
      </c>
      <c r="C967" s="1568"/>
      <c r="D967" s="1568"/>
      <c r="E967" s="1568" t="s">
        <v>3027</v>
      </c>
      <c r="F967" s="1568"/>
      <c r="G967" s="1568"/>
      <c r="H967" s="1568"/>
      <c r="J967" s="1568" t="s">
        <v>2322</v>
      </c>
      <c r="K967" s="1568"/>
      <c r="L967" s="1568"/>
      <c r="M967" s="1566">
        <v>1525455</v>
      </c>
      <c r="N967" s="1566"/>
      <c r="O967" s="1566"/>
      <c r="P967" s="1566">
        <v>0</v>
      </c>
      <c r="Q967" s="1566"/>
      <c r="R967" s="1566"/>
      <c r="S967" s="1566">
        <v>0</v>
      </c>
      <c r="T967" s="1566"/>
      <c r="U967" s="1566"/>
      <c r="V967" s="1566"/>
      <c r="W967" s="1566">
        <v>0</v>
      </c>
      <c r="X967" s="1566"/>
      <c r="Y967" s="1566"/>
      <c r="Z967" s="1566"/>
      <c r="AA967" s="1566">
        <v>1525455</v>
      </c>
      <c r="AB967" s="1566"/>
      <c r="AC967" s="1566"/>
      <c r="AD967" s="1566"/>
      <c r="AE967" s="1566"/>
      <c r="AF967" s="1566"/>
      <c r="AG967" s="1566">
        <v>0</v>
      </c>
      <c r="AH967" s="1566"/>
      <c r="AI967" s="1566"/>
      <c r="AJ967" s="1566"/>
      <c r="AK967" s="1566"/>
    </row>
    <row r="968" spans="2:38" ht="9.4" customHeight="1">
      <c r="B968" s="1568" t="s">
        <v>1326</v>
      </c>
      <c r="C968" s="1568"/>
      <c r="D968" s="1568"/>
      <c r="E968" s="1568" t="s">
        <v>3028</v>
      </c>
      <c r="F968" s="1568"/>
      <c r="G968" s="1568"/>
      <c r="H968" s="1568"/>
      <c r="J968" s="1568" t="s">
        <v>2323</v>
      </c>
      <c r="K968" s="1568"/>
      <c r="L968" s="1568"/>
      <c r="M968" s="1566">
        <v>577398</v>
      </c>
      <c r="N968" s="1566"/>
      <c r="O968" s="1566"/>
      <c r="P968" s="1566">
        <v>0</v>
      </c>
      <c r="Q968" s="1566"/>
      <c r="R968" s="1566"/>
      <c r="S968" s="1566">
        <v>0</v>
      </c>
      <c r="T968" s="1566"/>
      <c r="U968" s="1566"/>
      <c r="V968" s="1566"/>
      <c r="W968" s="1566">
        <v>0</v>
      </c>
      <c r="X968" s="1566"/>
      <c r="Y968" s="1566"/>
      <c r="Z968" s="1566"/>
      <c r="AA968" s="1566">
        <v>577398</v>
      </c>
      <c r="AB968" s="1566"/>
      <c r="AC968" s="1566"/>
      <c r="AD968" s="1566"/>
      <c r="AE968" s="1566"/>
      <c r="AF968" s="1566"/>
      <c r="AG968" s="1566">
        <v>0</v>
      </c>
      <c r="AH968" s="1566"/>
      <c r="AI968" s="1566"/>
      <c r="AJ968" s="1566"/>
      <c r="AK968" s="1566"/>
    </row>
    <row r="969" spans="2:38" ht="9.4" customHeight="1">
      <c r="B969" s="1568" t="s">
        <v>1326</v>
      </c>
      <c r="C969" s="1568"/>
      <c r="D969" s="1568"/>
      <c r="E969" s="1568" t="s">
        <v>3029</v>
      </c>
      <c r="F969" s="1568"/>
      <c r="G969" s="1568"/>
      <c r="H969" s="1568"/>
      <c r="J969" s="1568" t="s">
        <v>2324</v>
      </c>
      <c r="K969" s="1568"/>
      <c r="L969" s="1568"/>
      <c r="M969" s="1566">
        <v>5691748</v>
      </c>
      <c r="N969" s="1566"/>
      <c r="O969" s="1566"/>
      <c r="P969" s="1566">
        <v>0</v>
      </c>
      <c r="Q969" s="1566"/>
      <c r="R969" s="1566"/>
      <c r="S969" s="1566">
        <v>0</v>
      </c>
      <c r="T969" s="1566"/>
      <c r="U969" s="1566"/>
      <c r="V969" s="1566"/>
      <c r="W969" s="1566">
        <v>0</v>
      </c>
      <c r="X969" s="1566"/>
      <c r="Y969" s="1566"/>
      <c r="Z969" s="1566"/>
      <c r="AA969" s="1566">
        <v>5691748</v>
      </c>
      <c r="AB969" s="1566"/>
      <c r="AC969" s="1566"/>
      <c r="AD969" s="1566"/>
      <c r="AE969" s="1566"/>
      <c r="AF969" s="1566"/>
      <c r="AG969" s="1566">
        <v>0</v>
      </c>
      <c r="AH969" s="1566"/>
      <c r="AI969" s="1566"/>
      <c r="AJ969" s="1566"/>
      <c r="AK969" s="1566"/>
    </row>
    <row r="970" spans="2:38" ht="9.4" customHeight="1">
      <c r="B970" s="1568" t="s">
        <v>1326</v>
      </c>
      <c r="C970" s="1568"/>
      <c r="D970" s="1568"/>
      <c r="E970" s="1568" t="s">
        <v>3030</v>
      </c>
      <c r="F970" s="1568"/>
      <c r="G970" s="1568"/>
      <c r="H970" s="1568"/>
      <c r="J970" s="1568" t="s">
        <v>2325</v>
      </c>
      <c r="K970" s="1568"/>
      <c r="L970" s="1568"/>
      <c r="M970" s="1566">
        <v>661336</v>
      </c>
      <c r="N970" s="1566"/>
      <c r="O970" s="1566"/>
      <c r="P970" s="1566">
        <v>0</v>
      </c>
      <c r="Q970" s="1566"/>
      <c r="R970" s="1566"/>
      <c r="S970" s="1566">
        <v>0</v>
      </c>
      <c r="T970" s="1566"/>
      <c r="U970" s="1566"/>
      <c r="V970" s="1566"/>
      <c r="W970" s="1566">
        <v>0</v>
      </c>
      <c r="X970" s="1566"/>
      <c r="Y970" s="1566"/>
      <c r="Z970" s="1566"/>
      <c r="AA970" s="1566">
        <v>661336</v>
      </c>
      <c r="AB970" s="1566"/>
      <c r="AC970" s="1566"/>
      <c r="AD970" s="1566"/>
      <c r="AE970" s="1566"/>
      <c r="AF970" s="1566"/>
      <c r="AG970" s="1566">
        <v>0</v>
      </c>
      <c r="AH970" s="1566"/>
      <c r="AI970" s="1566"/>
      <c r="AJ970" s="1566"/>
      <c r="AK970" s="1566"/>
    </row>
    <row r="971" spans="2:38" ht="9.4" customHeight="1">
      <c r="B971" s="1568" t="s">
        <v>1326</v>
      </c>
      <c r="C971" s="1568"/>
      <c r="D971" s="1568"/>
      <c r="E971" s="1568" t="s">
        <v>3031</v>
      </c>
      <c r="F971" s="1568"/>
      <c r="G971" s="1568"/>
      <c r="H971" s="1568"/>
      <c r="J971" s="1568" t="s">
        <v>2326</v>
      </c>
      <c r="K971" s="1568"/>
      <c r="L971" s="1568"/>
      <c r="M971" s="1566">
        <v>329351</v>
      </c>
      <c r="N971" s="1566"/>
      <c r="O971" s="1566"/>
      <c r="P971" s="1566">
        <v>0</v>
      </c>
      <c r="Q971" s="1566"/>
      <c r="R971" s="1566"/>
      <c r="S971" s="1566">
        <v>0</v>
      </c>
      <c r="T971" s="1566"/>
      <c r="U971" s="1566"/>
      <c r="V971" s="1566"/>
      <c r="W971" s="1566">
        <v>0</v>
      </c>
      <c r="X971" s="1566"/>
      <c r="Y971" s="1566"/>
      <c r="Z971" s="1566"/>
      <c r="AA971" s="1566">
        <v>329351</v>
      </c>
      <c r="AB971" s="1566"/>
      <c r="AC971" s="1566"/>
      <c r="AD971" s="1566"/>
      <c r="AE971" s="1566"/>
      <c r="AF971" s="1566"/>
      <c r="AG971" s="1566">
        <v>0</v>
      </c>
      <c r="AH971" s="1566"/>
      <c r="AI971" s="1566"/>
      <c r="AJ971" s="1566"/>
      <c r="AK971" s="1566"/>
    </row>
    <row r="972" spans="2:38" ht="9.4" customHeight="1">
      <c r="B972" s="1568" t="s">
        <v>1326</v>
      </c>
      <c r="C972" s="1568"/>
      <c r="D972" s="1568"/>
      <c r="E972" s="1568" t="s">
        <v>3032</v>
      </c>
      <c r="F972" s="1568"/>
      <c r="G972" s="1568"/>
      <c r="H972" s="1568"/>
      <c r="J972" s="1568" t="s">
        <v>2327</v>
      </c>
      <c r="K972" s="1568"/>
      <c r="L972" s="1568"/>
      <c r="M972" s="1566">
        <v>286398</v>
      </c>
      <c r="N972" s="1566"/>
      <c r="O972" s="1566"/>
      <c r="P972" s="1566">
        <v>0</v>
      </c>
      <c r="Q972" s="1566"/>
      <c r="R972" s="1566"/>
      <c r="S972" s="1566">
        <v>0</v>
      </c>
      <c r="T972" s="1566"/>
      <c r="U972" s="1566"/>
      <c r="V972" s="1566"/>
      <c r="W972" s="1566">
        <v>0</v>
      </c>
      <c r="X972" s="1566"/>
      <c r="Y972" s="1566"/>
      <c r="Z972" s="1566"/>
      <c r="AA972" s="1566">
        <v>286398</v>
      </c>
      <c r="AB972" s="1566"/>
      <c r="AC972" s="1566"/>
      <c r="AD972" s="1566"/>
      <c r="AE972" s="1566"/>
      <c r="AF972" s="1566"/>
      <c r="AG972" s="1566">
        <v>0</v>
      </c>
      <c r="AH972" s="1566"/>
      <c r="AI972" s="1566"/>
      <c r="AJ972" s="1566"/>
      <c r="AK972" s="1566"/>
    </row>
    <row r="973" spans="2:38" ht="9.4" customHeight="1">
      <c r="B973" s="1568" t="s">
        <v>1326</v>
      </c>
      <c r="C973" s="1568"/>
      <c r="D973" s="1568"/>
      <c r="E973" s="1568" t="s">
        <v>3033</v>
      </c>
      <c r="F973" s="1568"/>
      <c r="G973" s="1568"/>
      <c r="H973" s="1568"/>
      <c r="J973" s="1568" t="s">
        <v>2388</v>
      </c>
      <c r="K973" s="1568"/>
      <c r="L973" s="1568"/>
      <c r="M973" s="1566">
        <v>985042</v>
      </c>
      <c r="N973" s="1566"/>
      <c r="O973" s="1566"/>
      <c r="P973" s="1566">
        <v>0</v>
      </c>
      <c r="Q973" s="1566"/>
      <c r="R973" s="1566"/>
      <c r="S973" s="1566">
        <v>0</v>
      </c>
      <c r="T973" s="1566"/>
      <c r="U973" s="1566"/>
      <c r="V973" s="1566"/>
      <c r="W973" s="1566">
        <v>0</v>
      </c>
      <c r="X973" s="1566"/>
      <c r="Y973" s="1566"/>
      <c r="Z973" s="1566"/>
      <c r="AA973" s="1566">
        <v>985042</v>
      </c>
      <c r="AB973" s="1566"/>
      <c r="AC973" s="1566"/>
      <c r="AD973" s="1566"/>
      <c r="AE973" s="1566"/>
      <c r="AF973" s="1566"/>
      <c r="AG973" s="1566">
        <v>0</v>
      </c>
      <c r="AH973" s="1566"/>
      <c r="AI973" s="1566"/>
      <c r="AJ973" s="1566"/>
      <c r="AK973" s="1566"/>
    </row>
    <row r="974" spans="2:38" ht="9.4" customHeight="1">
      <c r="B974" s="1568" t="s">
        <v>1326</v>
      </c>
      <c r="C974" s="1568"/>
      <c r="D974" s="1568"/>
      <c r="E974" s="1568" t="s">
        <v>3034</v>
      </c>
      <c r="F974" s="1568"/>
      <c r="G974" s="1568"/>
      <c r="H974" s="1568"/>
      <c r="J974" s="1568" t="s">
        <v>2328</v>
      </c>
      <c r="K974" s="1568"/>
      <c r="L974" s="1568"/>
      <c r="M974" s="1566">
        <v>1541412</v>
      </c>
      <c r="N974" s="1566"/>
      <c r="O974" s="1566"/>
      <c r="P974" s="1566">
        <v>0</v>
      </c>
      <c r="Q974" s="1566"/>
      <c r="R974" s="1566"/>
      <c r="S974" s="1566">
        <v>0</v>
      </c>
      <c r="T974" s="1566"/>
      <c r="U974" s="1566"/>
      <c r="V974" s="1566"/>
      <c r="W974" s="1566">
        <v>0</v>
      </c>
      <c r="X974" s="1566"/>
      <c r="Y974" s="1566"/>
      <c r="Z974" s="1566"/>
      <c r="AA974" s="1566">
        <v>1541412</v>
      </c>
      <c r="AB974" s="1566"/>
      <c r="AC974" s="1566"/>
      <c r="AD974" s="1566"/>
      <c r="AE974" s="1566"/>
      <c r="AF974" s="1566"/>
      <c r="AG974" s="1566">
        <v>0</v>
      </c>
      <c r="AH974" s="1566"/>
      <c r="AI974" s="1566"/>
      <c r="AJ974" s="1566"/>
      <c r="AK974" s="1566"/>
    </row>
    <row r="975" spans="2:38" ht="9.4" customHeight="1">
      <c r="B975" s="1568" t="s">
        <v>1326</v>
      </c>
      <c r="C975" s="1568"/>
      <c r="D975" s="1568"/>
      <c r="E975" s="1568" t="s">
        <v>3035</v>
      </c>
      <c r="F975" s="1568"/>
      <c r="G975" s="1568"/>
      <c r="H975" s="1568"/>
      <c r="J975" s="1568" t="s">
        <v>3007</v>
      </c>
      <c r="K975" s="1568"/>
      <c r="L975" s="1568"/>
      <c r="M975" s="1566">
        <v>4255291</v>
      </c>
      <c r="N975" s="1566"/>
      <c r="O975" s="1566"/>
      <c r="P975" s="1566">
        <v>0</v>
      </c>
      <c r="Q975" s="1566"/>
      <c r="R975" s="1566"/>
      <c r="S975" s="1566">
        <v>0</v>
      </c>
      <c r="T975" s="1566"/>
      <c r="U975" s="1566"/>
      <c r="V975" s="1566"/>
      <c r="W975" s="1566">
        <v>0</v>
      </c>
      <c r="X975" s="1566"/>
      <c r="Y975" s="1566"/>
      <c r="Z975" s="1566"/>
      <c r="AA975" s="1566">
        <v>4255291</v>
      </c>
      <c r="AB975" s="1566"/>
      <c r="AC975" s="1566"/>
      <c r="AD975" s="1566"/>
      <c r="AE975" s="1566"/>
      <c r="AF975" s="1566"/>
      <c r="AG975" s="1566">
        <v>0</v>
      </c>
      <c r="AH975" s="1566"/>
      <c r="AI975" s="1566"/>
      <c r="AJ975" s="1566"/>
      <c r="AK975" s="1566"/>
    </row>
    <row r="976" spans="2:38" ht="9.1999999999999993" customHeight="1">
      <c r="J976" s="1568"/>
      <c r="K976" s="1568"/>
      <c r="L976" s="1568"/>
    </row>
    <row r="977" spans="2:37" ht="8.4499999999999993" customHeight="1">
      <c r="B977" s="1568" t="s">
        <v>1326</v>
      </c>
      <c r="C977" s="1568"/>
      <c r="D977" s="1568"/>
      <c r="E977" s="1568" t="s">
        <v>3036</v>
      </c>
      <c r="F977" s="1568"/>
      <c r="G977" s="1568"/>
      <c r="H977" s="1568"/>
      <c r="J977" s="1568" t="s">
        <v>0</v>
      </c>
      <c r="K977" s="1568"/>
      <c r="L977" s="1568"/>
      <c r="M977" s="1566">
        <v>4032091</v>
      </c>
      <c r="N977" s="1566"/>
      <c r="O977" s="1566"/>
      <c r="P977" s="1566">
        <v>0</v>
      </c>
      <c r="Q977" s="1566"/>
      <c r="R977" s="1566"/>
      <c r="S977" s="1566">
        <v>0</v>
      </c>
      <c r="T977" s="1566"/>
      <c r="U977" s="1566"/>
      <c r="V977" s="1566"/>
      <c r="W977" s="1566">
        <v>0</v>
      </c>
      <c r="X977" s="1566"/>
      <c r="Y977" s="1566"/>
      <c r="Z977" s="1566"/>
      <c r="AA977" s="1566">
        <v>4032091</v>
      </c>
      <c r="AB977" s="1566"/>
      <c r="AC977" s="1566"/>
      <c r="AD977" s="1566"/>
      <c r="AE977" s="1566"/>
      <c r="AF977" s="1566"/>
      <c r="AG977" s="1566">
        <v>0</v>
      </c>
      <c r="AH977" s="1566"/>
      <c r="AI977" s="1566"/>
      <c r="AJ977" s="1566"/>
      <c r="AK977" s="1566"/>
    </row>
    <row r="978" spans="2:37" ht="9.4" customHeight="1">
      <c r="B978" s="1568" t="s">
        <v>1326</v>
      </c>
      <c r="C978" s="1568"/>
      <c r="D978" s="1568"/>
      <c r="E978" s="1568" t="s">
        <v>3281</v>
      </c>
      <c r="F978" s="1568"/>
      <c r="G978" s="1568"/>
      <c r="H978" s="1568"/>
      <c r="J978" s="1568" t="s">
        <v>3178</v>
      </c>
      <c r="K978" s="1568"/>
      <c r="L978" s="1568"/>
      <c r="M978" s="1566">
        <v>223200</v>
      </c>
      <c r="N978" s="1566"/>
      <c r="O978" s="1566"/>
      <c r="P978" s="1566">
        <v>0</v>
      </c>
      <c r="Q978" s="1566"/>
      <c r="R978" s="1566"/>
      <c r="S978" s="1566">
        <v>0</v>
      </c>
      <c r="T978" s="1566"/>
      <c r="U978" s="1566"/>
      <c r="V978" s="1566"/>
      <c r="W978" s="1566">
        <v>0</v>
      </c>
      <c r="X978" s="1566"/>
      <c r="Y978" s="1566"/>
      <c r="Z978" s="1566"/>
      <c r="AA978" s="1566">
        <v>223200</v>
      </c>
      <c r="AB978" s="1566"/>
      <c r="AC978" s="1566"/>
      <c r="AD978" s="1566"/>
      <c r="AE978" s="1566"/>
      <c r="AF978" s="1566"/>
      <c r="AG978" s="1566">
        <v>0</v>
      </c>
      <c r="AH978" s="1566"/>
      <c r="AI978" s="1566"/>
      <c r="AJ978" s="1566"/>
      <c r="AK978" s="1566"/>
    </row>
    <row r="979" spans="2:37" ht="9.4" customHeight="1">
      <c r="B979" s="1568" t="s">
        <v>1326</v>
      </c>
      <c r="C979" s="1568"/>
      <c r="D979" s="1568"/>
      <c r="E979" s="1568" t="s">
        <v>3282</v>
      </c>
      <c r="F979" s="1568"/>
      <c r="G979" s="1568"/>
      <c r="H979" s="1568"/>
      <c r="J979" s="1568" t="s">
        <v>2998</v>
      </c>
      <c r="K979" s="1568"/>
      <c r="L979" s="1568"/>
      <c r="M979" s="1566">
        <v>3609722</v>
      </c>
      <c r="N979" s="1566"/>
      <c r="O979" s="1566"/>
      <c r="P979" s="1566">
        <v>0</v>
      </c>
      <c r="Q979" s="1566"/>
      <c r="R979" s="1566"/>
      <c r="S979" s="1566">
        <v>0</v>
      </c>
      <c r="T979" s="1566"/>
      <c r="U979" s="1566"/>
      <c r="V979" s="1566"/>
      <c r="W979" s="1566">
        <v>0</v>
      </c>
      <c r="X979" s="1566"/>
      <c r="Y979" s="1566"/>
      <c r="Z979" s="1566"/>
      <c r="AA979" s="1566">
        <v>3609722</v>
      </c>
      <c r="AB979" s="1566"/>
      <c r="AC979" s="1566"/>
      <c r="AD979" s="1566"/>
      <c r="AE979" s="1566"/>
      <c r="AF979" s="1566"/>
      <c r="AG979" s="1566">
        <v>0</v>
      </c>
      <c r="AH979" s="1566"/>
      <c r="AI979" s="1566"/>
      <c r="AJ979" s="1566"/>
      <c r="AK979" s="1566"/>
    </row>
    <row r="980" spans="2:37" ht="9.1999999999999993" customHeight="1">
      <c r="J980" s="1568"/>
      <c r="K980" s="1568"/>
      <c r="L980" s="1568"/>
    </row>
    <row r="981" spans="2:37" ht="8.4499999999999993" customHeight="1">
      <c r="B981" s="1568" t="s">
        <v>1326</v>
      </c>
      <c r="C981" s="1568"/>
      <c r="D981" s="1568"/>
      <c r="E981" s="1568" t="s">
        <v>3283</v>
      </c>
      <c r="F981" s="1568"/>
      <c r="G981" s="1568"/>
      <c r="H981" s="1568"/>
      <c r="J981" s="1568" t="s">
        <v>2333</v>
      </c>
      <c r="K981" s="1568"/>
      <c r="L981" s="1568"/>
      <c r="M981" s="1566">
        <v>3609722</v>
      </c>
      <c r="N981" s="1566"/>
      <c r="O981" s="1566"/>
      <c r="P981" s="1566">
        <v>0</v>
      </c>
      <c r="Q981" s="1566"/>
      <c r="R981" s="1566"/>
      <c r="S981" s="1566">
        <v>0</v>
      </c>
      <c r="T981" s="1566"/>
      <c r="U981" s="1566"/>
      <c r="V981" s="1566"/>
      <c r="W981" s="1566">
        <v>0</v>
      </c>
      <c r="X981" s="1566"/>
      <c r="Y981" s="1566"/>
      <c r="Z981" s="1566"/>
      <c r="AA981" s="1566">
        <v>3609722</v>
      </c>
      <c r="AB981" s="1566"/>
      <c r="AC981" s="1566"/>
      <c r="AD981" s="1566"/>
      <c r="AE981" s="1566"/>
      <c r="AF981" s="1566"/>
      <c r="AG981" s="1566">
        <v>0</v>
      </c>
      <c r="AH981" s="1566"/>
      <c r="AI981" s="1566"/>
      <c r="AJ981" s="1566"/>
      <c r="AK981" s="1566"/>
    </row>
    <row r="982" spans="2:37" ht="9.4" customHeight="1">
      <c r="B982" s="1568" t="s">
        <v>345</v>
      </c>
      <c r="C982" s="1568"/>
      <c r="D982" s="1568"/>
      <c r="E982" s="1568" t="s">
        <v>1684</v>
      </c>
      <c r="F982" s="1568"/>
      <c r="G982" s="1568"/>
      <c r="H982" s="1568"/>
      <c r="J982" s="1568" t="s">
        <v>1685</v>
      </c>
      <c r="K982" s="1568"/>
      <c r="L982" s="1568"/>
      <c r="M982" s="1566">
        <v>0</v>
      </c>
      <c r="N982" s="1566"/>
      <c r="O982" s="1566"/>
      <c r="P982" s="1566">
        <v>82530157.200000003</v>
      </c>
      <c r="Q982" s="1566"/>
      <c r="R982" s="1566"/>
      <c r="S982" s="1566">
        <v>8268085.0800000001</v>
      </c>
      <c r="T982" s="1566"/>
      <c r="U982" s="1566"/>
      <c r="V982" s="1566"/>
      <c r="W982" s="1566">
        <v>0</v>
      </c>
      <c r="X982" s="1566"/>
      <c r="Y982" s="1566"/>
      <c r="Z982" s="1566"/>
      <c r="AA982" s="1566">
        <v>0</v>
      </c>
      <c r="AB982" s="1566"/>
      <c r="AC982" s="1566"/>
      <c r="AD982" s="1566"/>
      <c r="AE982" s="1566"/>
      <c r="AF982" s="1566"/>
      <c r="AG982" s="1566">
        <v>74262072.120000005</v>
      </c>
      <c r="AH982" s="1566"/>
      <c r="AI982" s="1566"/>
      <c r="AJ982" s="1566"/>
      <c r="AK982" s="1566"/>
    </row>
    <row r="983" spans="2:37" ht="9.4" customHeight="1">
      <c r="B983" s="1568" t="s">
        <v>345</v>
      </c>
      <c r="C983" s="1568"/>
      <c r="D983" s="1568"/>
      <c r="E983" s="1568" t="s">
        <v>3037</v>
      </c>
      <c r="F983" s="1568"/>
      <c r="G983" s="1568"/>
      <c r="H983" s="1568"/>
      <c r="J983" s="1568" t="s">
        <v>2996</v>
      </c>
      <c r="K983" s="1568"/>
      <c r="L983" s="1568"/>
      <c r="M983" s="1566">
        <v>0</v>
      </c>
      <c r="N983" s="1566"/>
      <c r="O983" s="1566"/>
      <c r="P983" s="1566">
        <v>80634957.870000005</v>
      </c>
      <c r="Q983" s="1566"/>
      <c r="R983" s="1566"/>
      <c r="S983" s="1566">
        <v>7305424.6799999997</v>
      </c>
      <c r="T983" s="1566"/>
      <c r="U983" s="1566"/>
      <c r="V983" s="1566"/>
      <c r="W983" s="1566">
        <v>0</v>
      </c>
      <c r="X983" s="1566"/>
      <c r="Y983" s="1566"/>
      <c r="Z983" s="1566"/>
      <c r="AA983" s="1566">
        <v>0</v>
      </c>
      <c r="AB983" s="1566"/>
      <c r="AC983" s="1566"/>
      <c r="AD983" s="1566"/>
      <c r="AE983" s="1566"/>
      <c r="AF983" s="1566"/>
      <c r="AG983" s="1566">
        <v>73329533.189999998</v>
      </c>
      <c r="AH983" s="1566"/>
      <c r="AI983" s="1566"/>
      <c r="AJ983" s="1566"/>
      <c r="AK983" s="1566"/>
    </row>
    <row r="984" spans="2:37" ht="17.25" customHeight="1">
      <c r="J984" s="1568"/>
      <c r="K984" s="1568"/>
      <c r="L984" s="1568"/>
    </row>
    <row r="985" spans="2:37" ht="8.4499999999999993" customHeight="1">
      <c r="B985" s="1568" t="s">
        <v>345</v>
      </c>
      <c r="C985" s="1568"/>
      <c r="D985" s="1568"/>
      <c r="E985" s="1568" t="s">
        <v>3038</v>
      </c>
      <c r="F985" s="1568"/>
      <c r="G985" s="1568"/>
      <c r="H985" s="1568"/>
      <c r="J985" s="1568" t="s">
        <v>3007</v>
      </c>
      <c r="K985" s="1568"/>
      <c r="L985" s="1568"/>
      <c r="M985" s="1566">
        <v>0</v>
      </c>
      <c r="N985" s="1566"/>
      <c r="O985" s="1566"/>
      <c r="P985" s="1566">
        <v>76660878.879999995</v>
      </c>
      <c r="Q985" s="1566"/>
      <c r="R985" s="1566"/>
      <c r="S985" s="1566">
        <v>7214273.8799999999</v>
      </c>
      <c r="T985" s="1566"/>
      <c r="U985" s="1566"/>
      <c r="V985" s="1566"/>
      <c r="W985" s="1566">
        <v>0</v>
      </c>
      <c r="X985" s="1566"/>
      <c r="Y985" s="1566"/>
      <c r="Z985" s="1566"/>
      <c r="AA985" s="1566">
        <v>0</v>
      </c>
      <c r="AB985" s="1566"/>
      <c r="AC985" s="1566"/>
      <c r="AD985" s="1566"/>
      <c r="AE985" s="1566"/>
      <c r="AF985" s="1566"/>
      <c r="AG985" s="1566">
        <v>69446605</v>
      </c>
      <c r="AH985" s="1566"/>
      <c r="AI985" s="1566"/>
      <c r="AJ985" s="1566"/>
      <c r="AK985" s="1566"/>
    </row>
    <row r="986" spans="2:37" ht="9.1999999999999993" customHeight="1">
      <c r="J986" s="1568"/>
      <c r="K986" s="1568"/>
      <c r="L986" s="1568"/>
    </row>
    <row r="987" spans="2:37" ht="8.4499999999999993" customHeight="1">
      <c r="B987" s="1568" t="s">
        <v>345</v>
      </c>
      <c r="C987" s="1568"/>
      <c r="D987" s="1568"/>
      <c r="E987" s="1568" t="s">
        <v>3039</v>
      </c>
      <c r="F987" s="1568"/>
      <c r="G987" s="1568"/>
      <c r="H987" s="1568"/>
      <c r="J987" s="1568" t="s">
        <v>2316</v>
      </c>
      <c r="K987" s="1568"/>
      <c r="L987" s="1568"/>
      <c r="M987" s="1566">
        <v>0</v>
      </c>
      <c r="N987" s="1566"/>
      <c r="O987" s="1566"/>
      <c r="P987" s="1566">
        <v>3079849.32</v>
      </c>
      <c r="Q987" s="1566"/>
      <c r="R987" s="1566"/>
      <c r="S987" s="1566">
        <v>326904.68</v>
      </c>
      <c r="T987" s="1566"/>
      <c r="U987" s="1566"/>
      <c r="V987" s="1566"/>
      <c r="W987" s="1566">
        <v>0</v>
      </c>
      <c r="X987" s="1566"/>
      <c r="Y987" s="1566"/>
      <c r="Z987" s="1566"/>
      <c r="AA987" s="1566">
        <v>0</v>
      </c>
      <c r="AB987" s="1566"/>
      <c r="AC987" s="1566"/>
      <c r="AD987" s="1566"/>
      <c r="AE987" s="1566"/>
      <c r="AF987" s="1566"/>
      <c r="AG987" s="1566">
        <v>2752944.64</v>
      </c>
      <c r="AH987" s="1566"/>
      <c r="AI987" s="1566"/>
      <c r="AJ987" s="1566"/>
      <c r="AK987" s="1566"/>
    </row>
    <row r="988" spans="2:37" ht="9.4" customHeight="1">
      <c r="B988" s="1568" t="s">
        <v>345</v>
      </c>
      <c r="C988" s="1568"/>
      <c r="D988" s="1568"/>
      <c r="E988" s="1568" t="s">
        <v>3040</v>
      </c>
      <c r="F988" s="1568"/>
      <c r="G988" s="1568"/>
      <c r="H988" s="1568"/>
      <c r="J988" s="1568" t="s">
        <v>2318</v>
      </c>
      <c r="K988" s="1568"/>
      <c r="L988" s="1568"/>
      <c r="M988" s="1566">
        <v>0</v>
      </c>
      <c r="N988" s="1566"/>
      <c r="O988" s="1566"/>
      <c r="P988" s="1566">
        <v>55843086.740000002</v>
      </c>
      <c r="Q988" s="1566"/>
      <c r="R988" s="1566"/>
      <c r="S988" s="1566">
        <v>4955026.3499999996</v>
      </c>
      <c r="T988" s="1566"/>
      <c r="U988" s="1566"/>
      <c r="V988" s="1566"/>
      <c r="W988" s="1566">
        <v>0</v>
      </c>
      <c r="X988" s="1566"/>
      <c r="Y988" s="1566"/>
      <c r="Z988" s="1566"/>
      <c r="AA988" s="1566">
        <v>0</v>
      </c>
      <c r="AB988" s="1566"/>
      <c r="AC988" s="1566"/>
      <c r="AD988" s="1566"/>
      <c r="AE988" s="1566"/>
      <c r="AF988" s="1566"/>
      <c r="AG988" s="1566">
        <v>50888060.390000001</v>
      </c>
      <c r="AH988" s="1566"/>
      <c r="AI988" s="1566"/>
      <c r="AJ988" s="1566"/>
      <c r="AK988" s="1566"/>
    </row>
    <row r="989" spans="2:37" ht="9.4" customHeight="1">
      <c r="B989" s="1568" t="s">
        <v>345</v>
      </c>
      <c r="C989" s="1568"/>
      <c r="D989" s="1568"/>
      <c r="E989" s="1568" t="s">
        <v>3041</v>
      </c>
      <c r="F989" s="1568"/>
      <c r="G989" s="1568"/>
      <c r="H989" s="1568"/>
      <c r="J989" s="1568" t="s">
        <v>2319</v>
      </c>
      <c r="K989" s="1568"/>
      <c r="L989" s="1568"/>
      <c r="M989" s="1566">
        <v>0</v>
      </c>
      <c r="N989" s="1566"/>
      <c r="O989" s="1566"/>
      <c r="P989" s="1566">
        <v>5766223.0099999998</v>
      </c>
      <c r="Q989" s="1566"/>
      <c r="R989" s="1566"/>
      <c r="S989" s="1566">
        <v>536219.69999999995</v>
      </c>
      <c r="T989" s="1566"/>
      <c r="U989" s="1566"/>
      <c r="V989" s="1566"/>
      <c r="W989" s="1566">
        <v>0</v>
      </c>
      <c r="X989" s="1566"/>
      <c r="Y989" s="1566"/>
      <c r="Z989" s="1566"/>
      <c r="AA989" s="1566">
        <v>0</v>
      </c>
      <c r="AB989" s="1566"/>
      <c r="AC989" s="1566"/>
      <c r="AD989" s="1566"/>
      <c r="AE989" s="1566"/>
      <c r="AF989" s="1566"/>
      <c r="AG989" s="1566">
        <v>5230003.3099999996</v>
      </c>
      <c r="AH989" s="1566"/>
      <c r="AI989" s="1566"/>
      <c r="AJ989" s="1566"/>
      <c r="AK989" s="1566"/>
    </row>
    <row r="990" spans="2:37" ht="9.4" customHeight="1">
      <c r="B990" s="1568" t="s">
        <v>345</v>
      </c>
      <c r="C990" s="1568"/>
      <c r="D990" s="1568"/>
      <c r="E990" s="1568" t="s">
        <v>3042</v>
      </c>
      <c r="F990" s="1568"/>
      <c r="G990" s="1568"/>
      <c r="H990" s="1568"/>
      <c r="J990" s="1568" t="s">
        <v>2320</v>
      </c>
      <c r="K990" s="1568"/>
      <c r="L990" s="1568"/>
      <c r="M990" s="1566">
        <v>0</v>
      </c>
      <c r="N990" s="1566"/>
      <c r="O990" s="1566"/>
      <c r="P990" s="1566">
        <v>-2776.27</v>
      </c>
      <c r="Q990" s="1566"/>
      <c r="R990" s="1566"/>
      <c r="S990" s="1566">
        <v>11400.03</v>
      </c>
      <c r="T990" s="1566"/>
      <c r="U990" s="1566"/>
      <c r="V990" s="1566"/>
      <c r="W990" s="1566">
        <v>0</v>
      </c>
      <c r="X990" s="1566"/>
      <c r="Y990" s="1566"/>
      <c r="Z990" s="1566"/>
      <c r="AA990" s="1566">
        <v>0</v>
      </c>
      <c r="AB990" s="1566"/>
      <c r="AC990" s="1566"/>
      <c r="AD990" s="1566"/>
      <c r="AE990" s="1566"/>
      <c r="AF990" s="1566"/>
      <c r="AG990" s="1566">
        <v>-14176.3</v>
      </c>
      <c r="AH990" s="1566"/>
      <c r="AI990" s="1566"/>
      <c r="AJ990" s="1566"/>
      <c r="AK990" s="1566"/>
    </row>
    <row r="991" spans="2:37" ht="9.4" customHeight="1">
      <c r="B991" s="1568" t="s">
        <v>345</v>
      </c>
      <c r="C991" s="1568"/>
      <c r="D991" s="1568"/>
      <c r="E991" s="1568" t="s">
        <v>6249</v>
      </c>
      <c r="F991" s="1568"/>
      <c r="G991" s="1568"/>
      <c r="H991" s="1568"/>
      <c r="J991" s="1568" t="s">
        <v>6237</v>
      </c>
      <c r="K991" s="1568"/>
      <c r="L991" s="1568"/>
      <c r="M991" s="1566">
        <v>0</v>
      </c>
      <c r="N991" s="1566"/>
      <c r="O991" s="1566"/>
      <c r="P991" s="1566">
        <v>-0.03</v>
      </c>
      <c r="Q991" s="1566"/>
      <c r="R991" s="1566"/>
      <c r="S991" s="1566">
        <v>-0.03</v>
      </c>
      <c r="T991" s="1566"/>
      <c r="U991" s="1566"/>
      <c r="V991" s="1566"/>
      <c r="W991" s="1566">
        <v>0</v>
      </c>
      <c r="X991" s="1566"/>
      <c r="Y991" s="1566"/>
      <c r="Z991" s="1566"/>
      <c r="AA991" s="1566">
        <v>0</v>
      </c>
      <c r="AB991" s="1566"/>
      <c r="AC991" s="1566"/>
      <c r="AD991" s="1566"/>
      <c r="AE991" s="1566"/>
      <c r="AF991" s="1566"/>
      <c r="AG991" s="1566">
        <v>0</v>
      </c>
      <c r="AH991" s="1566"/>
      <c r="AI991" s="1566"/>
      <c r="AJ991" s="1566"/>
      <c r="AK991" s="1566"/>
    </row>
    <row r="992" spans="2:37" ht="9.4" customHeight="1">
      <c r="B992" s="1568" t="s">
        <v>345</v>
      </c>
      <c r="C992" s="1568"/>
      <c r="D992" s="1568"/>
      <c r="E992" s="1568" t="s">
        <v>3043</v>
      </c>
      <c r="F992" s="1568"/>
      <c r="G992" s="1568"/>
      <c r="H992" s="1568"/>
      <c r="J992" s="1568" t="s">
        <v>2321</v>
      </c>
      <c r="K992" s="1568"/>
      <c r="L992" s="1568"/>
      <c r="M992" s="1566">
        <v>0</v>
      </c>
      <c r="N992" s="1566"/>
      <c r="O992" s="1566"/>
      <c r="P992" s="1566">
        <v>3349601.02</v>
      </c>
      <c r="Q992" s="1566"/>
      <c r="R992" s="1566"/>
      <c r="S992" s="1566">
        <v>252497.16</v>
      </c>
      <c r="T992" s="1566"/>
      <c r="U992" s="1566"/>
      <c r="V992" s="1566"/>
      <c r="W992" s="1566">
        <v>0</v>
      </c>
      <c r="X992" s="1566"/>
      <c r="Y992" s="1566"/>
      <c r="Z992" s="1566"/>
      <c r="AA992" s="1566">
        <v>0</v>
      </c>
      <c r="AB992" s="1566"/>
      <c r="AC992" s="1566"/>
      <c r="AD992" s="1566"/>
      <c r="AE992" s="1566"/>
      <c r="AF992" s="1566"/>
      <c r="AG992" s="1566">
        <v>3097103.86</v>
      </c>
      <c r="AH992" s="1566"/>
      <c r="AI992" s="1566"/>
      <c r="AJ992" s="1566"/>
      <c r="AK992" s="1566"/>
    </row>
    <row r="993" spans="2:37" ht="9.4" customHeight="1">
      <c r="B993" s="1568" t="s">
        <v>345</v>
      </c>
      <c r="C993" s="1568"/>
      <c r="D993" s="1568"/>
      <c r="E993" s="1568" t="s">
        <v>3044</v>
      </c>
      <c r="F993" s="1568"/>
      <c r="G993" s="1568"/>
      <c r="H993" s="1568"/>
      <c r="J993" s="1568" t="s">
        <v>2322</v>
      </c>
      <c r="K993" s="1568"/>
      <c r="L993" s="1568"/>
      <c r="M993" s="1566">
        <v>0</v>
      </c>
      <c r="N993" s="1566"/>
      <c r="O993" s="1566"/>
      <c r="P993" s="1566">
        <v>1139050.19</v>
      </c>
      <c r="Q993" s="1566"/>
      <c r="R993" s="1566"/>
      <c r="S993" s="1566">
        <v>129632.74</v>
      </c>
      <c r="T993" s="1566"/>
      <c r="U993" s="1566"/>
      <c r="V993" s="1566"/>
      <c r="W993" s="1566">
        <v>0</v>
      </c>
      <c r="X993" s="1566"/>
      <c r="Y993" s="1566"/>
      <c r="Z993" s="1566"/>
      <c r="AA993" s="1566">
        <v>0</v>
      </c>
      <c r="AB993" s="1566"/>
      <c r="AC993" s="1566"/>
      <c r="AD993" s="1566"/>
      <c r="AE993" s="1566"/>
      <c r="AF993" s="1566"/>
      <c r="AG993" s="1566">
        <v>1009417.45</v>
      </c>
      <c r="AH993" s="1566"/>
      <c r="AI993" s="1566"/>
      <c r="AJ993" s="1566"/>
      <c r="AK993" s="1566"/>
    </row>
    <row r="994" spans="2:37" ht="9.4" customHeight="1">
      <c r="B994" s="1568" t="s">
        <v>345</v>
      </c>
      <c r="C994" s="1568"/>
      <c r="D994" s="1568"/>
      <c r="E994" s="1568" t="s">
        <v>5993</v>
      </c>
      <c r="F994" s="1568"/>
      <c r="G994" s="1568"/>
      <c r="H994" s="1568"/>
      <c r="J994" s="1568" t="s">
        <v>5992</v>
      </c>
      <c r="K994" s="1568"/>
      <c r="L994" s="1568"/>
      <c r="M994" s="1566">
        <v>0</v>
      </c>
      <c r="N994" s="1566"/>
      <c r="O994" s="1566"/>
      <c r="P994" s="1566">
        <v>-400</v>
      </c>
      <c r="Q994" s="1566"/>
      <c r="R994" s="1566"/>
      <c r="S994" s="1566">
        <v>0</v>
      </c>
      <c r="T994" s="1566"/>
      <c r="U994" s="1566"/>
      <c r="V994" s="1566"/>
      <c r="W994" s="1566">
        <v>0</v>
      </c>
      <c r="X994" s="1566"/>
      <c r="Y994" s="1566"/>
      <c r="Z994" s="1566"/>
      <c r="AA994" s="1566">
        <v>0</v>
      </c>
      <c r="AB994" s="1566"/>
      <c r="AC994" s="1566"/>
      <c r="AD994" s="1566"/>
      <c r="AE994" s="1566"/>
      <c r="AF994" s="1566"/>
      <c r="AG994" s="1566">
        <v>-400</v>
      </c>
      <c r="AH994" s="1566"/>
      <c r="AI994" s="1566"/>
      <c r="AJ994" s="1566"/>
      <c r="AK994" s="1566"/>
    </row>
    <row r="995" spans="2:37" ht="9.4" customHeight="1">
      <c r="B995" s="1568" t="s">
        <v>345</v>
      </c>
      <c r="C995" s="1568"/>
      <c r="D995" s="1568"/>
      <c r="E995" s="1568" t="s">
        <v>3045</v>
      </c>
      <c r="F995" s="1568"/>
      <c r="G995" s="1568"/>
      <c r="H995" s="1568"/>
      <c r="J995" s="1568" t="s">
        <v>2323</v>
      </c>
      <c r="K995" s="1568"/>
      <c r="L995" s="1568"/>
      <c r="M995" s="1566">
        <v>0</v>
      </c>
      <c r="N995" s="1566"/>
      <c r="O995" s="1566"/>
      <c r="P995" s="1566">
        <v>460488.62</v>
      </c>
      <c r="Q995" s="1566"/>
      <c r="R995" s="1566"/>
      <c r="S995" s="1566">
        <v>37478.97</v>
      </c>
      <c r="T995" s="1566"/>
      <c r="U995" s="1566"/>
      <c r="V995" s="1566"/>
      <c r="W995" s="1566">
        <v>0</v>
      </c>
      <c r="X995" s="1566"/>
      <c r="Y995" s="1566"/>
      <c r="Z995" s="1566"/>
      <c r="AA995" s="1566">
        <v>0</v>
      </c>
      <c r="AB995" s="1566"/>
      <c r="AC995" s="1566"/>
      <c r="AD995" s="1566"/>
      <c r="AE995" s="1566"/>
      <c r="AF995" s="1566"/>
      <c r="AG995" s="1566">
        <v>423009.65</v>
      </c>
      <c r="AH995" s="1566"/>
      <c r="AI995" s="1566"/>
      <c r="AJ995" s="1566"/>
      <c r="AK995" s="1566"/>
    </row>
    <row r="996" spans="2:37" ht="9.4" customHeight="1">
      <c r="B996" s="1568" t="s">
        <v>345</v>
      </c>
      <c r="C996" s="1568"/>
      <c r="D996" s="1568"/>
      <c r="E996" s="1568" t="s">
        <v>3046</v>
      </c>
      <c r="F996" s="1568"/>
      <c r="G996" s="1568"/>
      <c r="H996" s="1568"/>
      <c r="J996" s="1568" t="s">
        <v>2324</v>
      </c>
      <c r="K996" s="1568"/>
      <c r="L996" s="1568"/>
      <c r="M996" s="1566">
        <v>0</v>
      </c>
      <c r="N996" s="1566"/>
      <c r="O996" s="1566"/>
      <c r="P996" s="1566">
        <v>3991031.68</v>
      </c>
      <c r="Q996" s="1566"/>
      <c r="R996" s="1566"/>
      <c r="S996" s="1566">
        <v>569708.18999999994</v>
      </c>
      <c r="T996" s="1566"/>
      <c r="U996" s="1566"/>
      <c r="V996" s="1566"/>
      <c r="W996" s="1566">
        <v>0</v>
      </c>
      <c r="X996" s="1566"/>
      <c r="Y996" s="1566"/>
      <c r="Z996" s="1566"/>
      <c r="AA996" s="1566">
        <v>0</v>
      </c>
      <c r="AB996" s="1566"/>
      <c r="AC996" s="1566"/>
      <c r="AD996" s="1566"/>
      <c r="AE996" s="1566"/>
      <c r="AF996" s="1566"/>
      <c r="AG996" s="1566">
        <v>3421323.49</v>
      </c>
      <c r="AH996" s="1566"/>
      <c r="AI996" s="1566"/>
      <c r="AJ996" s="1566"/>
      <c r="AK996" s="1566"/>
    </row>
    <row r="997" spans="2:37" ht="9.4" customHeight="1">
      <c r="B997" s="1568" t="s">
        <v>345</v>
      </c>
      <c r="C997" s="1568"/>
      <c r="D997" s="1568"/>
      <c r="E997" s="1568" t="s">
        <v>3047</v>
      </c>
      <c r="F997" s="1568"/>
      <c r="G997" s="1568"/>
      <c r="H997" s="1568"/>
      <c r="J997" s="1568" t="s">
        <v>2325</v>
      </c>
      <c r="K997" s="1568"/>
      <c r="L997" s="1568"/>
      <c r="M997" s="1566">
        <v>0</v>
      </c>
      <c r="N997" s="1566"/>
      <c r="O997" s="1566"/>
      <c r="P997" s="1566">
        <v>470870.07</v>
      </c>
      <c r="Q997" s="1566"/>
      <c r="R997" s="1566"/>
      <c r="S997" s="1566">
        <v>68248.429999999993</v>
      </c>
      <c r="T997" s="1566"/>
      <c r="U997" s="1566"/>
      <c r="V997" s="1566"/>
      <c r="W997" s="1566">
        <v>0</v>
      </c>
      <c r="X997" s="1566"/>
      <c r="Y997" s="1566"/>
      <c r="Z997" s="1566"/>
      <c r="AA997" s="1566">
        <v>0</v>
      </c>
      <c r="AB997" s="1566"/>
      <c r="AC997" s="1566"/>
      <c r="AD997" s="1566"/>
      <c r="AE997" s="1566"/>
      <c r="AF997" s="1566"/>
      <c r="AG997" s="1566">
        <v>402621.64</v>
      </c>
      <c r="AH997" s="1566"/>
      <c r="AI997" s="1566"/>
      <c r="AJ997" s="1566"/>
      <c r="AK997" s="1566"/>
    </row>
    <row r="998" spans="2:37" ht="9.4" customHeight="1">
      <c r="B998" s="1568" t="s">
        <v>345</v>
      </c>
      <c r="C998" s="1568"/>
      <c r="D998" s="1568"/>
      <c r="E998" s="1568" t="s">
        <v>6515</v>
      </c>
      <c r="F998" s="1568"/>
      <c r="G998" s="1568"/>
      <c r="H998" s="1568"/>
      <c r="J998" s="1568" t="s">
        <v>6510</v>
      </c>
      <c r="K998" s="1568"/>
      <c r="L998" s="1568"/>
      <c r="M998" s="1566">
        <v>0</v>
      </c>
      <c r="N998" s="1566"/>
      <c r="O998" s="1566"/>
      <c r="P998" s="1566">
        <v>-19185.900000000001</v>
      </c>
      <c r="Q998" s="1566"/>
      <c r="R998" s="1566"/>
      <c r="S998" s="1566">
        <v>0</v>
      </c>
      <c r="T998" s="1566"/>
      <c r="U998" s="1566"/>
      <c r="V998" s="1566"/>
      <c r="W998" s="1566">
        <v>0</v>
      </c>
      <c r="X998" s="1566"/>
      <c r="Y998" s="1566"/>
      <c r="Z998" s="1566"/>
      <c r="AA998" s="1566">
        <v>0</v>
      </c>
      <c r="AB998" s="1566"/>
      <c r="AC998" s="1566"/>
      <c r="AD998" s="1566"/>
      <c r="AE998" s="1566"/>
      <c r="AF998" s="1566"/>
      <c r="AG998" s="1566">
        <v>-19185.900000000001</v>
      </c>
      <c r="AH998" s="1566"/>
      <c r="AI998" s="1566"/>
      <c r="AJ998" s="1566"/>
      <c r="AK998" s="1566"/>
    </row>
    <row r="999" spans="2:37" ht="9.4" customHeight="1">
      <c r="B999" s="1568" t="s">
        <v>345</v>
      </c>
      <c r="C999" s="1568"/>
      <c r="D999" s="1568"/>
      <c r="E999" s="1568" t="s">
        <v>3048</v>
      </c>
      <c r="F999" s="1568"/>
      <c r="G999" s="1568"/>
      <c r="H999" s="1568"/>
      <c r="J999" s="1568" t="s">
        <v>2326</v>
      </c>
      <c r="K999" s="1568"/>
      <c r="L999" s="1568"/>
      <c r="M999" s="1566">
        <v>0</v>
      </c>
      <c r="N999" s="1566"/>
      <c r="O999" s="1566"/>
      <c r="P999" s="1566">
        <v>251009.88</v>
      </c>
      <c r="Q999" s="1566"/>
      <c r="R999" s="1566"/>
      <c r="S999" s="1566">
        <v>32953.18</v>
      </c>
      <c r="T999" s="1566"/>
      <c r="U999" s="1566"/>
      <c r="V999" s="1566"/>
      <c r="W999" s="1566">
        <v>0</v>
      </c>
      <c r="X999" s="1566"/>
      <c r="Y999" s="1566"/>
      <c r="Z999" s="1566"/>
      <c r="AA999" s="1566">
        <v>0</v>
      </c>
      <c r="AB999" s="1566"/>
      <c r="AC999" s="1566"/>
      <c r="AD999" s="1566"/>
      <c r="AE999" s="1566"/>
      <c r="AF999" s="1566"/>
      <c r="AG999" s="1566">
        <v>218056.7</v>
      </c>
      <c r="AH999" s="1566"/>
      <c r="AI999" s="1566"/>
      <c r="AJ999" s="1566"/>
      <c r="AK999" s="1566"/>
    </row>
    <row r="1000" spans="2:37" ht="9.4" customHeight="1">
      <c r="B1000" s="1568" t="s">
        <v>345</v>
      </c>
      <c r="C1000" s="1568"/>
      <c r="D1000" s="1568"/>
      <c r="E1000" s="1568" t="s">
        <v>3049</v>
      </c>
      <c r="F1000" s="1568"/>
      <c r="G1000" s="1568"/>
      <c r="H1000" s="1568"/>
      <c r="J1000" s="1568" t="s">
        <v>2327</v>
      </c>
      <c r="K1000" s="1568"/>
      <c r="L1000" s="1568"/>
      <c r="M1000" s="1566">
        <v>0</v>
      </c>
      <c r="N1000" s="1566"/>
      <c r="O1000" s="1566"/>
      <c r="P1000" s="1566">
        <v>222507.42</v>
      </c>
      <c r="Q1000" s="1566"/>
      <c r="R1000" s="1566"/>
      <c r="S1000" s="1566">
        <v>27685.22</v>
      </c>
      <c r="T1000" s="1566"/>
      <c r="U1000" s="1566"/>
      <c r="V1000" s="1566"/>
      <c r="W1000" s="1566">
        <v>0</v>
      </c>
      <c r="X1000" s="1566"/>
      <c r="Y1000" s="1566"/>
      <c r="Z1000" s="1566"/>
      <c r="AA1000" s="1566">
        <v>0</v>
      </c>
      <c r="AB1000" s="1566"/>
      <c r="AC1000" s="1566"/>
      <c r="AD1000" s="1566"/>
      <c r="AE1000" s="1566"/>
      <c r="AF1000" s="1566"/>
      <c r="AG1000" s="1566">
        <v>194822.2</v>
      </c>
      <c r="AH1000" s="1566"/>
      <c r="AI1000" s="1566"/>
      <c r="AJ1000" s="1566"/>
      <c r="AK1000" s="1566"/>
    </row>
    <row r="1001" spans="2:37" ht="9.4" customHeight="1">
      <c r="B1001" s="1568" t="s">
        <v>345</v>
      </c>
      <c r="C1001" s="1568"/>
      <c r="D1001" s="1568"/>
      <c r="E1001" s="1568" t="s">
        <v>3050</v>
      </c>
      <c r="F1001" s="1568"/>
      <c r="G1001" s="1568"/>
      <c r="H1001" s="1568"/>
      <c r="J1001" s="1568" t="s">
        <v>2388</v>
      </c>
      <c r="K1001" s="1568"/>
      <c r="L1001" s="1568"/>
      <c r="M1001" s="1566">
        <v>0</v>
      </c>
      <c r="N1001" s="1566"/>
      <c r="O1001" s="1566"/>
      <c r="P1001" s="1566">
        <v>839552.74</v>
      </c>
      <c r="Q1001" s="1566"/>
      <c r="R1001" s="1566"/>
      <c r="S1001" s="1566">
        <v>93881.1</v>
      </c>
      <c r="T1001" s="1566"/>
      <c r="U1001" s="1566"/>
      <c r="V1001" s="1566"/>
      <c r="W1001" s="1566">
        <v>0</v>
      </c>
      <c r="X1001" s="1566"/>
      <c r="Y1001" s="1566"/>
      <c r="Z1001" s="1566"/>
      <c r="AA1001" s="1566">
        <v>0</v>
      </c>
      <c r="AB1001" s="1566"/>
      <c r="AC1001" s="1566"/>
      <c r="AD1001" s="1566"/>
      <c r="AE1001" s="1566"/>
      <c r="AF1001" s="1566"/>
      <c r="AG1001" s="1566">
        <v>745671.64</v>
      </c>
      <c r="AH1001" s="1566"/>
      <c r="AI1001" s="1566"/>
      <c r="AJ1001" s="1566"/>
      <c r="AK1001" s="1566"/>
    </row>
    <row r="1002" spans="2:37" ht="9.4" customHeight="1">
      <c r="B1002" s="1568" t="s">
        <v>345</v>
      </c>
      <c r="C1002" s="1568"/>
      <c r="D1002" s="1568"/>
      <c r="E1002" s="1568" t="s">
        <v>3051</v>
      </c>
      <c r="F1002" s="1568"/>
      <c r="G1002" s="1568"/>
      <c r="H1002" s="1568"/>
      <c r="J1002" s="1568" t="s">
        <v>2328</v>
      </c>
      <c r="K1002" s="1568"/>
      <c r="L1002" s="1568"/>
      <c r="M1002" s="1566">
        <v>0</v>
      </c>
      <c r="N1002" s="1566"/>
      <c r="O1002" s="1566"/>
      <c r="P1002" s="1566">
        <v>1269970.3899999999</v>
      </c>
      <c r="Q1002" s="1566"/>
      <c r="R1002" s="1566"/>
      <c r="S1002" s="1566">
        <v>172638.16</v>
      </c>
      <c r="T1002" s="1566"/>
      <c r="U1002" s="1566"/>
      <c r="V1002" s="1566"/>
      <c r="W1002" s="1566">
        <v>0</v>
      </c>
      <c r="X1002" s="1566"/>
      <c r="Y1002" s="1566"/>
      <c r="Z1002" s="1566"/>
      <c r="AA1002" s="1566">
        <v>0</v>
      </c>
      <c r="AB1002" s="1566"/>
      <c r="AC1002" s="1566"/>
      <c r="AD1002" s="1566"/>
      <c r="AE1002" s="1566"/>
      <c r="AF1002" s="1566"/>
      <c r="AG1002" s="1566">
        <v>1097332.23</v>
      </c>
      <c r="AH1002" s="1566"/>
      <c r="AI1002" s="1566"/>
      <c r="AJ1002" s="1566"/>
      <c r="AK1002" s="1566"/>
    </row>
    <row r="1003" spans="2:37" ht="9.4" customHeight="1">
      <c r="B1003" s="1568" t="s">
        <v>345</v>
      </c>
      <c r="C1003" s="1568"/>
      <c r="D1003" s="1568"/>
      <c r="E1003" s="1568" t="s">
        <v>3052</v>
      </c>
      <c r="F1003" s="1568"/>
      <c r="G1003" s="1568"/>
      <c r="H1003" s="1568"/>
      <c r="J1003" s="1568" t="s">
        <v>3007</v>
      </c>
      <c r="K1003" s="1568"/>
      <c r="L1003" s="1568"/>
      <c r="M1003" s="1566">
        <v>0</v>
      </c>
      <c r="N1003" s="1566"/>
      <c r="O1003" s="1566"/>
      <c r="P1003" s="1566">
        <v>3974078.99</v>
      </c>
      <c r="Q1003" s="1566"/>
      <c r="R1003" s="1566"/>
      <c r="S1003" s="1566">
        <v>91150.8</v>
      </c>
      <c r="T1003" s="1566"/>
      <c r="U1003" s="1566"/>
      <c r="V1003" s="1566"/>
      <c r="W1003" s="1566">
        <v>0</v>
      </c>
      <c r="X1003" s="1566"/>
      <c r="Y1003" s="1566"/>
      <c r="Z1003" s="1566"/>
      <c r="AA1003" s="1566">
        <v>0</v>
      </c>
      <c r="AB1003" s="1566"/>
      <c r="AC1003" s="1566"/>
      <c r="AD1003" s="1566"/>
      <c r="AE1003" s="1566"/>
      <c r="AF1003" s="1566"/>
      <c r="AG1003" s="1566">
        <v>3882928.19</v>
      </c>
      <c r="AH1003" s="1566"/>
      <c r="AI1003" s="1566"/>
      <c r="AJ1003" s="1566"/>
      <c r="AK1003" s="1566"/>
    </row>
    <row r="1004" spans="2:37" ht="9.1999999999999993" customHeight="1">
      <c r="J1004" s="1568"/>
      <c r="K1004" s="1568"/>
      <c r="L1004" s="1568"/>
    </row>
    <row r="1005" spans="2:37" ht="8.4499999999999993" customHeight="1">
      <c r="B1005" s="1568" t="s">
        <v>345</v>
      </c>
      <c r="C1005" s="1568"/>
      <c r="D1005" s="1568"/>
      <c r="E1005" s="1568" t="s">
        <v>3053</v>
      </c>
      <c r="F1005" s="1568"/>
      <c r="G1005" s="1568"/>
      <c r="H1005" s="1568"/>
      <c r="J1005" s="1568" t="s">
        <v>0</v>
      </c>
      <c r="K1005" s="1568"/>
      <c r="L1005" s="1568"/>
      <c r="M1005" s="1566">
        <v>0</v>
      </c>
      <c r="N1005" s="1566"/>
      <c r="O1005" s="1566"/>
      <c r="P1005" s="1566">
        <v>3788664.89</v>
      </c>
      <c r="Q1005" s="1566"/>
      <c r="R1005" s="1566"/>
      <c r="S1005" s="1566">
        <v>71964.899999999994</v>
      </c>
      <c r="T1005" s="1566"/>
      <c r="U1005" s="1566"/>
      <c r="V1005" s="1566"/>
      <c r="W1005" s="1566">
        <v>0</v>
      </c>
      <c r="X1005" s="1566"/>
      <c r="Y1005" s="1566"/>
      <c r="Z1005" s="1566"/>
      <c r="AA1005" s="1566">
        <v>0</v>
      </c>
      <c r="AB1005" s="1566"/>
      <c r="AC1005" s="1566"/>
      <c r="AD1005" s="1566"/>
      <c r="AE1005" s="1566"/>
      <c r="AF1005" s="1566"/>
      <c r="AG1005" s="1566">
        <v>3716699.99</v>
      </c>
      <c r="AH1005" s="1566"/>
      <c r="AI1005" s="1566"/>
      <c r="AJ1005" s="1566"/>
      <c r="AK1005" s="1566"/>
    </row>
    <row r="1006" spans="2:37" ht="9.4" customHeight="1">
      <c r="B1006" s="1568" t="s">
        <v>345</v>
      </c>
      <c r="C1006" s="1568"/>
      <c r="D1006" s="1568"/>
      <c r="E1006" s="1568" t="s">
        <v>3179</v>
      </c>
      <c r="F1006" s="1568"/>
      <c r="G1006" s="1568"/>
      <c r="H1006" s="1568"/>
      <c r="J1006" s="1568" t="s">
        <v>3178</v>
      </c>
      <c r="K1006" s="1568"/>
      <c r="L1006" s="1568"/>
      <c r="M1006" s="1566">
        <v>0</v>
      </c>
      <c r="N1006" s="1566"/>
      <c r="O1006" s="1566"/>
      <c r="P1006" s="1566">
        <v>185414.1</v>
      </c>
      <c r="Q1006" s="1566"/>
      <c r="R1006" s="1566"/>
      <c r="S1006" s="1566">
        <v>19185.900000000001</v>
      </c>
      <c r="T1006" s="1566"/>
      <c r="U1006" s="1566"/>
      <c r="V1006" s="1566"/>
      <c r="W1006" s="1566">
        <v>0</v>
      </c>
      <c r="X1006" s="1566"/>
      <c r="Y1006" s="1566"/>
      <c r="Z1006" s="1566"/>
      <c r="AA1006" s="1566">
        <v>0</v>
      </c>
      <c r="AB1006" s="1566"/>
      <c r="AC1006" s="1566"/>
      <c r="AD1006" s="1566"/>
      <c r="AE1006" s="1566"/>
      <c r="AF1006" s="1566"/>
      <c r="AG1006" s="1566">
        <v>166228.20000000001</v>
      </c>
      <c r="AH1006" s="1566"/>
      <c r="AI1006" s="1566"/>
      <c r="AJ1006" s="1566"/>
      <c r="AK1006" s="1566"/>
    </row>
    <row r="1007" spans="2:37" ht="9.4" customHeight="1">
      <c r="B1007" s="1568" t="s">
        <v>345</v>
      </c>
      <c r="C1007" s="1568"/>
      <c r="D1007" s="1568"/>
      <c r="E1007" s="1568" t="s">
        <v>3054</v>
      </c>
      <c r="F1007" s="1568"/>
      <c r="G1007" s="1568"/>
      <c r="H1007" s="1568"/>
      <c r="J1007" s="1568" t="s">
        <v>2998</v>
      </c>
      <c r="K1007" s="1568"/>
      <c r="L1007" s="1568"/>
      <c r="M1007" s="1566">
        <v>0</v>
      </c>
      <c r="N1007" s="1566"/>
      <c r="O1007" s="1566"/>
      <c r="P1007" s="1566">
        <v>1923089.28</v>
      </c>
      <c r="Q1007" s="1566"/>
      <c r="R1007" s="1566"/>
      <c r="S1007" s="1566">
        <v>962673.59</v>
      </c>
      <c r="T1007" s="1566"/>
      <c r="U1007" s="1566"/>
      <c r="V1007" s="1566"/>
      <c r="W1007" s="1566">
        <v>0</v>
      </c>
      <c r="X1007" s="1566"/>
      <c r="Y1007" s="1566"/>
      <c r="Z1007" s="1566"/>
      <c r="AA1007" s="1566">
        <v>0</v>
      </c>
      <c r="AB1007" s="1566"/>
      <c r="AC1007" s="1566"/>
      <c r="AD1007" s="1566"/>
      <c r="AE1007" s="1566"/>
      <c r="AF1007" s="1566"/>
      <c r="AG1007" s="1566">
        <v>960415.69</v>
      </c>
      <c r="AH1007" s="1566"/>
      <c r="AI1007" s="1566"/>
      <c r="AJ1007" s="1566"/>
      <c r="AK1007" s="1566"/>
    </row>
    <row r="1008" spans="2:37" ht="9.1999999999999993" customHeight="1">
      <c r="J1008" s="1568"/>
      <c r="K1008" s="1568"/>
      <c r="L1008" s="1568"/>
    </row>
    <row r="1009" spans="1:38" ht="8.4499999999999993" customHeight="1">
      <c r="B1009" s="1568" t="s">
        <v>345</v>
      </c>
      <c r="C1009" s="1568"/>
      <c r="D1009" s="1568"/>
      <c r="E1009" s="1568" t="s">
        <v>3055</v>
      </c>
      <c r="F1009" s="1568"/>
      <c r="G1009" s="1568"/>
      <c r="H1009" s="1568"/>
      <c r="J1009" s="1568" t="s">
        <v>2333</v>
      </c>
      <c r="K1009" s="1568"/>
      <c r="L1009" s="1568"/>
      <c r="M1009" s="1566">
        <v>0</v>
      </c>
      <c r="N1009" s="1566"/>
      <c r="O1009" s="1566"/>
      <c r="P1009" s="1566">
        <v>1981597.66</v>
      </c>
      <c r="Q1009" s="1566"/>
      <c r="R1009" s="1566"/>
      <c r="S1009" s="1566">
        <v>955136.83</v>
      </c>
      <c r="T1009" s="1566"/>
      <c r="U1009" s="1566"/>
      <c r="V1009" s="1566"/>
      <c r="W1009" s="1566">
        <v>0</v>
      </c>
      <c r="X1009" s="1566"/>
      <c r="Y1009" s="1566"/>
      <c r="Z1009" s="1566"/>
      <c r="AA1009" s="1566">
        <v>0</v>
      </c>
      <c r="AB1009" s="1566"/>
      <c r="AC1009" s="1566"/>
      <c r="AD1009" s="1566"/>
      <c r="AE1009" s="1566"/>
      <c r="AF1009" s="1566"/>
      <c r="AG1009" s="1566">
        <v>1026460.83</v>
      </c>
      <c r="AH1009" s="1566"/>
      <c r="AI1009" s="1566"/>
      <c r="AJ1009" s="1566"/>
      <c r="AK1009" s="1566"/>
    </row>
    <row r="1010" spans="1:38" ht="9.4" customHeight="1">
      <c r="B1010" s="1568" t="s">
        <v>345</v>
      </c>
      <c r="C1010" s="1568"/>
      <c r="D1010" s="1568"/>
      <c r="E1010" s="1568" t="s">
        <v>3056</v>
      </c>
      <c r="F1010" s="1568"/>
      <c r="G1010" s="1568"/>
      <c r="H1010" s="1568"/>
      <c r="J1010" s="1568" t="s">
        <v>2334</v>
      </c>
      <c r="K1010" s="1568"/>
      <c r="L1010" s="1568"/>
      <c r="M1010" s="1566">
        <v>0</v>
      </c>
      <c r="N1010" s="1566"/>
      <c r="O1010" s="1566"/>
      <c r="P1010" s="1566">
        <v>-5745.1</v>
      </c>
      <c r="Q1010" s="1566"/>
      <c r="R1010" s="1566"/>
      <c r="S1010" s="1566">
        <v>7536.76</v>
      </c>
      <c r="T1010" s="1566"/>
      <c r="U1010" s="1566"/>
      <c r="V1010" s="1566"/>
      <c r="W1010" s="1566">
        <v>0</v>
      </c>
      <c r="X1010" s="1566"/>
      <c r="Y1010" s="1566"/>
      <c r="Z1010" s="1566"/>
      <c r="AA1010" s="1566">
        <v>0</v>
      </c>
      <c r="AB1010" s="1566"/>
      <c r="AC1010" s="1566"/>
      <c r="AD1010" s="1566"/>
      <c r="AE1010" s="1566"/>
      <c r="AF1010" s="1566"/>
      <c r="AG1010" s="1566">
        <v>-13281.86</v>
      </c>
      <c r="AH1010" s="1566"/>
      <c r="AI1010" s="1566"/>
      <c r="AJ1010" s="1566"/>
      <c r="AK1010" s="1566"/>
    </row>
    <row r="1011" spans="1:38" ht="9.4" customHeight="1">
      <c r="B1011" s="1568" t="s">
        <v>345</v>
      </c>
      <c r="C1011" s="1568"/>
      <c r="D1011" s="1568"/>
      <c r="E1011" s="1568" t="s">
        <v>3326</v>
      </c>
      <c r="F1011" s="1568"/>
      <c r="G1011" s="1568"/>
      <c r="H1011" s="1568"/>
      <c r="J1011" s="1568" t="s">
        <v>3319</v>
      </c>
      <c r="K1011" s="1568"/>
      <c r="L1011" s="1568"/>
      <c r="M1011" s="1566">
        <v>0</v>
      </c>
      <c r="N1011" s="1566"/>
      <c r="O1011" s="1566"/>
      <c r="P1011" s="1566">
        <v>-52763.28</v>
      </c>
      <c r="Q1011" s="1566"/>
      <c r="R1011" s="1566"/>
      <c r="S1011" s="1566">
        <v>0</v>
      </c>
      <c r="T1011" s="1566"/>
      <c r="U1011" s="1566"/>
      <c r="V1011" s="1566"/>
      <c r="W1011" s="1566">
        <v>0</v>
      </c>
      <c r="X1011" s="1566"/>
      <c r="Y1011" s="1566"/>
      <c r="Z1011" s="1566"/>
      <c r="AA1011" s="1566">
        <v>0</v>
      </c>
      <c r="AB1011" s="1566"/>
      <c r="AC1011" s="1566"/>
      <c r="AD1011" s="1566"/>
      <c r="AE1011" s="1566"/>
      <c r="AF1011" s="1566"/>
      <c r="AG1011" s="1566">
        <v>-52763.28</v>
      </c>
      <c r="AH1011" s="1566"/>
      <c r="AI1011" s="1566"/>
      <c r="AJ1011" s="1566"/>
      <c r="AK1011" s="1566"/>
    </row>
    <row r="1012" spans="1:38" ht="9.4" customHeight="1">
      <c r="B1012" s="1568" t="s">
        <v>345</v>
      </c>
      <c r="C1012" s="1568"/>
      <c r="D1012" s="1568"/>
      <c r="E1012" s="1568" t="s">
        <v>3057</v>
      </c>
      <c r="F1012" s="1568"/>
      <c r="G1012" s="1568"/>
      <c r="H1012" s="1568"/>
      <c r="J1012" s="1568" t="s">
        <v>3000</v>
      </c>
      <c r="K1012" s="1568"/>
      <c r="L1012" s="1568"/>
      <c r="M1012" s="1566">
        <v>0</v>
      </c>
      <c r="N1012" s="1566"/>
      <c r="O1012" s="1566"/>
      <c r="P1012" s="1566">
        <v>-27889.95</v>
      </c>
      <c r="Q1012" s="1566"/>
      <c r="R1012" s="1566"/>
      <c r="S1012" s="1566">
        <v>-13.19</v>
      </c>
      <c r="T1012" s="1566"/>
      <c r="U1012" s="1566"/>
      <c r="V1012" s="1566"/>
      <c r="W1012" s="1566">
        <v>0</v>
      </c>
      <c r="X1012" s="1566"/>
      <c r="Y1012" s="1566"/>
      <c r="Z1012" s="1566"/>
      <c r="AA1012" s="1566">
        <v>0</v>
      </c>
      <c r="AB1012" s="1566"/>
      <c r="AC1012" s="1566"/>
      <c r="AD1012" s="1566"/>
      <c r="AE1012" s="1566"/>
      <c r="AF1012" s="1566"/>
      <c r="AG1012" s="1566">
        <v>-27876.76</v>
      </c>
      <c r="AH1012" s="1566"/>
      <c r="AI1012" s="1566"/>
      <c r="AJ1012" s="1566"/>
      <c r="AK1012" s="1566"/>
    </row>
    <row r="1013" spans="1:38" ht="9.4" customHeight="1">
      <c r="B1013" s="1568" t="s">
        <v>345</v>
      </c>
      <c r="C1013" s="1568"/>
      <c r="D1013" s="1568"/>
      <c r="E1013" s="1568" t="s">
        <v>6785</v>
      </c>
      <c r="F1013" s="1568"/>
      <c r="G1013" s="1568"/>
      <c r="H1013" s="1568"/>
      <c r="J1013" s="1568" t="s">
        <v>6783</v>
      </c>
      <c r="K1013" s="1568"/>
      <c r="L1013" s="1568"/>
      <c r="M1013" s="1566">
        <v>0</v>
      </c>
      <c r="N1013" s="1566"/>
      <c r="O1013" s="1566"/>
      <c r="P1013" s="1566">
        <v>0</v>
      </c>
      <c r="Q1013" s="1566"/>
      <c r="R1013" s="1566"/>
      <c r="S1013" s="1566">
        <v>17.46</v>
      </c>
      <c r="T1013" s="1566"/>
      <c r="U1013" s="1566"/>
      <c r="V1013" s="1566"/>
      <c r="W1013" s="1566">
        <v>0</v>
      </c>
      <c r="X1013" s="1566"/>
      <c r="Y1013" s="1566"/>
      <c r="Z1013" s="1566"/>
      <c r="AA1013" s="1566">
        <v>0</v>
      </c>
      <c r="AB1013" s="1566"/>
      <c r="AC1013" s="1566"/>
      <c r="AD1013" s="1566"/>
      <c r="AE1013" s="1566"/>
      <c r="AF1013" s="1566"/>
      <c r="AG1013" s="1566">
        <v>-17.46</v>
      </c>
      <c r="AH1013" s="1566"/>
      <c r="AI1013" s="1566"/>
      <c r="AJ1013" s="1566"/>
      <c r="AK1013" s="1566"/>
    </row>
    <row r="1014" spans="1:38" ht="9.4" customHeight="1">
      <c r="B1014" s="1568" t="s">
        <v>345</v>
      </c>
      <c r="C1014" s="1568"/>
      <c r="D1014" s="1568"/>
      <c r="E1014" s="1568" t="s">
        <v>3058</v>
      </c>
      <c r="F1014" s="1568"/>
      <c r="G1014" s="1568"/>
      <c r="H1014" s="1568"/>
      <c r="J1014" s="1568" t="s">
        <v>2336</v>
      </c>
      <c r="K1014" s="1568"/>
      <c r="L1014" s="1568"/>
      <c r="M1014" s="1566">
        <v>0</v>
      </c>
      <c r="N1014" s="1566"/>
      <c r="O1014" s="1566"/>
      <c r="P1014" s="1566">
        <v>-27889.95</v>
      </c>
      <c r="Q1014" s="1566"/>
      <c r="R1014" s="1566"/>
      <c r="S1014" s="1566">
        <v>-30.65</v>
      </c>
      <c r="T1014" s="1566"/>
      <c r="U1014" s="1566"/>
      <c r="V1014" s="1566"/>
      <c r="W1014" s="1566">
        <v>0</v>
      </c>
      <c r="X1014" s="1566"/>
      <c r="Y1014" s="1566"/>
      <c r="Z1014" s="1566"/>
      <c r="AA1014" s="1566">
        <v>0</v>
      </c>
      <c r="AB1014" s="1566"/>
      <c r="AC1014" s="1566"/>
      <c r="AD1014" s="1566"/>
      <c r="AE1014" s="1566"/>
      <c r="AF1014" s="1566"/>
      <c r="AG1014" s="1566">
        <v>-27859.3</v>
      </c>
      <c r="AH1014" s="1566"/>
      <c r="AI1014" s="1566"/>
      <c r="AJ1014" s="1566"/>
      <c r="AK1014" s="1566"/>
    </row>
    <row r="1015" spans="1:38" ht="16.899999999999999" customHeight="1">
      <c r="AG1015" s="1565" t="s">
        <v>2444</v>
      </c>
      <c r="AH1015" s="1565"/>
      <c r="AI1015" s="1565"/>
      <c r="AJ1015" s="1565"/>
      <c r="AK1015" s="1565"/>
      <c r="AL1015" s="1565"/>
    </row>
    <row r="1016" spans="1:38" ht="7.15" customHeight="1">
      <c r="D1016" s="1578" t="s">
        <v>2992</v>
      </c>
      <c r="E1016" s="1578"/>
      <c r="F1016" s="1578"/>
      <c r="G1016" s="1578"/>
      <c r="H1016" s="1578"/>
      <c r="I1016" s="1578"/>
      <c r="J1016" s="1578"/>
      <c r="K1016" s="1578"/>
      <c r="L1016" s="1578"/>
      <c r="M1016" s="1578"/>
      <c r="N1016" s="1578"/>
      <c r="O1016" s="1578"/>
      <c r="P1016" s="1578"/>
      <c r="Q1016" s="1578"/>
      <c r="R1016" s="1578"/>
      <c r="S1016" s="1578"/>
      <c r="T1016" s="1578"/>
      <c r="U1016" s="1578"/>
      <c r="V1016" s="1578"/>
      <c r="W1016" s="1578"/>
      <c r="X1016" s="1578"/>
      <c r="Y1016" s="1578"/>
      <c r="Z1016" s="1578"/>
      <c r="AA1016" s="1578"/>
      <c r="AB1016" s="1578"/>
      <c r="AC1016" s="1578"/>
      <c r="AD1016" s="1578"/>
      <c r="AE1016" s="1578"/>
      <c r="AF1016" s="1578"/>
      <c r="AG1016" s="1578"/>
      <c r="AH1016" s="1578"/>
    </row>
    <row r="1017" spans="1:38" ht="9.6" customHeight="1">
      <c r="A1017" s="1579"/>
      <c r="B1017" s="1579"/>
      <c r="C1017" s="1579"/>
      <c r="D1017" s="1579"/>
      <c r="E1017" s="1579"/>
      <c r="F1017" s="1579"/>
      <c r="G1017" s="1579"/>
      <c r="H1017" s="1579"/>
      <c r="I1017" s="1579"/>
      <c r="J1017" s="1578"/>
      <c r="K1017" s="1578"/>
      <c r="L1017" s="1578"/>
      <c r="M1017" s="1578"/>
      <c r="N1017" s="1578"/>
      <c r="O1017" s="1578"/>
      <c r="P1017" s="1578"/>
      <c r="Q1017" s="1578"/>
      <c r="R1017" s="1578"/>
      <c r="S1017" s="1578"/>
      <c r="T1017" s="1578"/>
      <c r="U1017" s="1578"/>
      <c r="V1017" s="1578"/>
      <c r="W1017" s="1578"/>
      <c r="X1017" s="1578"/>
      <c r="Y1017" s="1578"/>
      <c r="Z1017" s="1578"/>
      <c r="AA1017" s="1578"/>
      <c r="AB1017" s="1578"/>
      <c r="AC1017" s="1578"/>
      <c r="AD1017" s="1578"/>
      <c r="AE1017" s="1578"/>
      <c r="AF1017" s="1578"/>
      <c r="AG1017" s="1578"/>
      <c r="AH1017" s="1578"/>
    </row>
    <row r="1018" spans="1:38" ht="13.35" customHeight="1">
      <c r="A1018" s="1579"/>
      <c r="B1018" s="1579"/>
      <c r="C1018" s="1579"/>
      <c r="D1018" s="1579"/>
      <c r="E1018" s="1579"/>
      <c r="F1018" s="1579"/>
      <c r="G1018" s="1579"/>
      <c r="H1018" s="1579"/>
      <c r="I1018" s="1579"/>
      <c r="J1018" s="1580" t="s">
        <v>79</v>
      </c>
      <c r="K1018" s="1580"/>
      <c r="L1018" s="1580"/>
      <c r="M1018" s="1580"/>
      <c r="N1018" s="1580"/>
      <c r="O1018" s="1580"/>
      <c r="P1018" s="1580"/>
      <c r="Q1018" s="1580"/>
      <c r="R1018" s="1580"/>
      <c r="S1018" s="1580"/>
      <c r="T1018" s="1580"/>
      <c r="U1018" s="1580"/>
      <c r="V1018" s="1580"/>
      <c r="W1018" s="1580"/>
      <c r="X1018" s="1580"/>
      <c r="Y1018" s="1580"/>
      <c r="Z1018" s="1580"/>
      <c r="AA1018" s="1580"/>
      <c r="AB1018" s="1580"/>
      <c r="AC1018" s="1580"/>
      <c r="AD1018" s="1580"/>
      <c r="AE1018" s="1580"/>
      <c r="AF1018" s="1580"/>
    </row>
    <row r="1019" spans="1:38" ht="5.25" customHeight="1">
      <c r="A1019" s="1579"/>
      <c r="B1019" s="1579"/>
      <c r="C1019" s="1579"/>
      <c r="D1019" s="1579"/>
      <c r="E1019" s="1579"/>
      <c r="F1019" s="1579"/>
      <c r="G1019" s="1579"/>
      <c r="H1019" s="1579"/>
      <c r="I1019" s="1579"/>
      <c r="J1019" s="1573" t="s">
        <v>6760</v>
      </c>
      <c r="K1019" s="1573"/>
      <c r="L1019" s="1573"/>
      <c r="M1019" s="1573"/>
      <c r="N1019" s="1573"/>
      <c r="O1019" s="1573"/>
      <c r="P1019" s="1573"/>
      <c r="Q1019" s="1573"/>
      <c r="R1019" s="1573"/>
      <c r="S1019" s="1573"/>
      <c r="T1019" s="1573"/>
      <c r="U1019" s="1573"/>
      <c r="V1019" s="1573"/>
      <c r="W1019" s="1573"/>
      <c r="X1019" s="1573"/>
      <c r="Y1019" s="1573"/>
      <c r="Z1019" s="1573"/>
      <c r="AA1019" s="1573"/>
      <c r="AB1019" s="1573"/>
      <c r="AC1019" s="1573"/>
      <c r="AD1019" s="1573"/>
      <c r="AE1019" s="1573"/>
    </row>
    <row r="1020" spans="1:38" ht="8.1" customHeight="1">
      <c r="C1020" s="1572" t="s">
        <v>1920</v>
      </c>
      <c r="D1020" s="1572"/>
      <c r="E1020" s="1572"/>
      <c r="F1020" s="1572"/>
      <c r="G1020" s="1572"/>
      <c r="H1020" s="1572"/>
      <c r="I1020" s="1572"/>
      <c r="J1020" s="1572"/>
      <c r="K1020" s="1573"/>
      <c r="L1020" s="1573"/>
      <c r="M1020" s="1573"/>
      <c r="N1020" s="1573"/>
      <c r="O1020" s="1573"/>
      <c r="P1020" s="1573"/>
      <c r="Q1020" s="1573"/>
      <c r="R1020" s="1573"/>
      <c r="S1020" s="1573"/>
      <c r="T1020" s="1573"/>
      <c r="U1020" s="1573"/>
      <c r="V1020" s="1573"/>
      <c r="W1020" s="1573"/>
      <c r="X1020" s="1573"/>
      <c r="Y1020" s="1574" t="s">
        <v>5920</v>
      </c>
      <c r="Z1020" s="1574"/>
      <c r="AA1020" s="1574"/>
      <c r="AB1020" s="1574"/>
      <c r="AC1020" s="1574"/>
      <c r="AD1020" s="1574"/>
      <c r="AE1020" s="1574"/>
      <c r="AF1020" s="1574"/>
      <c r="AG1020" s="1574"/>
      <c r="AH1020" s="1575" t="s">
        <v>6761</v>
      </c>
      <c r="AI1020" s="1575"/>
      <c r="AJ1020" s="1575"/>
      <c r="AK1020" s="1575"/>
      <c r="AL1020" s="1575"/>
    </row>
    <row r="1021" spans="1:38" ht="6" customHeight="1">
      <c r="C1021" s="1572"/>
      <c r="D1021" s="1572"/>
      <c r="E1021" s="1572"/>
      <c r="F1021" s="1572"/>
      <c r="G1021" s="1572"/>
      <c r="H1021" s="1572"/>
      <c r="I1021" s="1572"/>
      <c r="J1021" s="1572"/>
      <c r="K1021" s="1576" t="s">
        <v>1999</v>
      </c>
      <c r="L1021" s="1576"/>
      <c r="M1021" s="1576"/>
      <c r="N1021" s="1576"/>
      <c r="O1021" s="1576"/>
      <c r="P1021" s="1576"/>
      <c r="Q1021" s="1576"/>
      <c r="R1021" s="1576"/>
      <c r="S1021" s="1576"/>
      <c r="T1021" s="1576"/>
      <c r="U1021" s="1576"/>
      <c r="V1021" s="1576"/>
      <c r="W1021" s="1576"/>
      <c r="X1021" s="1576"/>
      <c r="Y1021" s="1574"/>
      <c r="Z1021" s="1574"/>
      <c r="AA1021" s="1574"/>
      <c r="AB1021" s="1574"/>
      <c r="AC1021" s="1574"/>
      <c r="AD1021" s="1574"/>
      <c r="AE1021" s="1574"/>
      <c r="AF1021" s="1574"/>
      <c r="AG1021" s="1574"/>
      <c r="AH1021" s="1575"/>
      <c r="AI1021" s="1575"/>
      <c r="AJ1021" s="1575"/>
      <c r="AK1021" s="1575"/>
      <c r="AL1021" s="1575"/>
    </row>
    <row r="1022" spans="1:38" ht="7.35" customHeight="1">
      <c r="C1022" s="1572" t="s">
        <v>1998</v>
      </c>
      <c r="D1022" s="1572"/>
      <c r="E1022" s="1572"/>
      <c r="F1022" s="1572"/>
      <c r="G1022" s="1577"/>
      <c r="H1022" s="1577"/>
      <c r="I1022" s="1577"/>
      <c r="J1022" s="1577"/>
      <c r="K1022" s="1577"/>
      <c r="L1022" s="1577"/>
      <c r="M1022" s="1577"/>
      <c r="N1022" s="1577"/>
      <c r="O1022" s="1577"/>
      <c r="P1022" s="1577"/>
      <c r="Q1022" s="1577"/>
      <c r="R1022" s="1577"/>
      <c r="S1022" s="1577"/>
      <c r="T1022" s="1577"/>
      <c r="U1022" s="1577"/>
      <c r="V1022" s="1577"/>
      <c r="W1022" s="1577"/>
      <c r="X1022" s="1577"/>
      <c r="Y1022" s="1577"/>
      <c r="Z1022" s="1577"/>
      <c r="AA1022" s="1577"/>
      <c r="AB1022" s="1577"/>
      <c r="AC1022" s="1577"/>
      <c r="AD1022" s="1577"/>
      <c r="AE1022" s="1577"/>
      <c r="AF1022" s="1574"/>
      <c r="AG1022" s="1574"/>
      <c r="AH1022" s="1574" t="s">
        <v>6762</v>
      </c>
      <c r="AI1022" s="1574"/>
    </row>
    <row r="1023" spans="1:38" ht="6.75" customHeight="1">
      <c r="G1023" s="1577"/>
      <c r="H1023" s="1577"/>
      <c r="I1023" s="1577"/>
      <c r="J1023" s="1577"/>
      <c r="K1023" s="1577"/>
      <c r="L1023" s="1577"/>
      <c r="M1023" s="1577"/>
      <c r="N1023" s="1577"/>
      <c r="O1023" s="1577"/>
      <c r="P1023" s="1577"/>
      <c r="Q1023" s="1577"/>
      <c r="R1023" s="1577"/>
      <c r="S1023" s="1577"/>
      <c r="T1023" s="1577"/>
      <c r="U1023" s="1577"/>
      <c r="V1023" s="1577"/>
      <c r="W1023" s="1577"/>
      <c r="X1023" s="1577"/>
      <c r="Y1023" s="1577"/>
      <c r="Z1023" s="1577"/>
      <c r="AA1023" s="1577"/>
      <c r="AB1023" s="1577"/>
      <c r="AC1023" s="1577"/>
      <c r="AD1023" s="1577"/>
      <c r="AE1023" s="1577"/>
      <c r="AF1023" s="1574"/>
      <c r="AG1023" s="1574"/>
      <c r="AH1023" s="1574"/>
      <c r="AI1023" s="1574"/>
    </row>
    <row r="1024" spans="1:38" ht="11.25" customHeight="1">
      <c r="O1024" s="1570" t="s">
        <v>1318</v>
      </c>
      <c r="P1024" s="1570"/>
      <c r="Q1024" s="1570"/>
      <c r="V1024" s="1570" t="s">
        <v>1319</v>
      </c>
      <c r="W1024" s="1570"/>
      <c r="X1024" s="1570"/>
      <c r="Y1024" s="1570"/>
      <c r="AD1024" s="1570" t="s">
        <v>1320</v>
      </c>
      <c r="AE1024" s="1570"/>
      <c r="AF1024" s="1570"/>
      <c r="AG1024" s="1570"/>
      <c r="AH1024" s="1570"/>
      <c r="AI1024" s="1570"/>
      <c r="AJ1024" s="1570"/>
    </row>
    <row r="1025" spans="2:37" ht="8.4499999999999993" customHeight="1">
      <c r="B1025" s="1571" t="s">
        <v>1321</v>
      </c>
      <c r="C1025" s="1571"/>
      <c r="D1025" s="1571"/>
      <c r="E1025" s="1571" t="s">
        <v>1322</v>
      </c>
      <c r="F1025" s="1571"/>
      <c r="G1025" s="1571"/>
      <c r="J1025" s="1571" t="s">
        <v>1323</v>
      </c>
      <c r="K1025" s="1571"/>
      <c r="L1025" s="1571"/>
      <c r="M1025" s="1571"/>
      <c r="N1025" s="1571"/>
      <c r="O1025" s="1402" t="s">
        <v>1324</v>
      </c>
      <c r="Q1025" s="1569" t="s">
        <v>1325</v>
      </c>
      <c r="R1025" s="1569"/>
      <c r="U1025" s="1569" t="s">
        <v>1324</v>
      </c>
      <c r="V1025" s="1569"/>
      <c r="X1025" s="1569" t="s">
        <v>1325</v>
      </c>
      <c r="Y1025" s="1569"/>
      <c r="Z1025" s="1569"/>
      <c r="AC1025" s="1569" t="s">
        <v>1324</v>
      </c>
      <c r="AD1025" s="1569"/>
      <c r="AE1025" s="1569"/>
      <c r="AF1025" s="1569"/>
      <c r="AH1025" s="1569" t="s">
        <v>1325</v>
      </c>
      <c r="AI1025" s="1569"/>
      <c r="AJ1025" s="1569"/>
      <c r="AK1025" s="1569"/>
    </row>
    <row r="1026" spans="2:37" ht="9.9499999999999993" customHeight="1">
      <c r="B1026" s="1568" t="s">
        <v>345</v>
      </c>
      <c r="C1026" s="1568"/>
      <c r="D1026" s="1568"/>
      <c r="E1026" s="1568" t="s">
        <v>1686</v>
      </c>
      <c r="F1026" s="1568"/>
      <c r="G1026" s="1568"/>
      <c r="H1026" s="1568"/>
      <c r="J1026" s="1568" t="s">
        <v>1687</v>
      </c>
      <c r="K1026" s="1568"/>
      <c r="L1026" s="1568"/>
      <c r="M1026" s="1566">
        <v>0</v>
      </c>
      <c r="N1026" s="1566"/>
      <c r="O1026" s="1566"/>
      <c r="P1026" s="1566">
        <v>0</v>
      </c>
      <c r="Q1026" s="1566"/>
      <c r="R1026" s="1566"/>
      <c r="S1026" s="1566">
        <v>8268085.0800000001</v>
      </c>
      <c r="T1026" s="1566"/>
      <c r="U1026" s="1566"/>
      <c r="V1026" s="1566"/>
      <c r="W1026" s="1566">
        <v>8268085.0800000001</v>
      </c>
      <c r="X1026" s="1566"/>
      <c r="Y1026" s="1566"/>
      <c r="Z1026" s="1566"/>
      <c r="AA1026" s="1566">
        <v>0</v>
      </c>
      <c r="AB1026" s="1566"/>
      <c r="AC1026" s="1566"/>
      <c r="AD1026" s="1566"/>
      <c r="AE1026" s="1566"/>
      <c r="AF1026" s="1566"/>
      <c r="AG1026" s="1566">
        <v>0</v>
      </c>
      <c r="AH1026" s="1566"/>
      <c r="AI1026" s="1566"/>
      <c r="AJ1026" s="1566"/>
      <c r="AK1026" s="1566"/>
    </row>
    <row r="1027" spans="2:37" ht="9.4" customHeight="1">
      <c r="B1027" s="1568" t="s">
        <v>345</v>
      </c>
      <c r="C1027" s="1568"/>
      <c r="D1027" s="1568"/>
      <c r="E1027" s="1568" t="s">
        <v>3059</v>
      </c>
      <c r="F1027" s="1568"/>
      <c r="G1027" s="1568"/>
      <c r="H1027" s="1568"/>
      <c r="J1027" s="1568" t="s">
        <v>2996</v>
      </c>
      <c r="K1027" s="1568"/>
      <c r="L1027" s="1568"/>
      <c r="M1027" s="1566">
        <v>0</v>
      </c>
      <c r="N1027" s="1566"/>
      <c r="O1027" s="1566"/>
      <c r="P1027" s="1566">
        <v>0</v>
      </c>
      <c r="Q1027" s="1566"/>
      <c r="R1027" s="1566"/>
      <c r="S1027" s="1566">
        <v>7305424.6799999997</v>
      </c>
      <c r="T1027" s="1566"/>
      <c r="U1027" s="1566"/>
      <c r="V1027" s="1566"/>
      <c r="W1027" s="1566">
        <v>7305424.6799999997</v>
      </c>
      <c r="X1027" s="1566"/>
      <c r="Y1027" s="1566"/>
      <c r="Z1027" s="1566"/>
      <c r="AA1027" s="1566">
        <v>0</v>
      </c>
      <c r="AB1027" s="1566"/>
      <c r="AC1027" s="1566"/>
      <c r="AD1027" s="1566"/>
      <c r="AE1027" s="1566"/>
      <c r="AF1027" s="1566"/>
      <c r="AG1027" s="1566">
        <v>0</v>
      </c>
      <c r="AH1027" s="1566"/>
      <c r="AI1027" s="1566"/>
      <c r="AJ1027" s="1566"/>
      <c r="AK1027" s="1566"/>
    </row>
    <row r="1028" spans="2:37" ht="17.25" customHeight="1">
      <c r="J1028" s="1568"/>
      <c r="K1028" s="1568"/>
      <c r="L1028" s="1568"/>
    </row>
    <row r="1029" spans="2:37" ht="8.4499999999999993" customHeight="1">
      <c r="B1029" s="1568" t="s">
        <v>345</v>
      </c>
      <c r="C1029" s="1568"/>
      <c r="D1029" s="1568"/>
      <c r="E1029" s="1568" t="s">
        <v>3060</v>
      </c>
      <c r="F1029" s="1568"/>
      <c r="G1029" s="1568"/>
      <c r="H1029" s="1568"/>
      <c r="J1029" s="1568" t="s">
        <v>3007</v>
      </c>
      <c r="K1029" s="1568"/>
      <c r="L1029" s="1568"/>
      <c r="M1029" s="1566">
        <v>0</v>
      </c>
      <c r="N1029" s="1566"/>
      <c r="O1029" s="1566"/>
      <c r="P1029" s="1566">
        <v>0</v>
      </c>
      <c r="Q1029" s="1566"/>
      <c r="R1029" s="1566"/>
      <c r="S1029" s="1566">
        <v>7214273.8799999999</v>
      </c>
      <c r="T1029" s="1566"/>
      <c r="U1029" s="1566"/>
      <c r="V1029" s="1566"/>
      <c r="W1029" s="1566">
        <v>7214273.8799999999</v>
      </c>
      <c r="X1029" s="1566"/>
      <c r="Y1029" s="1566"/>
      <c r="Z1029" s="1566"/>
      <c r="AA1029" s="1566">
        <v>0</v>
      </c>
      <c r="AB1029" s="1566"/>
      <c r="AC1029" s="1566"/>
      <c r="AD1029" s="1566"/>
      <c r="AE1029" s="1566"/>
      <c r="AF1029" s="1566"/>
      <c r="AG1029" s="1566">
        <v>0</v>
      </c>
      <c r="AH1029" s="1566"/>
      <c r="AI1029" s="1566"/>
      <c r="AJ1029" s="1566"/>
      <c r="AK1029" s="1566"/>
    </row>
    <row r="1030" spans="2:37" ht="9.1999999999999993" customHeight="1">
      <c r="J1030" s="1568"/>
      <c r="K1030" s="1568"/>
      <c r="L1030" s="1568"/>
    </row>
    <row r="1031" spans="2:37" ht="8.4499999999999993" customHeight="1">
      <c r="B1031" s="1568" t="s">
        <v>345</v>
      </c>
      <c r="C1031" s="1568"/>
      <c r="D1031" s="1568"/>
      <c r="E1031" s="1568" t="s">
        <v>3061</v>
      </c>
      <c r="F1031" s="1568"/>
      <c r="G1031" s="1568"/>
      <c r="H1031" s="1568"/>
      <c r="J1031" s="1568" t="s">
        <v>2316</v>
      </c>
      <c r="K1031" s="1568"/>
      <c r="L1031" s="1568"/>
      <c r="M1031" s="1566">
        <v>0</v>
      </c>
      <c r="N1031" s="1566"/>
      <c r="O1031" s="1566"/>
      <c r="P1031" s="1566">
        <v>0</v>
      </c>
      <c r="Q1031" s="1566"/>
      <c r="R1031" s="1566"/>
      <c r="S1031" s="1566">
        <v>326904.68</v>
      </c>
      <c r="T1031" s="1566"/>
      <c r="U1031" s="1566"/>
      <c r="V1031" s="1566"/>
      <c r="W1031" s="1566">
        <v>326904.68</v>
      </c>
      <c r="X1031" s="1566"/>
      <c r="Y1031" s="1566"/>
      <c r="Z1031" s="1566"/>
      <c r="AA1031" s="1566">
        <v>0</v>
      </c>
      <c r="AB1031" s="1566"/>
      <c r="AC1031" s="1566"/>
      <c r="AD1031" s="1566"/>
      <c r="AE1031" s="1566"/>
      <c r="AF1031" s="1566"/>
      <c r="AG1031" s="1566">
        <v>0</v>
      </c>
      <c r="AH1031" s="1566"/>
      <c r="AI1031" s="1566"/>
      <c r="AJ1031" s="1566"/>
      <c r="AK1031" s="1566"/>
    </row>
    <row r="1032" spans="2:37" ht="9.4" customHeight="1">
      <c r="B1032" s="1568" t="s">
        <v>345</v>
      </c>
      <c r="C1032" s="1568"/>
      <c r="D1032" s="1568"/>
      <c r="E1032" s="1568" t="s">
        <v>3062</v>
      </c>
      <c r="F1032" s="1568"/>
      <c r="G1032" s="1568"/>
      <c r="H1032" s="1568"/>
      <c r="J1032" s="1568" t="s">
        <v>2318</v>
      </c>
      <c r="K1032" s="1568"/>
      <c r="L1032" s="1568"/>
      <c r="M1032" s="1566">
        <v>0</v>
      </c>
      <c r="N1032" s="1566"/>
      <c r="O1032" s="1566"/>
      <c r="P1032" s="1566">
        <v>0</v>
      </c>
      <c r="Q1032" s="1566"/>
      <c r="R1032" s="1566"/>
      <c r="S1032" s="1566">
        <v>4955026.3499999996</v>
      </c>
      <c r="T1032" s="1566"/>
      <c r="U1032" s="1566"/>
      <c r="V1032" s="1566"/>
      <c r="W1032" s="1566">
        <v>4955026.3499999996</v>
      </c>
      <c r="X1032" s="1566"/>
      <c r="Y1032" s="1566"/>
      <c r="Z1032" s="1566"/>
      <c r="AA1032" s="1566">
        <v>0</v>
      </c>
      <c r="AB1032" s="1566"/>
      <c r="AC1032" s="1566"/>
      <c r="AD1032" s="1566"/>
      <c r="AE1032" s="1566"/>
      <c r="AF1032" s="1566"/>
      <c r="AG1032" s="1566">
        <v>0</v>
      </c>
      <c r="AH1032" s="1566"/>
      <c r="AI1032" s="1566"/>
      <c r="AJ1032" s="1566"/>
      <c r="AK1032" s="1566"/>
    </row>
    <row r="1033" spans="2:37" ht="9.4" customHeight="1">
      <c r="B1033" s="1568" t="s">
        <v>345</v>
      </c>
      <c r="C1033" s="1568"/>
      <c r="D1033" s="1568"/>
      <c r="E1033" s="1568" t="s">
        <v>3063</v>
      </c>
      <c r="F1033" s="1568"/>
      <c r="G1033" s="1568"/>
      <c r="H1033" s="1568"/>
      <c r="J1033" s="1568" t="s">
        <v>2319</v>
      </c>
      <c r="K1033" s="1568"/>
      <c r="L1033" s="1568"/>
      <c r="M1033" s="1566">
        <v>0</v>
      </c>
      <c r="N1033" s="1566"/>
      <c r="O1033" s="1566"/>
      <c r="P1033" s="1566">
        <v>0</v>
      </c>
      <c r="Q1033" s="1566"/>
      <c r="R1033" s="1566"/>
      <c r="S1033" s="1566">
        <v>536219.69999999995</v>
      </c>
      <c r="T1033" s="1566"/>
      <c r="U1033" s="1566"/>
      <c r="V1033" s="1566"/>
      <c r="W1033" s="1566">
        <v>536219.69999999995</v>
      </c>
      <c r="X1033" s="1566"/>
      <c r="Y1033" s="1566"/>
      <c r="Z1033" s="1566"/>
      <c r="AA1033" s="1566">
        <v>0</v>
      </c>
      <c r="AB1033" s="1566"/>
      <c r="AC1033" s="1566"/>
      <c r="AD1033" s="1566"/>
      <c r="AE1033" s="1566"/>
      <c r="AF1033" s="1566"/>
      <c r="AG1033" s="1566">
        <v>0</v>
      </c>
      <c r="AH1033" s="1566"/>
      <c r="AI1033" s="1566"/>
      <c r="AJ1033" s="1566"/>
      <c r="AK1033" s="1566"/>
    </row>
    <row r="1034" spans="2:37" ht="9.4" customHeight="1">
      <c r="B1034" s="1568" t="s">
        <v>345</v>
      </c>
      <c r="C1034" s="1568"/>
      <c r="D1034" s="1568"/>
      <c r="E1034" s="1568" t="s">
        <v>3064</v>
      </c>
      <c r="F1034" s="1568"/>
      <c r="G1034" s="1568"/>
      <c r="H1034" s="1568"/>
      <c r="J1034" s="1568" t="s">
        <v>2320</v>
      </c>
      <c r="K1034" s="1568"/>
      <c r="L1034" s="1568"/>
      <c r="M1034" s="1566">
        <v>0</v>
      </c>
      <c r="N1034" s="1566"/>
      <c r="O1034" s="1566"/>
      <c r="P1034" s="1566">
        <v>0</v>
      </c>
      <c r="Q1034" s="1566"/>
      <c r="R1034" s="1566"/>
      <c r="S1034" s="1566">
        <v>11400.03</v>
      </c>
      <c r="T1034" s="1566"/>
      <c r="U1034" s="1566"/>
      <c r="V1034" s="1566"/>
      <c r="W1034" s="1566">
        <v>11400.03</v>
      </c>
      <c r="X1034" s="1566"/>
      <c r="Y1034" s="1566"/>
      <c r="Z1034" s="1566"/>
      <c r="AA1034" s="1566">
        <v>0</v>
      </c>
      <c r="AB1034" s="1566"/>
      <c r="AC1034" s="1566"/>
      <c r="AD1034" s="1566"/>
      <c r="AE1034" s="1566"/>
      <c r="AF1034" s="1566"/>
      <c r="AG1034" s="1566">
        <v>0</v>
      </c>
      <c r="AH1034" s="1566"/>
      <c r="AI1034" s="1566"/>
      <c r="AJ1034" s="1566"/>
      <c r="AK1034" s="1566"/>
    </row>
    <row r="1035" spans="2:37" ht="9.4" customHeight="1">
      <c r="B1035" s="1568" t="s">
        <v>345</v>
      </c>
      <c r="C1035" s="1568"/>
      <c r="D1035" s="1568"/>
      <c r="E1035" s="1568" t="s">
        <v>6250</v>
      </c>
      <c r="F1035" s="1568"/>
      <c r="G1035" s="1568"/>
      <c r="H1035" s="1568"/>
      <c r="J1035" s="1568" t="s">
        <v>6237</v>
      </c>
      <c r="K1035" s="1568"/>
      <c r="L1035" s="1568"/>
      <c r="M1035" s="1566">
        <v>0</v>
      </c>
      <c r="N1035" s="1566"/>
      <c r="O1035" s="1566"/>
      <c r="P1035" s="1566">
        <v>0</v>
      </c>
      <c r="Q1035" s="1566"/>
      <c r="R1035" s="1566"/>
      <c r="S1035" s="1566">
        <v>-0.03</v>
      </c>
      <c r="T1035" s="1566"/>
      <c r="U1035" s="1566"/>
      <c r="V1035" s="1566"/>
      <c r="W1035" s="1566">
        <v>-0.03</v>
      </c>
      <c r="X1035" s="1566"/>
      <c r="Y1035" s="1566"/>
      <c r="Z1035" s="1566"/>
      <c r="AA1035" s="1566">
        <v>0</v>
      </c>
      <c r="AB1035" s="1566"/>
      <c r="AC1035" s="1566"/>
      <c r="AD1035" s="1566"/>
      <c r="AE1035" s="1566"/>
      <c r="AF1035" s="1566"/>
      <c r="AG1035" s="1566">
        <v>0</v>
      </c>
      <c r="AH1035" s="1566"/>
      <c r="AI1035" s="1566"/>
      <c r="AJ1035" s="1566"/>
      <c r="AK1035" s="1566"/>
    </row>
    <row r="1036" spans="2:37" ht="9.4" customHeight="1">
      <c r="B1036" s="1568" t="s">
        <v>345</v>
      </c>
      <c r="C1036" s="1568"/>
      <c r="D1036" s="1568"/>
      <c r="E1036" s="1568" t="s">
        <v>3065</v>
      </c>
      <c r="F1036" s="1568"/>
      <c r="G1036" s="1568"/>
      <c r="H1036" s="1568"/>
      <c r="J1036" s="1568" t="s">
        <v>2321</v>
      </c>
      <c r="K1036" s="1568"/>
      <c r="L1036" s="1568"/>
      <c r="M1036" s="1566">
        <v>0</v>
      </c>
      <c r="N1036" s="1566"/>
      <c r="O1036" s="1566"/>
      <c r="P1036" s="1566">
        <v>0</v>
      </c>
      <c r="Q1036" s="1566"/>
      <c r="R1036" s="1566"/>
      <c r="S1036" s="1566">
        <v>252497.16</v>
      </c>
      <c r="T1036" s="1566"/>
      <c r="U1036" s="1566"/>
      <c r="V1036" s="1566"/>
      <c r="W1036" s="1566">
        <v>252497.16</v>
      </c>
      <c r="X1036" s="1566"/>
      <c r="Y1036" s="1566"/>
      <c r="Z1036" s="1566"/>
      <c r="AA1036" s="1566">
        <v>0</v>
      </c>
      <c r="AB1036" s="1566"/>
      <c r="AC1036" s="1566"/>
      <c r="AD1036" s="1566"/>
      <c r="AE1036" s="1566"/>
      <c r="AF1036" s="1566"/>
      <c r="AG1036" s="1566">
        <v>0</v>
      </c>
      <c r="AH1036" s="1566"/>
      <c r="AI1036" s="1566"/>
      <c r="AJ1036" s="1566"/>
      <c r="AK1036" s="1566"/>
    </row>
    <row r="1037" spans="2:37" ht="9.4" customHeight="1">
      <c r="B1037" s="1568" t="s">
        <v>345</v>
      </c>
      <c r="C1037" s="1568"/>
      <c r="D1037" s="1568"/>
      <c r="E1037" s="1568" t="s">
        <v>3066</v>
      </c>
      <c r="F1037" s="1568"/>
      <c r="G1037" s="1568"/>
      <c r="H1037" s="1568"/>
      <c r="J1037" s="1568" t="s">
        <v>2322</v>
      </c>
      <c r="K1037" s="1568"/>
      <c r="L1037" s="1568"/>
      <c r="M1037" s="1566">
        <v>0</v>
      </c>
      <c r="N1037" s="1566"/>
      <c r="O1037" s="1566"/>
      <c r="P1037" s="1566">
        <v>0</v>
      </c>
      <c r="Q1037" s="1566"/>
      <c r="R1037" s="1566"/>
      <c r="S1037" s="1566">
        <v>129632.74</v>
      </c>
      <c r="T1037" s="1566"/>
      <c r="U1037" s="1566"/>
      <c r="V1037" s="1566"/>
      <c r="W1037" s="1566">
        <v>129632.74</v>
      </c>
      <c r="X1037" s="1566"/>
      <c r="Y1037" s="1566"/>
      <c r="Z1037" s="1566"/>
      <c r="AA1037" s="1566">
        <v>0</v>
      </c>
      <c r="AB1037" s="1566"/>
      <c r="AC1037" s="1566"/>
      <c r="AD1037" s="1566"/>
      <c r="AE1037" s="1566"/>
      <c r="AF1037" s="1566"/>
      <c r="AG1037" s="1566">
        <v>0</v>
      </c>
      <c r="AH1037" s="1566"/>
      <c r="AI1037" s="1566"/>
      <c r="AJ1037" s="1566"/>
      <c r="AK1037" s="1566"/>
    </row>
    <row r="1038" spans="2:37" ht="9.4" customHeight="1">
      <c r="B1038" s="1568" t="s">
        <v>345</v>
      </c>
      <c r="C1038" s="1568"/>
      <c r="D1038" s="1568"/>
      <c r="E1038" s="1568" t="s">
        <v>5994</v>
      </c>
      <c r="F1038" s="1568"/>
      <c r="G1038" s="1568"/>
      <c r="H1038" s="1568"/>
      <c r="J1038" s="1568" t="s">
        <v>5992</v>
      </c>
      <c r="K1038" s="1568"/>
      <c r="L1038" s="1568"/>
      <c r="M1038" s="1566">
        <v>0</v>
      </c>
      <c r="N1038" s="1566"/>
      <c r="O1038" s="1566"/>
      <c r="P1038" s="1566">
        <v>0</v>
      </c>
      <c r="Q1038" s="1566"/>
      <c r="R1038" s="1566"/>
      <c r="S1038" s="1566">
        <v>0</v>
      </c>
      <c r="T1038" s="1566"/>
      <c r="U1038" s="1566"/>
      <c r="V1038" s="1566"/>
      <c r="W1038" s="1566">
        <v>0</v>
      </c>
      <c r="X1038" s="1566"/>
      <c r="Y1038" s="1566"/>
      <c r="Z1038" s="1566"/>
      <c r="AA1038" s="1566">
        <v>0</v>
      </c>
      <c r="AB1038" s="1566"/>
      <c r="AC1038" s="1566"/>
      <c r="AD1038" s="1566"/>
      <c r="AE1038" s="1566"/>
      <c r="AF1038" s="1566"/>
      <c r="AG1038" s="1566">
        <v>0</v>
      </c>
      <c r="AH1038" s="1566"/>
      <c r="AI1038" s="1566"/>
      <c r="AJ1038" s="1566"/>
      <c r="AK1038" s="1566"/>
    </row>
    <row r="1039" spans="2:37" ht="9.4" customHeight="1">
      <c r="B1039" s="1568" t="s">
        <v>345</v>
      </c>
      <c r="C1039" s="1568"/>
      <c r="D1039" s="1568"/>
      <c r="E1039" s="1568" t="s">
        <v>3067</v>
      </c>
      <c r="F1039" s="1568"/>
      <c r="G1039" s="1568"/>
      <c r="H1039" s="1568"/>
      <c r="J1039" s="1568" t="s">
        <v>2323</v>
      </c>
      <c r="K1039" s="1568"/>
      <c r="L1039" s="1568"/>
      <c r="M1039" s="1566">
        <v>0</v>
      </c>
      <c r="N1039" s="1566"/>
      <c r="O1039" s="1566"/>
      <c r="P1039" s="1566">
        <v>0</v>
      </c>
      <c r="Q1039" s="1566"/>
      <c r="R1039" s="1566"/>
      <c r="S1039" s="1566">
        <v>37478.97</v>
      </c>
      <c r="T1039" s="1566"/>
      <c r="U1039" s="1566"/>
      <c r="V1039" s="1566"/>
      <c r="W1039" s="1566">
        <v>37478.97</v>
      </c>
      <c r="X1039" s="1566"/>
      <c r="Y1039" s="1566"/>
      <c r="Z1039" s="1566"/>
      <c r="AA1039" s="1566">
        <v>0</v>
      </c>
      <c r="AB1039" s="1566"/>
      <c r="AC1039" s="1566"/>
      <c r="AD1039" s="1566"/>
      <c r="AE1039" s="1566"/>
      <c r="AF1039" s="1566"/>
      <c r="AG1039" s="1566">
        <v>0</v>
      </c>
      <c r="AH1039" s="1566"/>
      <c r="AI1039" s="1566"/>
      <c r="AJ1039" s="1566"/>
      <c r="AK1039" s="1566"/>
    </row>
    <row r="1040" spans="2:37" ht="9.4" customHeight="1">
      <c r="B1040" s="1568" t="s">
        <v>345</v>
      </c>
      <c r="C1040" s="1568"/>
      <c r="D1040" s="1568"/>
      <c r="E1040" s="1568" t="s">
        <v>3068</v>
      </c>
      <c r="F1040" s="1568"/>
      <c r="G1040" s="1568"/>
      <c r="H1040" s="1568"/>
      <c r="J1040" s="1568" t="s">
        <v>2324</v>
      </c>
      <c r="K1040" s="1568"/>
      <c r="L1040" s="1568"/>
      <c r="M1040" s="1566">
        <v>0</v>
      </c>
      <c r="N1040" s="1566"/>
      <c r="O1040" s="1566"/>
      <c r="P1040" s="1566">
        <v>0</v>
      </c>
      <c r="Q1040" s="1566"/>
      <c r="R1040" s="1566"/>
      <c r="S1040" s="1566">
        <v>569708.18999999994</v>
      </c>
      <c r="T1040" s="1566"/>
      <c r="U1040" s="1566"/>
      <c r="V1040" s="1566"/>
      <c r="W1040" s="1566">
        <v>569708.18999999994</v>
      </c>
      <c r="X1040" s="1566"/>
      <c r="Y1040" s="1566"/>
      <c r="Z1040" s="1566"/>
      <c r="AA1040" s="1566">
        <v>0</v>
      </c>
      <c r="AB1040" s="1566"/>
      <c r="AC1040" s="1566"/>
      <c r="AD1040" s="1566"/>
      <c r="AE1040" s="1566"/>
      <c r="AF1040" s="1566"/>
      <c r="AG1040" s="1566">
        <v>0</v>
      </c>
      <c r="AH1040" s="1566"/>
      <c r="AI1040" s="1566"/>
      <c r="AJ1040" s="1566"/>
      <c r="AK1040" s="1566"/>
    </row>
    <row r="1041" spans="2:37" ht="9.4" customHeight="1">
      <c r="B1041" s="1568" t="s">
        <v>345</v>
      </c>
      <c r="C1041" s="1568"/>
      <c r="D1041" s="1568"/>
      <c r="E1041" s="1568" t="s">
        <v>3069</v>
      </c>
      <c r="F1041" s="1568"/>
      <c r="G1041" s="1568"/>
      <c r="H1041" s="1568"/>
      <c r="J1041" s="1568" t="s">
        <v>2325</v>
      </c>
      <c r="K1041" s="1568"/>
      <c r="L1041" s="1568"/>
      <c r="M1041" s="1566">
        <v>0</v>
      </c>
      <c r="N1041" s="1566"/>
      <c r="O1041" s="1566"/>
      <c r="P1041" s="1566">
        <v>0</v>
      </c>
      <c r="Q1041" s="1566"/>
      <c r="R1041" s="1566"/>
      <c r="S1041" s="1566">
        <v>68248.429999999993</v>
      </c>
      <c r="T1041" s="1566"/>
      <c r="U1041" s="1566"/>
      <c r="V1041" s="1566"/>
      <c r="W1041" s="1566">
        <v>68248.429999999993</v>
      </c>
      <c r="X1041" s="1566"/>
      <c r="Y1041" s="1566"/>
      <c r="Z1041" s="1566"/>
      <c r="AA1041" s="1566">
        <v>0</v>
      </c>
      <c r="AB1041" s="1566"/>
      <c r="AC1041" s="1566"/>
      <c r="AD1041" s="1566"/>
      <c r="AE1041" s="1566"/>
      <c r="AF1041" s="1566"/>
      <c r="AG1041" s="1566">
        <v>0</v>
      </c>
      <c r="AH1041" s="1566"/>
      <c r="AI1041" s="1566"/>
      <c r="AJ1041" s="1566"/>
      <c r="AK1041" s="1566"/>
    </row>
    <row r="1042" spans="2:37" ht="9.4" customHeight="1">
      <c r="B1042" s="1568" t="s">
        <v>345</v>
      </c>
      <c r="C1042" s="1568"/>
      <c r="D1042" s="1568"/>
      <c r="E1042" s="1568" t="s">
        <v>6516</v>
      </c>
      <c r="F1042" s="1568"/>
      <c r="G1042" s="1568"/>
      <c r="H1042" s="1568"/>
      <c r="J1042" s="1568" t="s">
        <v>6510</v>
      </c>
      <c r="K1042" s="1568"/>
      <c r="L1042" s="1568"/>
      <c r="M1042" s="1566">
        <v>0</v>
      </c>
      <c r="N1042" s="1566"/>
      <c r="O1042" s="1566"/>
      <c r="P1042" s="1566">
        <v>0</v>
      </c>
      <c r="Q1042" s="1566"/>
      <c r="R1042" s="1566"/>
      <c r="S1042" s="1566">
        <v>0</v>
      </c>
      <c r="T1042" s="1566"/>
      <c r="U1042" s="1566"/>
      <c r="V1042" s="1566"/>
      <c r="W1042" s="1566">
        <v>0</v>
      </c>
      <c r="X1042" s="1566"/>
      <c r="Y1042" s="1566"/>
      <c r="Z1042" s="1566"/>
      <c r="AA1042" s="1566">
        <v>0</v>
      </c>
      <c r="AB1042" s="1566"/>
      <c r="AC1042" s="1566"/>
      <c r="AD1042" s="1566"/>
      <c r="AE1042" s="1566"/>
      <c r="AF1042" s="1566"/>
      <c r="AG1042" s="1566">
        <v>0</v>
      </c>
      <c r="AH1042" s="1566"/>
      <c r="AI1042" s="1566"/>
      <c r="AJ1042" s="1566"/>
      <c r="AK1042" s="1566"/>
    </row>
    <row r="1043" spans="2:37" ht="9.4" customHeight="1">
      <c r="B1043" s="1568" t="s">
        <v>345</v>
      </c>
      <c r="C1043" s="1568"/>
      <c r="D1043" s="1568"/>
      <c r="E1043" s="1568" t="s">
        <v>3070</v>
      </c>
      <c r="F1043" s="1568"/>
      <c r="G1043" s="1568"/>
      <c r="H1043" s="1568"/>
      <c r="J1043" s="1568" t="s">
        <v>2326</v>
      </c>
      <c r="K1043" s="1568"/>
      <c r="L1043" s="1568"/>
      <c r="M1043" s="1566">
        <v>0</v>
      </c>
      <c r="N1043" s="1566"/>
      <c r="O1043" s="1566"/>
      <c r="P1043" s="1566">
        <v>0</v>
      </c>
      <c r="Q1043" s="1566"/>
      <c r="R1043" s="1566"/>
      <c r="S1043" s="1566">
        <v>32953.18</v>
      </c>
      <c r="T1043" s="1566"/>
      <c r="U1043" s="1566"/>
      <c r="V1043" s="1566"/>
      <c r="W1043" s="1566">
        <v>32953.18</v>
      </c>
      <c r="X1043" s="1566"/>
      <c r="Y1043" s="1566"/>
      <c r="Z1043" s="1566"/>
      <c r="AA1043" s="1566">
        <v>0</v>
      </c>
      <c r="AB1043" s="1566"/>
      <c r="AC1043" s="1566"/>
      <c r="AD1043" s="1566"/>
      <c r="AE1043" s="1566"/>
      <c r="AF1043" s="1566"/>
      <c r="AG1043" s="1566">
        <v>0</v>
      </c>
      <c r="AH1043" s="1566"/>
      <c r="AI1043" s="1566"/>
      <c r="AJ1043" s="1566"/>
      <c r="AK1043" s="1566"/>
    </row>
    <row r="1044" spans="2:37" ht="9.4" customHeight="1">
      <c r="B1044" s="1568" t="s">
        <v>345</v>
      </c>
      <c r="C1044" s="1568"/>
      <c r="D1044" s="1568"/>
      <c r="E1044" s="1568" t="s">
        <v>3071</v>
      </c>
      <c r="F1044" s="1568"/>
      <c r="G1044" s="1568"/>
      <c r="H1044" s="1568"/>
      <c r="J1044" s="1568" t="s">
        <v>2327</v>
      </c>
      <c r="K1044" s="1568"/>
      <c r="L1044" s="1568"/>
      <c r="M1044" s="1566">
        <v>0</v>
      </c>
      <c r="N1044" s="1566"/>
      <c r="O1044" s="1566"/>
      <c r="P1044" s="1566">
        <v>0</v>
      </c>
      <c r="Q1044" s="1566"/>
      <c r="R1044" s="1566"/>
      <c r="S1044" s="1566">
        <v>27685.22</v>
      </c>
      <c r="T1044" s="1566"/>
      <c r="U1044" s="1566"/>
      <c r="V1044" s="1566"/>
      <c r="W1044" s="1566">
        <v>27685.22</v>
      </c>
      <c r="X1044" s="1566"/>
      <c r="Y1044" s="1566"/>
      <c r="Z1044" s="1566"/>
      <c r="AA1044" s="1566">
        <v>0</v>
      </c>
      <c r="AB1044" s="1566"/>
      <c r="AC1044" s="1566"/>
      <c r="AD1044" s="1566"/>
      <c r="AE1044" s="1566"/>
      <c r="AF1044" s="1566"/>
      <c r="AG1044" s="1566">
        <v>0</v>
      </c>
      <c r="AH1044" s="1566"/>
      <c r="AI1044" s="1566"/>
      <c r="AJ1044" s="1566"/>
      <c r="AK1044" s="1566"/>
    </row>
    <row r="1045" spans="2:37" ht="9.4" customHeight="1">
      <c r="B1045" s="1568" t="s">
        <v>345</v>
      </c>
      <c r="C1045" s="1568"/>
      <c r="D1045" s="1568"/>
      <c r="E1045" s="1568" t="s">
        <v>3376</v>
      </c>
      <c r="F1045" s="1568"/>
      <c r="G1045" s="1568"/>
      <c r="H1045" s="1568"/>
      <c r="J1045" s="1568" t="s">
        <v>2388</v>
      </c>
      <c r="K1045" s="1568"/>
      <c r="L1045" s="1568"/>
      <c r="M1045" s="1566">
        <v>0</v>
      </c>
      <c r="N1045" s="1566"/>
      <c r="O1045" s="1566"/>
      <c r="P1045" s="1566">
        <v>0</v>
      </c>
      <c r="Q1045" s="1566"/>
      <c r="R1045" s="1566"/>
      <c r="S1045" s="1566">
        <v>93881.1</v>
      </c>
      <c r="T1045" s="1566"/>
      <c r="U1045" s="1566"/>
      <c r="V1045" s="1566"/>
      <c r="W1045" s="1566">
        <v>93881.1</v>
      </c>
      <c r="X1045" s="1566"/>
      <c r="Y1045" s="1566"/>
      <c r="Z1045" s="1566"/>
      <c r="AA1045" s="1566">
        <v>0</v>
      </c>
      <c r="AB1045" s="1566"/>
      <c r="AC1045" s="1566"/>
      <c r="AD1045" s="1566"/>
      <c r="AE1045" s="1566"/>
      <c r="AF1045" s="1566"/>
      <c r="AG1045" s="1566">
        <v>0</v>
      </c>
      <c r="AH1045" s="1566"/>
      <c r="AI1045" s="1566"/>
      <c r="AJ1045" s="1566"/>
      <c r="AK1045" s="1566"/>
    </row>
    <row r="1046" spans="2:37" ht="9.4" customHeight="1">
      <c r="B1046" s="1568" t="s">
        <v>345</v>
      </c>
      <c r="C1046" s="1568"/>
      <c r="D1046" s="1568"/>
      <c r="E1046" s="1568" t="s">
        <v>3072</v>
      </c>
      <c r="F1046" s="1568"/>
      <c r="G1046" s="1568"/>
      <c r="H1046" s="1568"/>
      <c r="J1046" s="1568" t="s">
        <v>2328</v>
      </c>
      <c r="K1046" s="1568"/>
      <c r="L1046" s="1568"/>
      <c r="M1046" s="1566">
        <v>0</v>
      </c>
      <c r="N1046" s="1566"/>
      <c r="O1046" s="1566"/>
      <c r="P1046" s="1566">
        <v>0</v>
      </c>
      <c r="Q1046" s="1566"/>
      <c r="R1046" s="1566"/>
      <c r="S1046" s="1566">
        <v>172638.16</v>
      </c>
      <c r="T1046" s="1566"/>
      <c r="U1046" s="1566"/>
      <c r="V1046" s="1566"/>
      <c r="W1046" s="1566">
        <v>172638.16</v>
      </c>
      <c r="X1046" s="1566"/>
      <c r="Y1046" s="1566"/>
      <c r="Z1046" s="1566"/>
      <c r="AA1046" s="1566">
        <v>0</v>
      </c>
      <c r="AB1046" s="1566"/>
      <c r="AC1046" s="1566"/>
      <c r="AD1046" s="1566"/>
      <c r="AE1046" s="1566"/>
      <c r="AF1046" s="1566"/>
      <c r="AG1046" s="1566">
        <v>0</v>
      </c>
      <c r="AH1046" s="1566"/>
      <c r="AI1046" s="1566"/>
      <c r="AJ1046" s="1566"/>
      <c r="AK1046" s="1566"/>
    </row>
    <row r="1047" spans="2:37" ht="9.4" customHeight="1">
      <c r="B1047" s="1568" t="s">
        <v>345</v>
      </c>
      <c r="C1047" s="1568"/>
      <c r="D1047" s="1568"/>
      <c r="E1047" s="1568" t="s">
        <v>3073</v>
      </c>
      <c r="F1047" s="1568"/>
      <c r="G1047" s="1568"/>
      <c r="H1047" s="1568"/>
      <c r="J1047" s="1568" t="s">
        <v>3007</v>
      </c>
      <c r="K1047" s="1568"/>
      <c r="L1047" s="1568"/>
      <c r="M1047" s="1566">
        <v>0</v>
      </c>
      <c r="N1047" s="1566"/>
      <c r="O1047" s="1566"/>
      <c r="P1047" s="1566">
        <v>0</v>
      </c>
      <c r="Q1047" s="1566"/>
      <c r="R1047" s="1566"/>
      <c r="S1047" s="1566">
        <v>91150.8</v>
      </c>
      <c r="T1047" s="1566"/>
      <c r="U1047" s="1566"/>
      <c r="V1047" s="1566"/>
      <c r="W1047" s="1566">
        <v>91150.8</v>
      </c>
      <c r="X1047" s="1566"/>
      <c r="Y1047" s="1566"/>
      <c r="Z1047" s="1566"/>
      <c r="AA1047" s="1566">
        <v>0</v>
      </c>
      <c r="AB1047" s="1566"/>
      <c r="AC1047" s="1566"/>
      <c r="AD1047" s="1566"/>
      <c r="AE1047" s="1566"/>
      <c r="AF1047" s="1566"/>
      <c r="AG1047" s="1566">
        <v>0</v>
      </c>
      <c r="AH1047" s="1566"/>
      <c r="AI1047" s="1566"/>
      <c r="AJ1047" s="1566"/>
      <c r="AK1047" s="1566"/>
    </row>
    <row r="1048" spans="2:37" ht="9.1999999999999993" customHeight="1">
      <c r="J1048" s="1568"/>
      <c r="K1048" s="1568"/>
      <c r="L1048" s="1568"/>
    </row>
    <row r="1049" spans="2:37" ht="8.4499999999999993" customHeight="1">
      <c r="B1049" s="1568" t="s">
        <v>345</v>
      </c>
      <c r="C1049" s="1568"/>
      <c r="D1049" s="1568"/>
      <c r="E1049" s="1568" t="s">
        <v>3074</v>
      </c>
      <c r="F1049" s="1568"/>
      <c r="G1049" s="1568"/>
      <c r="H1049" s="1568"/>
      <c r="J1049" s="1568" t="s">
        <v>0</v>
      </c>
      <c r="K1049" s="1568"/>
      <c r="L1049" s="1568"/>
      <c r="M1049" s="1566">
        <v>0</v>
      </c>
      <c r="N1049" s="1566"/>
      <c r="O1049" s="1566"/>
      <c r="P1049" s="1566">
        <v>0</v>
      </c>
      <c r="Q1049" s="1566"/>
      <c r="R1049" s="1566"/>
      <c r="S1049" s="1566">
        <v>71964.899999999994</v>
      </c>
      <c r="T1049" s="1566"/>
      <c r="U1049" s="1566"/>
      <c r="V1049" s="1566"/>
      <c r="W1049" s="1566">
        <v>71964.899999999994</v>
      </c>
      <c r="X1049" s="1566"/>
      <c r="Y1049" s="1566"/>
      <c r="Z1049" s="1566"/>
      <c r="AA1049" s="1566">
        <v>0</v>
      </c>
      <c r="AB1049" s="1566"/>
      <c r="AC1049" s="1566"/>
      <c r="AD1049" s="1566"/>
      <c r="AE1049" s="1566"/>
      <c r="AF1049" s="1566"/>
      <c r="AG1049" s="1566">
        <v>0</v>
      </c>
      <c r="AH1049" s="1566"/>
      <c r="AI1049" s="1566"/>
      <c r="AJ1049" s="1566"/>
      <c r="AK1049" s="1566"/>
    </row>
    <row r="1050" spans="2:37" ht="9.4" customHeight="1">
      <c r="B1050" s="1568" t="s">
        <v>345</v>
      </c>
      <c r="C1050" s="1568"/>
      <c r="D1050" s="1568"/>
      <c r="E1050" s="1568" t="s">
        <v>3180</v>
      </c>
      <c r="F1050" s="1568"/>
      <c r="G1050" s="1568"/>
      <c r="H1050" s="1568"/>
      <c r="J1050" s="1568" t="s">
        <v>3178</v>
      </c>
      <c r="K1050" s="1568"/>
      <c r="L1050" s="1568"/>
      <c r="M1050" s="1566">
        <v>0</v>
      </c>
      <c r="N1050" s="1566"/>
      <c r="O1050" s="1566"/>
      <c r="P1050" s="1566">
        <v>0</v>
      </c>
      <c r="Q1050" s="1566"/>
      <c r="R1050" s="1566"/>
      <c r="S1050" s="1566">
        <v>19185.900000000001</v>
      </c>
      <c r="T1050" s="1566"/>
      <c r="U1050" s="1566"/>
      <c r="V1050" s="1566"/>
      <c r="W1050" s="1566">
        <v>19185.900000000001</v>
      </c>
      <c r="X1050" s="1566"/>
      <c r="Y1050" s="1566"/>
      <c r="Z1050" s="1566"/>
      <c r="AA1050" s="1566">
        <v>0</v>
      </c>
      <c r="AB1050" s="1566"/>
      <c r="AC1050" s="1566"/>
      <c r="AD1050" s="1566"/>
      <c r="AE1050" s="1566"/>
      <c r="AF1050" s="1566"/>
      <c r="AG1050" s="1566">
        <v>0</v>
      </c>
      <c r="AH1050" s="1566"/>
      <c r="AI1050" s="1566"/>
      <c r="AJ1050" s="1566"/>
      <c r="AK1050" s="1566"/>
    </row>
    <row r="1051" spans="2:37" ht="9.4" customHeight="1">
      <c r="B1051" s="1568" t="s">
        <v>345</v>
      </c>
      <c r="C1051" s="1568"/>
      <c r="D1051" s="1568"/>
      <c r="E1051" s="1568" t="s">
        <v>3075</v>
      </c>
      <c r="F1051" s="1568"/>
      <c r="G1051" s="1568"/>
      <c r="H1051" s="1568"/>
      <c r="J1051" s="1568" t="s">
        <v>2998</v>
      </c>
      <c r="K1051" s="1568"/>
      <c r="L1051" s="1568"/>
      <c r="M1051" s="1566">
        <v>0</v>
      </c>
      <c r="N1051" s="1566"/>
      <c r="O1051" s="1566"/>
      <c r="P1051" s="1566">
        <v>0</v>
      </c>
      <c r="Q1051" s="1566"/>
      <c r="R1051" s="1566"/>
      <c r="S1051" s="1566">
        <v>962673.59</v>
      </c>
      <c r="T1051" s="1566"/>
      <c r="U1051" s="1566"/>
      <c r="V1051" s="1566"/>
      <c r="W1051" s="1566">
        <v>962673.59</v>
      </c>
      <c r="X1051" s="1566"/>
      <c r="Y1051" s="1566"/>
      <c r="Z1051" s="1566"/>
      <c r="AA1051" s="1566">
        <v>0</v>
      </c>
      <c r="AB1051" s="1566"/>
      <c r="AC1051" s="1566"/>
      <c r="AD1051" s="1566"/>
      <c r="AE1051" s="1566"/>
      <c r="AF1051" s="1566"/>
      <c r="AG1051" s="1566">
        <v>0</v>
      </c>
      <c r="AH1051" s="1566"/>
      <c r="AI1051" s="1566"/>
      <c r="AJ1051" s="1566"/>
      <c r="AK1051" s="1566"/>
    </row>
    <row r="1052" spans="2:37" ht="9.1999999999999993" customHeight="1">
      <c r="J1052" s="1568"/>
      <c r="K1052" s="1568"/>
      <c r="L1052" s="1568"/>
    </row>
    <row r="1053" spans="2:37" ht="8.4499999999999993" customHeight="1">
      <c r="B1053" s="1568" t="s">
        <v>345</v>
      </c>
      <c r="C1053" s="1568"/>
      <c r="D1053" s="1568"/>
      <c r="E1053" s="1568" t="s">
        <v>3076</v>
      </c>
      <c r="F1053" s="1568"/>
      <c r="G1053" s="1568"/>
      <c r="H1053" s="1568"/>
      <c r="J1053" s="1568" t="s">
        <v>2333</v>
      </c>
      <c r="K1053" s="1568"/>
      <c r="L1053" s="1568"/>
      <c r="M1053" s="1566">
        <v>0</v>
      </c>
      <c r="N1053" s="1566"/>
      <c r="O1053" s="1566"/>
      <c r="P1053" s="1566">
        <v>0</v>
      </c>
      <c r="Q1053" s="1566"/>
      <c r="R1053" s="1566"/>
      <c r="S1053" s="1566">
        <v>955136.83</v>
      </c>
      <c r="T1053" s="1566"/>
      <c r="U1053" s="1566"/>
      <c r="V1053" s="1566"/>
      <c r="W1053" s="1566">
        <v>955136.83</v>
      </c>
      <c r="X1053" s="1566"/>
      <c r="Y1053" s="1566"/>
      <c r="Z1053" s="1566"/>
      <c r="AA1053" s="1566">
        <v>0</v>
      </c>
      <c r="AB1053" s="1566"/>
      <c r="AC1053" s="1566"/>
      <c r="AD1053" s="1566"/>
      <c r="AE1053" s="1566"/>
      <c r="AF1053" s="1566"/>
      <c r="AG1053" s="1566">
        <v>0</v>
      </c>
      <c r="AH1053" s="1566"/>
      <c r="AI1053" s="1566"/>
      <c r="AJ1053" s="1566"/>
      <c r="AK1053" s="1566"/>
    </row>
    <row r="1054" spans="2:37" ht="9.4" customHeight="1">
      <c r="B1054" s="1568" t="s">
        <v>345</v>
      </c>
      <c r="C1054" s="1568"/>
      <c r="D1054" s="1568"/>
      <c r="E1054" s="1568" t="s">
        <v>3077</v>
      </c>
      <c r="F1054" s="1568"/>
      <c r="G1054" s="1568"/>
      <c r="H1054" s="1568"/>
      <c r="J1054" s="1568" t="s">
        <v>2334</v>
      </c>
      <c r="K1054" s="1568"/>
      <c r="L1054" s="1568"/>
      <c r="M1054" s="1566">
        <v>0</v>
      </c>
      <c r="N1054" s="1566"/>
      <c r="O1054" s="1566"/>
      <c r="P1054" s="1566">
        <v>0</v>
      </c>
      <c r="Q1054" s="1566"/>
      <c r="R1054" s="1566"/>
      <c r="S1054" s="1566">
        <v>7536.76</v>
      </c>
      <c r="T1054" s="1566"/>
      <c r="U1054" s="1566"/>
      <c r="V1054" s="1566"/>
      <c r="W1054" s="1566">
        <v>7536.76</v>
      </c>
      <c r="X1054" s="1566"/>
      <c r="Y1054" s="1566"/>
      <c r="Z1054" s="1566"/>
      <c r="AA1054" s="1566">
        <v>0</v>
      </c>
      <c r="AB1054" s="1566"/>
      <c r="AC1054" s="1566"/>
      <c r="AD1054" s="1566"/>
      <c r="AE1054" s="1566"/>
      <c r="AF1054" s="1566"/>
      <c r="AG1054" s="1566">
        <v>0</v>
      </c>
      <c r="AH1054" s="1566"/>
      <c r="AI1054" s="1566"/>
      <c r="AJ1054" s="1566"/>
      <c r="AK1054" s="1566"/>
    </row>
    <row r="1055" spans="2:37" ht="9.4" customHeight="1">
      <c r="B1055" s="1568" t="s">
        <v>345</v>
      </c>
      <c r="C1055" s="1568"/>
      <c r="D1055" s="1568"/>
      <c r="E1055" s="1568" t="s">
        <v>3327</v>
      </c>
      <c r="F1055" s="1568"/>
      <c r="G1055" s="1568"/>
      <c r="H1055" s="1568"/>
      <c r="J1055" s="1568" t="s">
        <v>3319</v>
      </c>
      <c r="K1055" s="1568"/>
      <c r="L1055" s="1568"/>
      <c r="M1055" s="1566">
        <v>0</v>
      </c>
      <c r="N1055" s="1566"/>
      <c r="O1055" s="1566"/>
      <c r="P1055" s="1566">
        <v>0</v>
      </c>
      <c r="Q1055" s="1566"/>
      <c r="R1055" s="1566"/>
      <c r="S1055" s="1566">
        <v>0</v>
      </c>
      <c r="T1055" s="1566"/>
      <c r="U1055" s="1566"/>
      <c r="V1055" s="1566"/>
      <c r="W1055" s="1566">
        <v>0</v>
      </c>
      <c r="X1055" s="1566"/>
      <c r="Y1055" s="1566"/>
      <c r="Z1055" s="1566"/>
      <c r="AA1055" s="1566">
        <v>0</v>
      </c>
      <c r="AB1055" s="1566"/>
      <c r="AC1055" s="1566"/>
      <c r="AD1055" s="1566"/>
      <c r="AE1055" s="1566"/>
      <c r="AF1055" s="1566"/>
      <c r="AG1055" s="1566">
        <v>0</v>
      </c>
      <c r="AH1055" s="1566"/>
      <c r="AI1055" s="1566"/>
      <c r="AJ1055" s="1566"/>
      <c r="AK1055" s="1566"/>
    </row>
    <row r="1056" spans="2:37" ht="9.4" customHeight="1">
      <c r="B1056" s="1568" t="s">
        <v>345</v>
      </c>
      <c r="C1056" s="1568"/>
      <c r="D1056" s="1568"/>
      <c r="E1056" s="1568" t="s">
        <v>3078</v>
      </c>
      <c r="F1056" s="1568"/>
      <c r="G1056" s="1568"/>
      <c r="H1056" s="1568"/>
      <c r="J1056" s="1568" t="s">
        <v>3000</v>
      </c>
      <c r="K1056" s="1568"/>
      <c r="L1056" s="1568"/>
      <c r="M1056" s="1566">
        <v>0</v>
      </c>
      <c r="N1056" s="1566"/>
      <c r="O1056" s="1566"/>
      <c r="P1056" s="1566">
        <v>0</v>
      </c>
      <c r="Q1056" s="1566"/>
      <c r="R1056" s="1566"/>
      <c r="S1056" s="1566">
        <v>-13.19</v>
      </c>
      <c r="T1056" s="1566"/>
      <c r="U1056" s="1566"/>
      <c r="V1056" s="1566"/>
      <c r="W1056" s="1566">
        <v>-13.19</v>
      </c>
      <c r="X1056" s="1566"/>
      <c r="Y1056" s="1566"/>
      <c r="Z1056" s="1566"/>
      <c r="AA1056" s="1566">
        <v>0</v>
      </c>
      <c r="AB1056" s="1566"/>
      <c r="AC1056" s="1566"/>
      <c r="AD1056" s="1566"/>
      <c r="AE1056" s="1566"/>
      <c r="AF1056" s="1566"/>
      <c r="AG1056" s="1566">
        <v>0</v>
      </c>
      <c r="AH1056" s="1566"/>
      <c r="AI1056" s="1566"/>
      <c r="AJ1056" s="1566"/>
      <c r="AK1056" s="1566"/>
    </row>
    <row r="1057" spans="2:37" ht="9.4" customHeight="1">
      <c r="B1057" s="1568" t="s">
        <v>345</v>
      </c>
      <c r="C1057" s="1568"/>
      <c r="D1057" s="1568"/>
      <c r="E1057" s="1568" t="s">
        <v>6786</v>
      </c>
      <c r="F1057" s="1568"/>
      <c r="G1057" s="1568"/>
      <c r="H1057" s="1568"/>
      <c r="J1057" s="1568" t="s">
        <v>6783</v>
      </c>
      <c r="K1057" s="1568"/>
      <c r="L1057" s="1568"/>
      <c r="M1057" s="1566">
        <v>0</v>
      </c>
      <c r="N1057" s="1566"/>
      <c r="O1057" s="1566"/>
      <c r="P1057" s="1566">
        <v>0</v>
      </c>
      <c r="Q1057" s="1566"/>
      <c r="R1057" s="1566"/>
      <c r="S1057" s="1566">
        <v>17.46</v>
      </c>
      <c r="T1057" s="1566"/>
      <c r="U1057" s="1566"/>
      <c r="V1057" s="1566"/>
      <c r="W1057" s="1566">
        <v>17.46</v>
      </c>
      <c r="X1057" s="1566"/>
      <c r="Y1057" s="1566"/>
      <c r="Z1057" s="1566"/>
      <c r="AA1057" s="1566">
        <v>0</v>
      </c>
      <c r="AB1057" s="1566"/>
      <c r="AC1057" s="1566"/>
      <c r="AD1057" s="1566"/>
      <c r="AE1057" s="1566"/>
      <c r="AF1057" s="1566"/>
      <c r="AG1057" s="1566">
        <v>0</v>
      </c>
      <c r="AH1057" s="1566"/>
      <c r="AI1057" s="1566"/>
      <c r="AJ1057" s="1566"/>
      <c r="AK1057" s="1566"/>
    </row>
    <row r="1058" spans="2:37" ht="9.4" customHeight="1">
      <c r="B1058" s="1568" t="s">
        <v>345</v>
      </c>
      <c r="C1058" s="1568"/>
      <c r="D1058" s="1568"/>
      <c r="E1058" s="1568" t="s">
        <v>3079</v>
      </c>
      <c r="F1058" s="1568"/>
      <c r="G1058" s="1568"/>
      <c r="H1058" s="1568"/>
      <c r="J1058" s="1568" t="s">
        <v>2336</v>
      </c>
      <c r="K1058" s="1568"/>
      <c r="L1058" s="1568"/>
      <c r="M1058" s="1566">
        <v>0</v>
      </c>
      <c r="N1058" s="1566"/>
      <c r="O1058" s="1566"/>
      <c r="P1058" s="1566">
        <v>0</v>
      </c>
      <c r="Q1058" s="1566"/>
      <c r="R1058" s="1566"/>
      <c r="S1058" s="1566">
        <v>-30.65</v>
      </c>
      <c r="T1058" s="1566"/>
      <c r="U1058" s="1566"/>
      <c r="V1058" s="1566"/>
      <c r="W1058" s="1566">
        <v>-30.65</v>
      </c>
      <c r="X1058" s="1566"/>
      <c r="Y1058" s="1566"/>
      <c r="Z1058" s="1566"/>
      <c r="AA1058" s="1566">
        <v>0</v>
      </c>
      <c r="AB1058" s="1566"/>
      <c r="AC1058" s="1566"/>
      <c r="AD1058" s="1566"/>
      <c r="AE1058" s="1566"/>
      <c r="AF1058" s="1566"/>
      <c r="AG1058" s="1566">
        <v>0</v>
      </c>
      <c r="AH1058" s="1566"/>
      <c r="AI1058" s="1566"/>
      <c r="AJ1058" s="1566"/>
      <c r="AK1058" s="1566"/>
    </row>
    <row r="1059" spans="2:37" ht="9.4" customHeight="1">
      <c r="B1059" s="1568" t="s">
        <v>345</v>
      </c>
      <c r="C1059" s="1568"/>
      <c r="D1059" s="1568"/>
      <c r="E1059" s="1568" t="s">
        <v>1688</v>
      </c>
      <c r="F1059" s="1568"/>
      <c r="G1059" s="1568"/>
      <c r="H1059" s="1568"/>
      <c r="J1059" s="1568" t="s">
        <v>1689</v>
      </c>
      <c r="K1059" s="1568"/>
      <c r="L1059" s="1568"/>
      <c r="M1059" s="1566">
        <v>0</v>
      </c>
      <c r="N1059" s="1566"/>
      <c r="O1059" s="1566"/>
      <c r="P1059" s="1566">
        <v>22179717.800000001</v>
      </c>
      <c r="Q1059" s="1566"/>
      <c r="R1059" s="1566"/>
      <c r="S1059" s="1566">
        <v>0</v>
      </c>
      <c r="T1059" s="1566"/>
      <c r="U1059" s="1566"/>
      <c r="V1059" s="1566"/>
      <c r="W1059" s="1566">
        <v>8268085.0800000001</v>
      </c>
      <c r="X1059" s="1566"/>
      <c r="Y1059" s="1566"/>
      <c r="Z1059" s="1566"/>
      <c r="AA1059" s="1566">
        <v>0</v>
      </c>
      <c r="AB1059" s="1566"/>
      <c r="AC1059" s="1566"/>
      <c r="AD1059" s="1566"/>
      <c r="AE1059" s="1566"/>
      <c r="AF1059" s="1566"/>
      <c r="AG1059" s="1566">
        <v>30447802.879999999</v>
      </c>
      <c r="AH1059" s="1566"/>
      <c r="AI1059" s="1566"/>
      <c r="AJ1059" s="1566"/>
      <c r="AK1059" s="1566"/>
    </row>
    <row r="1060" spans="2:37" ht="9.4" customHeight="1">
      <c r="B1060" s="1568" t="s">
        <v>345</v>
      </c>
      <c r="C1060" s="1568"/>
      <c r="D1060" s="1568"/>
      <c r="E1060" s="1568" t="s">
        <v>3080</v>
      </c>
      <c r="F1060" s="1568"/>
      <c r="G1060" s="1568"/>
      <c r="H1060" s="1568"/>
      <c r="J1060" s="1568" t="s">
        <v>2996</v>
      </c>
      <c r="K1060" s="1568"/>
      <c r="L1060" s="1568"/>
      <c r="M1060" s="1566">
        <v>0</v>
      </c>
      <c r="N1060" s="1566"/>
      <c r="O1060" s="1566"/>
      <c r="P1060" s="1566">
        <v>20465195.129999999</v>
      </c>
      <c r="Q1060" s="1566"/>
      <c r="R1060" s="1566"/>
      <c r="S1060" s="1566">
        <v>0</v>
      </c>
      <c r="T1060" s="1566"/>
      <c r="U1060" s="1566"/>
      <c r="V1060" s="1566"/>
      <c r="W1060" s="1566">
        <v>7305424.6799999997</v>
      </c>
      <c r="X1060" s="1566"/>
      <c r="Y1060" s="1566"/>
      <c r="Z1060" s="1566"/>
      <c r="AA1060" s="1566">
        <v>0</v>
      </c>
      <c r="AB1060" s="1566"/>
      <c r="AC1060" s="1566"/>
      <c r="AD1060" s="1566"/>
      <c r="AE1060" s="1566"/>
      <c r="AF1060" s="1566"/>
      <c r="AG1060" s="1566">
        <v>27770619.809999999</v>
      </c>
      <c r="AH1060" s="1566"/>
      <c r="AI1060" s="1566"/>
      <c r="AJ1060" s="1566"/>
      <c r="AK1060" s="1566"/>
    </row>
    <row r="1061" spans="2:37" ht="17.25" customHeight="1">
      <c r="J1061" s="1568"/>
      <c r="K1061" s="1568"/>
      <c r="L1061" s="1568"/>
    </row>
    <row r="1062" spans="2:37" ht="8.4499999999999993" customHeight="1">
      <c r="B1062" s="1568" t="s">
        <v>345</v>
      </c>
      <c r="C1062" s="1568"/>
      <c r="D1062" s="1568"/>
      <c r="E1062" s="1568" t="s">
        <v>3081</v>
      </c>
      <c r="F1062" s="1568"/>
      <c r="G1062" s="1568"/>
      <c r="H1062" s="1568"/>
      <c r="J1062" s="1568" t="s">
        <v>3007</v>
      </c>
      <c r="K1062" s="1568"/>
      <c r="L1062" s="1568"/>
      <c r="M1062" s="1566">
        <v>0</v>
      </c>
      <c r="N1062" s="1566"/>
      <c r="O1062" s="1566"/>
      <c r="P1062" s="1566">
        <v>20183983.120000001</v>
      </c>
      <c r="Q1062" s="1566"/>
      <c r="R1062" s="1566"/>
      <c r="S1062" s="1566">
        <v>0</v>
      </c>
      <c r="T1062" s="1566"/>
      <c r="U1062" s="1566"/>
      <c r="V1062" s="1566"/>
      <c r="W1062" s="1566">
        <v>7214273.8799999999</v>
      </c>
      <c r="X1062" s="1566"/>
      <c r="Y1062" s="1566"/>
      <c r="Z1062" s="1566"/>
      <c r="AA1062" s="1566">
        <v>0</v>
      </c>
      <c r="AB1062" s="1566"/>
      <c r="AC1062" s="1566"/>
      <c r="AD1062" s="1566"/>
      <c r="AE1062" s="1566"/>
      <c r="AF1062" s="1566"/>
      <c r="AG1062" s="1566">
        <v>27398257</v>
      </c>
      <c r="AH1062" s="1566"/>
      <c r="AI1062" s="1566"/>
      <c r="AJ1062" s="1566"/>
      <c r="AK1062" s="1566"/>
    </row>
    <row r="1063" spans="2:37" ht="9.1999999999999993" customHeight="1">
      <c r="J1063" s="1568"/>
      <c r="K1063" s="1568"/>
      <c r="L1063" s="1568"/>
    </row>
    <row r="1064" spans="2:37" ht="8.4499999999999993" customHeight="1">
      <c r="B1064" s="1568" t="s">
        <v>345</v>
      </c>
      <c r="C1064" s="1568"/>
      <c r="D1064" s="1568"/>
      <c r="E1064" s="1568" t="s">
        <v>3082</v>
      </c>
      <c r="F1064" s="1568"/>
      <c r="G1064" s="1568"/>
      <c r="H1064" s="1568"/>
      <c r="J1064" s="1568" t="s">
        <v>2316</v>
      </c>
      <c r="K1064" s="1568"/>
      <c r="L1064" s="1568"/>
      <c r="M1064" s="1566">
        <v>0</v>
      </c>
      <c r="N1064" s="1566"/>
      <c r="O1064" s="1566"/>
      <c r="P1064" s="1566">
        <v>893321.68</v>
      </c>
      <c r="Q1064" s="1566"/>
      <c r="R1064" s="1566"/>
      <c r="S1064" s="1566">
        <v>0</v>
      </c>
      <c r="T1064" s="1566"/>
      <c r="U1064" s="1566"/>
      <c r="V1064" s="1566"/>
      <c r="W1064" s="1566">
        <v>326904.68</v>
      </c>
      <c r="X1064" s="1566"/>
      <c r="Y1064" s="1566"/>
      <c r="Z1064" s="1566"/>
      <c r="AA1064" s="1566">
        <v>0</v>
      </c>
      <c r="AB1064" s="1566"/>
      <c r="AC1064" s="1566"/>
      <c r="AD1064" s="1566"/>
      <c r="AE1064" s="1566"/>
      <c r="AF1064" s="1566"/>
      <c r="AG1064" s="1566">
        <v>1220226.3600000001</v>
      </c>
      <c r="AH1064" s="1566"/>
      <c r="AI1064" s="1566"/>
      <c r="AJ1064" s="1566"/>
      <c r="AK1064" s="1566"/>
    </row>
    <row r="1065" spans="2:37" ht="9.4" customHeight="1">
      <c r="B1065" s="1568" t="s">
        <v>345</v>
      </c>
      <c r="C1065" s="1568"/>
      <c r="D1065" s="1568"/>
      <c r="E1065" s="1568" t="s">
        <v>3083</v>
      </c>
      <c r="F1065" s="1568"/>
      <c r="G1065" s="1568"/>
      <c r="H1065" s="1568"/>
      <c r="J1065" s="1568" t="s">
        <v>2318</v>
      </c>
      <c r="K1065" s="1568"/>
      <c r="L1065" s="1568"/>
      <c r="M1065" s="1566">
        <v>0</v>
      </c>
      <c r="N1065" s="1566"/>
      <c r="O1065" s="1566"/>
      <c r="P1065" s="1566">
        <v>13987864.26</v>
      </c>
      <c r="Q1065" s="1566"/>
      <c r="R1065" s="1566"/>
      <c r="S1065" s="1566">
        <v>0</v>
      </c>
      <c r="T1065" s="1566"/>
      <c r="U1065" s="1566"/>
      <c r="V1065" s="1566"/>
      <c r="W1065" s="1566">
        <v>4955026.3499999996</v>
      </c>
      <c r="X1065" s="1566"/>
      <c r="Y1065" s="1566"/>
      <c r="Z1065" s="1566"/>
      <c r="AA1065" s="1566">
        <v>0</v>
      </c>
      <c r="AB1065" s="1566"/>
      <c r="AC1065" s="1566"/>
      <c r="AD1065" s="1566"/>
      <c r="AE1065" s="1566"/>
      <c r="AF1065" s="1566"/>
      <c r="AG1065" s="1566">
        <v>18942890.609999999</v>
      </c>
      <c r="AH1065" s="1566"/>
      <c r="AI1065" s="1566"/>
      <c r="AJ1065" s="1566"/>
      <c r="AK1065" s="1566"/>
    </row>
    <row r="1066" spans="2:37" ht="9.4" customHeight="1">
      <c r="B1066" s="1568" t="s">
        <v>345</v>
      </c>
      <c r="C1066" s="1568"/>
      <c r="D1066" s="1568"/>
      <c r="E1066" s="1568" t="s">
        <v>3084</v>
      </c>
      <c r="F1066" s="1568"/>
      <c r="G1066" s="1568"/>
      <c r="H1066" s="1568"/>
      <c r="J1066" s="1568" t="s">
        <v>2319</v>
      </c>
      <c r="K1066" s="1568"/>
      <c r="L1066" s="1568"/>
      <c r="M1066" s="1566">
        <v>0</v>
      </c>
      <c r="N1066" s="1566"/>
      <c r="O1066" s="1566"/>
      <c r="P1066" s="1566">
        <v>1634712.99</v>
      </c>
      <c r="Q1066" s="1566"/>
      <c r="R1066" s="1566"/>
      <c r="S1066" s="1566">
        <v>0</v>
      </c>
      <c r="T1066" s="1566"/>
      <c r="U1066" s="1566"/>
      <c r="V1066" s="1566"/>
      <c r="W1066" s="1566">
        <v>536219.69999999995</v>
      </c>
      <c r="X1066" s="1566"/>
      <c r="Y1066" s="1566"/>
      <c r="Z1066" s="1566"/>
      <c r="AA1066" s="1566">
        <v>0</v>
      </c>
      <c r="AB1066" s="1566"/>
      <c r="AC1066" s="1566"/>
      <c r="AD1066" s="1566"/>
      <c r="AE1066" s="1566"/>
      <c r="AF1066" s="1566"/>
      <c r="AG1066" s="1566">
        <v>2170932.69</v>
      </c>
      <c r="AH1066" s="1566"/>
      <c r="AI1066" s="1566"/>
      <c r="AJ1066" s="1566"/>
      <c r="AK1066" s="1566"/>
    </row>
    <row r="1067" spans="2:37" ht="9.4" customHeight="1">
      <c r="B1067" s="1568" t="s">
        <v>345</v>
      </c>
      <c r="C1067" s="1568"/>
      <c r="D1067" s="1568"/>
      <c r="E1067" s="1568" t="s">
        <v>3085</v>
      </c>
      <c r="F1067" s="1568"/>
      <c r="G1067" s="1568"/>
      <c r="H1067" s="1568"/>
      <c r="J1067" s="1568" t="s">
        <v>2320</v>
      </c>
      <c r="K1067" s="1568"/>
      <c r="L1067" s="1568"/>
      <c r="M1067" s="1566">
        <v>0</v>
      </c>
      <c r="N1067" s="1566"/>
      <c r="O1067" s="1566"/>
      <c r="P1067" s="1566">
        <v>2776.27</v>
      </c>
      <c r="Q1067" s="1566"/>
      <c r="R1067" s="1566"/>
      <c r="S1067" s="1566">
        <v>0</v>
      </c>
      <c r="T1067" s="1566"/>
      <c r="U1067" s="1566"/>
      <c r="V1067" s="1566"/>
      <c r="W1067" s="1566">
        <v>11400.03</v>
      </c>
      <c r="X1067" s="1566"/>
      <c r="Y1067" s="1566"/>
      <c r="Z1067" s="1566"/>
      <c r="AA1067" s="1566">
        <v>0</v>
      </c>
      <c r="AB1067" s="1566"/>
      <c r="AC1067" s="1566"/>
      <c r="AD1067" s="1566"/>
      <c r="AE1067" s="1566"/>
      <c r="AF1067" s="1566"/>
      <c r="AG1067" s="1566">
        <v>14176.3</v>
      </c>
      <c r="AH1067" s="1566"/>
      <c r="AI1067" s="1566"/>
      <c r="AJ1067" s="1566"/>
      <c r="AK1067" s="1566"/>
    </row>
    <row r="1068" spans="2:37" ht="9.4" customHeight="1">
      <c r="B1068" s="1568" t="s">
        <v>345</v>
      </c>
      <c r="C1068" s="1568"/>
      <c r="D1068" s="1568"/>
      <c r="E1068" s="1568" t="s">
        <v>6251</v>
      </c>
      <c r="F1068" s="1568"/>
      <c r="G1068" s="1568"/>
      <c r="H1068" s="1568"/>
      <c r="J1068" s="1568" t="s">
        <v>6237</v>
      </c>
      <c r="K1068" s="1568"/>
      <c r="L1068" s="1568"/>
      <c r="M1068" s="1566">
        <v>0</v>
      </c>
      <c r="N1068" s="1566"/>
      <c r="O1068" s="1566"/>
      <c r="P1068" s="1566">
        <v>0.03</v>
      </c>
      <c r="Q1068" s="1566"/>
      <c r="R1068" s="1566"/>
      <c r="S1068" s="1566">
        <v>0</v>
      </c>
      <c r="T1068" s="1566"/>
      <c r="U1068" s="1566"/>
      <c r="V1068" s="1566"/>
      <c r="W1068" s="1566">
        <v>-0.03</v>
      </c>
      <c r="X1068" s="1566"/>
      <c r="Y1068" s="1566"/>
      <c r="Z1068" s="1566"/>
      <c r="AA1068" s="1566">
        <v>0</v>
      </c>
      <c r="AB1068" s="1566"/>
      <c r="AC1068" s="1566"/>
      <c r="AD1068" s="1566"/>
      <c r="AE1068" s="1566"/>
      <c r="AF1068" s="1566"/>
      <c r="AG1068" s="1566">
        <v>0</v>
      </c>
      <c r="AH1068" s="1566"/>
      <c r="AI1068" s="1566"/>
      <c r="AJ1068" s="1566"/>
      <c r="AK1068" s="1566"/>
    </row>
    <row r="1069" spans="2:37" ht="9.4" customHeight="1">
      <c r="B1069" s="1568" t="s">
        <v>345</v>
      </c>
      <c r="C1069" s="1568"/>
      <c r="D1069" s="1568"/>
      <c r="E1069" s="1568" t="s">
        <v>3086</v>
      </c>
      <c r="F1069" s="1568"/>
      <c r="G1069" s="1568"/>
      <c r="H1069" s="1568"/>
      <c r="J1069" s="1568" t="s">
        <v>2321</v>
      </c>
      <c r="K1069" s="1568"/>
      <c r="L1069" s="1568"/>
      <c r="M1069" s="1566">
        <v>0</v>
      </c>
      <c r="N1069" s="1566"/>
      <c r="O1069" s="1566"/>
      <c r="P1069" s="1566">
        <v>692062.98</v>
      </c>
      <c r="Q1069" s="1566"/>
      <c r="R1069" s="1566"/>
      <c r="S1069" s="1566">
        <v>0</v>
      </c>
      <c r="T1069" s="1566"/>
      <c r="U1069" s="1566"/>
      <c r="V1069" s="1566"/>
      <c r="W1069" s="1566">
        <v>252497.16</v>
      </c>
      <c r="X1069" s="1566"/>
      <c r="Y1069" s="1566"/>
      <c r="Z1069" s="1566"/>
      <c r="AA1069" s="1566">
        <v>0</v>
      </c>
      <c r="AB1069" s="1566"/>
      <c r="AC1069" s="1566"/>
      <c r="AD1069" s="1566"/>
      <c r="AE1069" s="1566"/>
      <c r="AF1069" s="1566"/>
      <c r="AG1069" s="1566">
        <v>944560.14</v>
      </c>
      <c r="AH1069" s="1566"/>
      <c r="AI1069" s="1566"/>
      <c r="AJ1069" s="1566"/>
      <c r="AK1069" s="1566"/>
    </row>
    <row r="1070" spans="2:37" ht="9.4" customHeight="1">
      <c r="B1070" s="1568" t="s">
        <v>345</v>
      </c>
      <c r="C1070" s="1568"/>
      <c r="D1070" s="1568"/>
      <c r="E1070" s="1568" t="s">
        <v>3087</v>
      </c>
      <c r="F1070" s="1568"/>
      <c r="G1070" s="1568"/>
      <c r="H1070" s="1568"/>
      <c r="J1070" s="1568" t="s">
        <v>2322</v>
      </c>
      <c r="K1070" s="1568"/>
      <c r="L1070" s="1568"/>
      <c r="M1070" s="1566">
        <v>0</v>
      </c>
      <c r="N1070" s="1566"/>
      <c r="O1070" s="1566"/>
      <c r="P1070" s="1566">
        <v>386404.81</v>
      </c>
      <c r="Q1070" s="1566"/>
      <c r="R1070" s="1566"/>
      <c r="S1070" s="1566">
        <v>0</v>
      </c>
      <c r="T1070" s="1566"/>
      <c r="U1070" s="1566"/>
      <c r="V1070" s="1566"/>
      <c r="W1070" s="1566">
        <v>129632.74</v>
      </c>
      <c r="X1070" s="1566"/>
      <c r="Y1070" s="1566"/>
      <c r="Z1070" s="1566"/>
      <c r="AA1070" s="1566">
        <v>0</v>
      </c>
      <c r="AB1070" s="1566"/>
      <c r="AC1070" s="1566"/>
      <c r="AD1070" s="1566"/>
      <c r="AE1070" s="1566"/>
      <c r="AF1070" s="1566"/>
      <c r="AG1070" s="1566">
        <v>516037.55</v>
      </c>
      <c r="AH1070" s="1566"/>
      <c r="AI1070" s="1566"/>
      <c r="AJ1070" s="1566"/>
      <c r="AK1070" s="1566"/>
    </row>
    <row r="1071" spans="2:37" ht="9.4" customHeight="1">
      <c r="B1071" s="1568" t="s">
        <v>345</v>
      </c>
      <c r="C1071" s="1568"/>
      <c r="D1071" s="1568"/>
      <c r="E1071" s="1568" t="s">
        <v>5995</v>
      </c>
      <c r="F1071" s="1568"/>
      <c r="G1071" s="1568"/>
      <c r="H1071" s="1568"/>
      <c r="J1071" s="1568" t="s">
        <v>5992</v>
      </c>
      <c r="K1071" s="1568"/>
      <c r="L1071" s="1568"/>
      <c r="M1071" s="1566">
        <v>0</v>
      </c>
      <c r="N1071" s="1566"/>
      <c r="O1071" s="1566"/>
      <c r="P1071" s="1566">
        <v>400</v>
      </c>
      <c r="Q1071" s="1566"/>
      <c r="R1071" s="1566"/>
      <c r="S1071" s="1566">
        <v>0</v>
      </c>
      <c r="T1071" s="1566"/>
      <c r="U1071" s="1566"/>
      <c r="V1071" s="1566"/>
      <c r="W1071" s="1566">
        <v>0</v>
      </c>
      <c r="X1071" s="1566"/>
      <c r="Y1071" s="1566"/>
      <c r="Z1071" s="1566"/>
      <c r="AA1071" s="1566">
        <v>0</v>
      </c>
      <c r="AB1071" s="1566"/>
      <c r="AC1071" s="1566"/>
      <c r="AD1071" s="1566"/>
      <c r="AE1071" s="1566"/>
      <c r="AF1071" s="1566"/>
      <c r="AG1071" s="1566">
        <v>400</v>
      </c>
      <c r="AH1071" s="1566"/>
      <c r="AI1071" s="1566"/>
      <c r="AJ1071" s="1566"/>
      <c r="AK1071" s="1566"/>
    </row>
    <row r="1072" spans="2:37" ht="9.4" customHeight="1">
      <c r="B1072" s="1568" t="s">
        <v>345</v>
      </c>
      <c r="C1072" s="1568"/>
      <c r="D1072" s="1568"/>
      <c r="E1072" s="1568" t="s">
        <v>3088</v>
      </c>
      <c r="F1072" s="1568"/>
      <c r="G1072" s="1568"/>
      <c r="H1072" s="1568"/>
      <c r="J1072" s="1568" t="s">
        <v>2323</v>
      </c>
      <c r="K1072" s="1568"/>
      <c r="L1072" s="1568"/>
      <c r="M1072" s="1566">
        <v>0</v>
      </c>
      <c r="N1072" s="1566"/>
      <c r="O1072" s="1566"/>
      <c r="P1072" s="1566">
        <v>116909.38</v>
      </c>
      <c r="Q1072" s="1566"/>
      <c r="R1072" s="1566"/>
      <c r="S1072" s="1566">
        <v>0</v>
      </c>
      <c r="T1072" s="1566"/>
      <c r="U1072" s="1566"/>
      <c r="V1072" s="1566"/>
      <c r="W1072" s="1566">
        <v>37478.97</v>
      </c>
      <c r="X1072" s="1566"/>
      <c r="Y1072" s="1566"/>
      <c r="Z1072" s="1566"/>
      <c r="AA1072" s="1566">
        <v>0</v>
      </c>
      <c r="AB1072" s="1566"/>
      <c r="AC1072" s="1566"/>
      <c r="AD1072" s="1566"/>
      <c r="AE1072" s="1566"/>
      <c r="AF1072" s="1566"/>
      <c r="AG1072" s="1566">
        <v>154388.35</v>
      </c>
      <c r="AH1072" s="1566"/>
      <c r="AI1072" s="1566"/>
      <c r="AJ1072" s="1566"/>
      <c r="AK1072" s="1566"/>
    </row>
    <row r="1073" spans="1:38" ht="4.1500000000000004" customHeight="1"/>
    <row r="1074" spans="1:38" ht="14.1" customHeight="1">
      <c r="AG1074" s="1565" t="s">
        <v>2510</v>
      </c>
      <c r="AH1074" s="1565"/>
      <c r="AI1074" s="1565"/>
      <c r="AJ1074" s="1565"/>
      <c r="AK1074" s="1565"/>
      <c r="AL1074" s="1565"/>
    </row>
    <row r="1075" spans="1:38" ht="7.15" customHeight="1">
      <c r="D1075" s="1578" t="s">
        <v>2992</v>
      </c>
      <c r="E1075" s="1578"/>
      <c r="F1075" s="1578"/>
      <c r="G1075" s="1578"/>
      <c r="H1075" s="1578"/>
      <c r="I1075" s="1578"/>
      <c r="J1075" s="1578"/>
      <c r="K1075" s="1578"/>
      <c r="L1075" s="1578"/>
      <c r="M1075" s="1578"/>
      <c r="N1075" s="1578"/>
      <c r="O1075" s="1578"/>
      <c r="P1075" s="1578"/>
      <c r="Q1075" s="1578"/>
      <c r="R1075" s="1578"/>
      <c r="S1075" s="1578"/>
      <c r="T1075" s="1578"/>
      <c r="U1075" s="1578"/>
      <c r="V1075" s="1578"/>
      <c r="W1075" s="1578"/>
      <c r="X1075" s="1578"/>
      <c r="Y1075" s="1578"/>
      <c r="Z1075" s="1578"/>
      <c r="AA1075" s="1578"/>
      <c r="AB1075" s="1578"/>
      <c r="AC1075" s="1578"/>
      <c r="AD1075" s="1578"/>
      <c r="AE1075" s="1578"/>
      <c r="AF1075" s="1578"/>
      <c r="AG1075" s="1578"/>
      <c r="AH1075" s="1578"/>
    </row>
    <row r="1076" spans="1:38" ht="9.6" customHeight="1">
      <c r="A1076" s="1579"/>
      <c r="B1076" s="1579"/>
      <c r="C1076" s="1579"/>
      <c r="D1076" s="1579"/>
      <c r="E1076" s="1579"/>
      <c r="F1076" s="1579"/>
      <c r="G1076" s="1579"/>
      <c r="H1076" s="1579"/>
      <c r="I1076" s="1579"/>
      <c r="J1076" s="1578"/>
      <c r="K1076" s="1578"/>
      <c r="L1076" s="1578"/>
      <c r="M1076" s="1578"/>
      <c r="N1076" s="1578"/>
      <c r="O1076" s="1578"/>
      <c r="P1076" s="1578"/>
      <c r="Q1076" s="1578"/>
      <c r="R1076" s="1578"/>
      <c r="S1076" s="1578"/>
      <c r="T1076" s="1578"/>
      <c r="U1076" s="1578"/>
      <c r="V1076" s="1578"/>
      <c r="W1076" s="1578"/>
      <c r="X1076" s="1578"/>
      <c r="Y1076" s="1578"/>
      <c r="Z1076" s="1578"/>
      <c r="AA1076" s="1578"/>
      <c r="AB1076" s="1578"/>
      <c r="AC1076" s="1578"/>
      <c r="AD1076" s="1578"/>
      <c r="AE1076" s="1578"/>
      <c r="AF1076" s="1578"/>
      <c r="AG1076" s="1578"/>
      <c r="AH1076" s="1578"/>
    </row>
    <row r="1077" spans="1:38" ht="13.35" customHeight="1">
      <c r="A1077" s="1579"/>
      <c r="B1077" s="1579"/>
      <c r="C1077" s="1579"/>
      <c r="D1077" s="1579"/>
      <c r="E1077" s="1579"/>
      <c r="F1077" s="1579"/>
      <c r="G1077" s="1579"/>
      <c r="H1077" s="1579"/>
      <c r="I1077" s="1579"/>
      <c r="J1077" s="1580" t="s">
        <v>79</v>
      </c>
      <c r="K1077" s="1580"/>
      <c r="L1077" s="1580"/>
      <c r="M1077" s="1580"/>
      <c r="N1077" s="1580"/>
      <c r="O1077" s="1580"/>
      <c r="P1077" s="1580"/>
      <c r="Q1077" s="1580"/>
      <c r="R1077" s="1580"/>
      <c r="S1077" s="1580"/>
      <c r="T1077" s="1580"/>
      <c r="U1077" s="1580"/>
      <c r="V1077" s="1580"/>
      <c r="W1077" s="1580"/>
      <c r="X1077" s="1580"/>
      <c r="Y1077" s="1580"/>
      <c r="Z1077" s="1580"/>
      <c r="AA1077" s="1580"/>
      <c r="AB1077" s="1580"/>
      <c r="AC1077" s="1580"/>
      <c r="AD1077" s="1580"/>
      <c r="AE1077" s="1580"/>
      <c r="AF1077" s="1580"/>
    </row>
    <row r="1078" spans="1:38" ht="5.25" customHeight="1">
      <c r="A1078" s="1579"/>
      <c r="B1078" s="1579"/>
      <c r="C1078" s="1579"/>
      <c r="D1078" s="1579"/>
      <c r="E1078" s="1579"/>
      <c r="F1078" s="1579"/>
      <c r="G1078" s="1579"/>
      <c r="H1078" s="1579"/>
      <c r="I1078" s="1579"/>
      <c r="J1078" s="1573" t="s">
        <v>6760</v>
      </c>
      <c r="K1078" s="1573"/>
      <c r="L1078" s="1573"/>
      <c r="M1078" s="1573"/>
      <c r="N1078" s="1573"/>
      <c r="O1078" s="1573"/>
      <c r="P1078" s="1573"/>
      <c r="Q1078" s="1573"/>
      <c r="R1078" s="1573"/>
      <c r="S1078" s="1573"/>
      <c r="T1078" s="1573"/>
      <c r="U1078" s="1573"/>
      <c r="V1078" s="1573"/>
      <c r="W1078" s="1573"/>
      <c r="X1078" s="1573"/>
      <c r="Y1078" s="1573"/>
      <c r="Z1078" s="1573"/>
      <c r="AA1078" s="1573"/>
      <c r="AB1078" s="1573"/>
      <c r="AC1078" s="1573"/>
      <c r="AD1078" s="1573"/>
      <c r="AE1078" s="1573"/>
    </row>
    <row r="1079" spans="1:38" ht="8.1" customHeight="1">
      <c r="C1079" s="1572" t="s">
        <v>1920</v>
      </c>
      <c r="D1079" s="1572"/>
      <c r="E1079" s="1572"/>
      <c r="F1079" s="1572"/>
      <c r="G1079" s="1572"/>
      <c r="H1079" s="1572"/>
      <c r="I1079" s="1572"/>
      <c r="J1079" s="1572"/>
      <c r="K1079" s="1573"/>
      <c r="L1079" s="1573"/>
      <c r="M1079" s="1573"/>
      <c r="N1079" s="1573"/>
      <c r="O1079" s="1573"/>
      <c r="P1079" s="1573"/>
      <c r="Q1079" s="1573"/>
      <c r="R1079" s="1573"/>
      <c r="S1079" s="1573"/>
      <c r="T1079" s="1573"/>
      <c r="U1079" s="1573"/>
      <c r="V1079" s="1573"/>
      <c r="W1079" s="1573"/>
      <c r="X1079" s="1573"/>
      <c r="Y1079" s="1574" t="s">
        <v>5920</v>
      </c>
      <c r="Z1079" s="1574"/>
      <c r="AA1079" s="1574"/>
      <c r="AB1079" s="1574"/>
      <c r="AC1079" s="1574"/>
      <c r="AD1079" s="1574"/>
      <c r="AE1079" s="1574"/>
      <c r="AF1079" s="1574"/>
      <c r="AG1079" s="1574"/>
      <c r="AH1079" s="1575" t="s">
        <v>6761</v>
      </c>
      <c r="AI1079" s="1575"/>
      <c r="AJ1079" s="1575"/>
      <c r="AK1079" s="1575"/>
      <c r="AL1079" s="1575"/>
    </row>
    <row r="1080" spans="1:38" ht="6" customHeight="1">
      <c r="C1080" s="1572"/>
      <c r="D1080" s="1572"/>
      <c r="E1080" s="1572"/>
      <c r="F1080" s="1572"/>
      <c r="G1080" s="1572"/>
      <c r="H1080" s="1572"/>
      <c r="I1080" s="1572"/>
      <c r="J1080" s="1572"/>
      <c r="K1080" s="1576" t="s">
        <v>1999</v>
      </c>
      <c r="L1080" s="1576"/>
      <c r="M1080" s="1576"/>
      <c r="N1080" s="1576"/>
      <c r="O1080" s="1576"/>
      <c r="P1080" s="1576"/>
      <c r="Q1080" s="1576"/>
      <c r="R1080" s="1576"/>
      <c r="S1080" s="1576"/>
      <c r="T1080" s="1576"/>
      <c r="U1080" s="1576"/>
      <c r="V1080" s="1576"/>
      <c r="W1080" s="1576"/>
      <c r="X1080" s="1576"/>
      <c r="Y1080" s="1574"/>
      <c r="Z1080" s="1574"/>
      <c r="AA1080" s="1574"/>
      <c r="AB1080" s="1574"/>
      <c r="AC1080" s="1574"/>
      <c r="AD1080" s="1574"/>
      <c r="AE1080" s="1574"/>
      <c r="AF1080" s="1574"/>
      <c r="AG1080" s="1574"/>
      <c r="AH1080" s="1575"/>
      <c r="AI1080" s="1575"/>
      <c r="AJ1080" s="1575"/>
      <c r="AK1080" s="1575"/>
      <c r="AL1080" s="1575"/>
    </row>
    <row r="1081" spans="1:38" ht="7.35" customHeight="1">
      <c r="C1081" s="1572" t="s">
        <v>1998</v>
      </c>
      <c r="D1081" s="1572"/>
      <c r="E1081" s="1572"/>
      <c r="F1081" s="1572"/>
      <c r="G1081" s="1577"/>
      <c r="H1081" s="1577"/>
      <c r="I1081" s="1577"/>
      <c r="J1081" s="1577"/>
      <c r="K1081" s="1577"/>
      <c r="L1081" s="1577"/>
      <c r="M1081" s="1577"/>
      <c r="N1081" s="1577"/>
      <c r="O1081" s="1577"/>
      <c r="P1081" s="1577"/>
      <c r="Q1081" s="1577"/>
      <c r="R1081" s="1577"/>
      <c r="S1081" s="1577"/>
      <c r="T1081" s="1577"/>
      <c r="U1081" s="1577"/>
      <c r="V1081" s="1577"/>
      <c r="W1081" s="1577"/>
      <c r="X1081" s="1577"/>
      <c r="Y1081" s="1577"/>
      <c r="Z1081" s="1577"/>
      <c r="AA1081" s="1577"/>
      <c r="AB1081" s="1577"/>
      <c r="AC1081" s="1577"/>
      <c r="AD1081" s="1577"/>
      <c r="AE1081" s="1577"/>
      <c r="AF1081" s="1574"/>
      <c r="AG1081" s="1574"/>
      <c r="AH1081" s="1574" t="s">
        <v>6762</v>
      </c>
      <c r="AI1081" s="1574"/>
    </row>
    <row r="1082" spans="1:38" ht="6.75" customHeight="1">
      <c r="G1082" s="1577"/>
      <c r="H1082" s="1577"/>
      <c r="I1082" s="1577"/>
      <c r="J1082" s="1577"/>
      <c r="K1082" s="1577"/>
      <c r="L1082" s="1577"/>
      <c r="M1082" s="1577"/>
      <c r="N1082" s="1577"/>
      <c r="O1082" s="1577"/>
      <c r="P1082" s="1577"/>
      <c r="Q1082" s="1577"/>
      <c r="R1082" s="1577"/>
      <c r="S1082" s="1577"/>
      <c r="T1082" s="1577"/>
      <c r="U1082" s="1577"/>
      <c r="V1082" s="1577"/>
      <c r="W1082" s="1577"/>
      <c r="X1082" s="1577"/>
      <c r="Y1082" s="1577"/>
      <c r="Z1082" s="1577"/>
      <c r="AA1082" s="1577"/>
      <c r="AB1082" s="1577"/>
      <c r="AC1082" s="1577"/>
      <c r="AD1082" s="1577"/>
      <c r="AE1082" s="1577"/>
      <c r="AF1082" s="1574"/>
      <c r="AG1082" s="1574"/>
      <c r="AH1082" s="1574"/>
      <c r="AI1082" s="1574"/>
    </row>
    <row r="1083" spans="1:38" ht="11.25" customHeight="1">
      <c r="O1083" s="1570" t="s">
        <v>1318</v>
      </c>
      <c r="P1083" s="1570"/>
      <c r="Q1083" s="1570"/>
      <c r="V1083" s="1570" t="s">
        <v>1319</v>
      </c>
      <c r="W1083" s="1570"/>
      <c r="X1083" s="1570"/>
      <c r="Y1083" s="1570"/>
      <c r="AD1083" s="1570" t="s">
        <v>1320</v>
      </c>
      <c r="AE1083" s="1570"/>
      <c r="AF1083" s="1570"/>
      <c r="AG1083" s="1570"/>
      <c r="AH1083" s="1570"/>
      <c r="AI1083" s="1570"/>
      <c r="AJ1083" s="1570"/>
    </row>
    <row r="1084" spans="1:38" ht="8.4499999999999993" customHeight="1">
      <c r="B1084" s="1571" t="s">
        <v>1321</v>
      </c>
      <c r="C1084" s="1571"/>
      <c r="D1084" s="1571"/>
      <c r="E1084" s="1571" t="s">
        <v>1322</v>
      </c>
      <c r="F1084" s="1571"/>
      <c r="G1084" s="1571"/>
      <c r="J1084" s="1571" t="s">
        <v>1323</v>
      </c>
      <c r="K1084" s="1571"/>
      <c r="L1084" s="1571"/>
      <c r="M1084" s="1571"/>
      <c r="N1084" s="1571"/>
      <c r="O1084" s="1402" t="s">
        <v>1324</v>
      </c>
      <c r="Q1084" s="1569" t="s">
        <v>1325</v>
      </c>
      <c r="R1084" s="1569"/>
      <c r="U1084" s="1569" t="s">
        <v>1324</v>
      </c>
      <c r="V1084" s="1569"/>
      <c r="X1084" s="1569" t="s">
        <v>1325</v>
      </c>
      <c r="Y1084" s="1569"/>
      <c r="Z1084" s="1569"/>
      <c r="AC1084" s="1569" t="s">
        <v>1324</v>
      </c>
      <c r="AD1084" s="1569"/>
      <c r="AE1084" s="1569"/>
      <c r="AF1084" s="1569"/>
      <c r="AH1084" s="1569" t="s">
        <v>1325</v>
      </c>
      <c r="AI1084" s="1569"/>
      <c r="AJ1084" s="1569"/>
      <c r="AK1084" s="1569"/>
    </row>
    <row r="1085" spans="1:38" ht="9.9499999999999993" customHeight="1">
      <c r="B1085" s="1568" t="s">
        <v>345</v>
      </c>
      <c r="C1085" s="1568"/>
      <c r="D1085" s="1568"/>
      <c r="E1085" s="1568" t="s">
        <v>3089</v>
      </c>
      <c r="F1085" s="1568"/>
      <c r="G1085" s="1568"/>
      <c r="H1085" s="1568"/>
      <c r="J1085" s="1568" t="s">
        <v>2324</v>
      </c>
      <c r="K1085" s="1568"/>
      <c r="L1085" s="1568"/>
      <c r="M1085" s="1566">
        <v>0</v>
      </c>
      <c r="N1085" s="1566"/>
      <c r="O1085" s="1566"/>
      <c r="P1085" s="1566">
        <v>1700716.32</v>
      </c>
      <c r="Q1085" s="1566"/>
      <c r="R1085" s="1566"/>
      <c r="S1085" s="1566">
        <v>0</v>
      </c>
      <c r="T1085" s="1566"/>
      <c r="U1085" s="1566"/>
      <c r="V1085" s="1566"/>
      <c r="W1085" s="1566">
        <v>569708.18999999994</v>
      </c>
      <c r="X1085" s="1566"/>
      <c r="Y1085" s="1566"/>
      <c r="Z1085" s="1566"/>
      <c r="AA1085" s="1566">
        <v>0</v>
      </c>
      <c r="AB1085" s="1566"/>
      <c r="AC1085" s="1566"/>
      <c r="AD1085" s="1566"/>
      <c r="AE1085" s="1566"/>
      <c r="AF1085" s="1566"/>
      <c r="AG1085" s="1566">
        <v>2270424.5099999998</v>
      </c>
      <c r="AH1085" s="1566"/>
      <c r="AI1085" s="1566"/>
      <c r="AJ1085" s="1566"/>
      <c r="AK1085" s="1566"/>
    </row>
    <row r="1086" spans="1:38" ht="9.4" customHeight="1">
      <c r="B1086" s="1568" t="s">
        <v>345</v>
      </c>
      <c r="C1086" s="1568"/>
      <c r="D1086" s="1568"/>
      <c r="E1086" s="1568" t="s">
        <v>3090</v>
      </c>
      <c r="F1086" s="1568"/>
      <c r="G1086" s="1568"/>
      <c r="H1086" s="1568"/>
      <c r="J1086" s="1568" t="s">
        <v>2325</v>
      </c>
      <c r="K1086" s="1568"/>
      <c r="L1086" s="1568"/>
      <c r="M1086" s="1566">
        <v>0</v>
      </c>
      <c r="N1086" s="1566"/>
      <c r="O1086" s="1566"/>
      <c r="P1086" s="1566">
        <v>190465.93</v>
      </c>
      <c r="Q1086" s="1566"/>
      <c r="R1086" s="1566"/>
      <c r="S1086" s="1566">
        <v>0</v>
      </c>
      <c r="T1086" s="1566"/>
      <c r="U1086" s="1566"/>
      <c r="V1086" s="1566"/>
      <c r="W1086" s="1566">
        <v>68248.429999999993</v>
      </c>
      <c r="X1086" s="1566"/>
      <c r="Y1086" s="1566"/>
      <c r="Z1086" s="1566"/>
      <c r="AA1086" s="1566">
        <v>0</v>
      </c>
      <c r="AB1086" s="1566"/>
      <c r="AC1086" s="1566"/>
      <c r="AD1086" s="1566"/>
      <c r="AE1086" s="1566"/>
      <c r="AF1086" s="1566"/>
      <c r="AG1086" s="1566">
        <v>258714.36</v>
      </c>
      <c r="AH1086" s="1566"/>
      <c r="AI1086" s="1566"/>
      <c r="AJ1086" s="1566"/>
      <c r="AK1086" s="1566"/>
    </row>
    <row r="1087" spans="1:38" ht="9.4" customHeight="1">
      <c r="B1087" s="1568" t="s">
        <v>345</v>
      </c>
      <c r="C1087" s="1568"/>
      <c r="D1087" s="1568"/>
      <c r="E1087" s="1568" t="s">
        <v>6517</v>
      </c>
      <c r="F1087" s="1568"/>
      <c r="G1087" s="1568"/>
      <c r="H1087" s="1568"/>
      <c r="J1087" s="1568" t="s">
        <v>6510</v>
      </c>
      <c r="K1087" s="1568"/>
      <c r="L1087" s="1568"/>
      <c r="M1087" s="1566">
        <v>0</v>
      </c>
      <c r="N1087" s="1566"/>
      <c r="O1087" s="1566"/>
      <c r="P1087" s="1566">
        <v>19185.900000000001</v>
      </c>
      <c r="Q1087" s="1566"/>
      <c r="R1087" s="1566"/>
      <c r="S1087" s="1566">
        <v>0</v>
      </c>
      <c r="T1087" s="1566"/>
      <c r="U1087" s="1566"/>
      <c r="V1087" s="1566"/>
      <c r="W1087" s="1566">
        <v>0</v>
      </c>
      <c r="X1087" s="1566"/>
      <c r="Y1087" s="1566"/>
      <c r="Z1087" s="1566"/>
      <c r="AA1087" s="1566">
        <v>0</v>
      </c>
      <c r="AB1087" s="1566"/>
      <c r="AC1087" s="1566"/>
      <c r="AD1087" s="1566"/>
      <c r="AE1087" s="1566"/>
      <c r="AF1087" s="1566"/>
      <c r="AG1087" s="1566">
        <v>19185.900000000001</v>
      </c>
      <c r="AH1087" s="1566"/>
      <c r="AI1087" s="1566"/>
      <c r="AJ1087" s="1566"/>
      <c r="AK1087" s="1566"/>
    </row>
    <row r="1088" spans="1:38" ht="9.4" customHeight="1">
      <c r="B1088" s="1568" t="s">
        <v>345</v>
      </c>
      <c r="C1088" s="1568"/>
      <c r="D1088" s="1568"/>
      <c r="E1088" s="1568" t="s">
        <v>3091</v>
      </c>
      <c r="F1088" s="1568"/>
      <c r="G1088" s="1568"/>
      <c r="H1088" s="1568"/>
      <c r="J1088" s="1568" t="s">
        <v>2326</v>
      </c>
      <c r="K1088" s="1568"/>
      <c r="L1088" s="1568"/>
      <c r="M1088" s="1566">
        <v>0</v>
      </c>
      <c r="N1088" s="1566"/>
      <c r="O1088" s="1566"/>
      <c r="P1088" s="1566">
        <v>78341.119999999995</v>
      </c>
      <c r="Q1088" s="1566"/>
      <c r="R1088" s="1566"/>
      <c r="S1088" s="1566">
        <v>0</v>
      </c>
      <c r="T1088" s="1566"/>
      <c r="U1088" s="1566"/>
      <c r="V1088" s="1566"/>
      <c r="W1088" s="1566">
        <v>32953.18</v>
      </c>
      <c r="X1088" s="1566"/>
      <c r="Y1088" s="1566"/>
      <c r="Z1088" s="1566"/>
      <c r="AA1088" s="1566">
        <v>0</v>
      </c>
      <c r="AB1088" s="1566"/>
      <c r="AC1088" s="1566"/>
      <c r="AD1088" s="1566"/>
      <c r="AE1088" s="1566"/>
      <c r="AF1088" s="1566"/>
      <c r="AG1088" s="1566">
        <v>111294.3</v>
      </c>
      <c r="AH1088" s="1566"/>
      <c r="AI1088" s="1566"/>
      <c r="AJ1088" s="1566"/>
      <c r="AK1088" s="1566"/>
    </row>
    <row r="1089" spans="2:37" ht="9.4" customHeight="1">
      <c r="B1089" s="1568" t="s">
        <v>345</v>
      </c>
      <c r="C1089" s="1568"/>
      <c r="D1089" s="1568"/>
      <c r="E1089" s="1568" t="s">
        <v>3092</v>
      </c>
      <c r="F1089" s="1568"/>
      <c r="G1089" s="1568"/>
      <c r="H1089" s="1568"/>
      <c r="J1089" s="1568" t="s">
        <v>2327</v>
      </c>
      <c r="K1089" s="1568"/>
      <c r="L1089" s="1568"/>
      <c r="M1089" s="1566">
        <v>0</v>
      </c>
      <c r="N1089" s="1566"/>
      <c r="O1089" s="1566"/>
      <c r="P1089" s="1566">
        <v>63890.58</v>
      </c>
      <c r="Q1089" s="1566"/>
      <c r="R1089" s="1566"/>
      <c r="S1089" s="1566">
        <v>0</v>
      </c>
      <c r="T1089" s="1566"/>
      <c r="U1089" s="1566"/>
      <c r="V1089" s="1566"/>
      <c r="W1089" s="1566">
        <v>27685.22</v>
      </c>
      <c r="X1089" s="1566"/>
      <c r="Y1089" s="1566"/>
      <c r="Z1089" s="1566"/>
      <c r="AA1089" s="1566">
        <v>0</v>
      </c>
      <c r="AB1089" s="1566"/>
      <c r="AC1089" s="1566"/>
      <c r="AD1089" s="1566"/>
      <c r="AE1089" s="1566"/>
      <c r="AF1089" s="1566"/>
      <c r="AG1089" s="1566">
        <v>91575.8</v>
      </c>
      <c r="AH1089" s="1566"/>
      <c r="AI1089" s="1566"/>
      <c r="AJ1089" s="1566"/>
      <c r="AK1089" s="1566"/>
    </row>
    <row r="1090" spans="2:37" ht="9.4" customHeight="1">
      <c r="B1090" s="1568" t="s">
        <v>345</v>
      </c>
      <c r="C1090" s="1568"/>
      <c r="D1090" s="1568"/>
      <c r="E1090" s="1568" t="s">
        <v>3377</v>
      </c>
      <c r="F1090" s="1568"/>
      <c r="G1090" s="1568"/>
      <c r="H1090" s="1568"/>
      <c r="J1090" s="1568" t="s">
        <v>2388</v>
      </c>
      <c r="K1090" s="1568"/>
      <c r="L1090" s="1568"/>
      <c r="M1090" s="1566">
        <v>0</v>
      </c>
      <c r="N1090" s="1566"/>
      <c r="O1090" s="1566"/>
      <c r="P1090" s="1566">
        <v>145489.26</v>
      </c>
      <c r="Q1090" s="1566"/>
      <c r="R1090" s="1566"/>
      <c r="S1090" s="1566">
        <v>0</v>
      </c>
      <c r="T1090" s="1566"/>
      <c r="U1090" s="1566"/>
      <c r="V1090" s="1566"/>
      <c r="W1090" s="1566">
        <v>93881.1</v>
      </c>
      <c r="X1090" s="1566"/>
      <c r="Y1090" s="1566"/>
      <c r="Z1090" s="1566"/>
      <c r="AA1090" s="1566">
        <v>0</v>
      </c>
      <c r="AB1090" s="1566"/>
      <c r="AC1090" s="1566"/>
      <c r="AD1090" s="1566"/>
      <c r="AE1090" s="1566"/>
      <c r="AF1090" s="1566"/>
      <c r="AG1090" s="1566">
        <v>239370.36</v>
      </c>
      <c r="AH1090" s="1566"/>
      <c r="AI1090" s="1566"/>
      <c r="AJ1090" s="1566"/>
      <c r="AK1090" s="1566"/>
    </row>
    <row r="1091" spans="2:37" ht="9.4" customHeight="1">
      <c r="B1091" s="1568" t="s">
        <v>345</v>
      </c>
      <c r="C1091" s="1568"/>
      <c r="D1091" s="1568"/>
      <c r="E1091" s="1568" t="s">
        <v>3093</v>
      </c>
      <c r="F1091" s="1568"/>
      <c r="G1091" s="1568"/>
      <c r="H1091" s="1568"/>
      <c r="J1091" s="1568" t="s">
        <v>2328</v>
      </c>
      <c r="K1091" s="1568"/>
      <c r="L1091" s="1568"/>
      <c r="M1091" s="1566">
        <v>0</v>
      </c>
      <c r="N1091" s="1566"/>
      <c r="O1091" s="1566"/>
      <c r="P1091" s="1566">
        <v>271441.61</v>
      </c>
      <c r="Q1091" s="1566"/>
      <c r="R1091" s="1566"/>
      <c r="S1091" s="1566">
        <v>0</v>
      </c>
      <c r="T1091" s="1566"/>
      <c r="U1091" s="1566"/>
      <c r="V1091" s="1566"/>
      <c r="W1091" s="1566">
        <v>172638.16</v>
      </c>
      <c r="X1091" s="1566"/>
      <c r="Y1091" s="1566"/>
      <c r="Z1091" s="1566"/>
      <c r="AA1091" s="1566">
        <v>0</v>
      </c>
      <c r="AB1091" s="1566"/>
      <c r="AC1091" s="1566"/>
      <c r="AD1091" s="1566"/>
      <c r="AE1091" s="1566"/>
      <c r="AF1091" s="1566"/>
      <c r="AG1091" s="1566">
        <v>444079.77</v>
      </c>
      <c r="AH1091" s="1566"/>
      <c r="AI1091" s="1566"/>
      <c r="AJ1091" s="1566"/>
      <c r="AK1091" s="1566"/>
    </row>
    <row r="1092" spans="2:37" ht="9.4" customHeight="1">
      <c r="B1092" s="1568" t="s">
        <v>345</v>
      </c>
      <c r="C1092" s="1568"/>
      <c r="D1092" s="1568"/>
      <c r="E1092" s="1568" t="s">
        <v>3094</v>
      </c>
      <c r="F1092" s="1568"/>
      <c r="G1092" s="1568"/>
      <c r="H1092" s="1568"/>
      <c r="J1092" s="1568" t="s">
        <v>3007</v>
      </c>
      <c r="K1092" s="1568"/>
      <c r="L1092" s="1568"/>
      <c r="M1092" s="1566">
        <v>0</v>
      </c>
      <c r="N1092" s="1566"/>
      <c r="O1092" s="1566"/>
      <c r="P1092" s="1566">
        <v>281212.01</v>
      </c>
      <c r="Q1092" s="1566"/>
      <c r="R1092" s="1566"/>
      <c r="S1092" s="1566">
        <v>0</v>
      </c>
      <c r="T1092" s="1566"/>
      <c r="U1092" s="1566"/>
      <c r="V1092" s="1566"/>
      <c r="W1092" s="1566">
        <v>91150.8</v>
      </c>
      <c r="X1092" s="1566"/>
      <c r="Y1092" s="1566"/>
      <c r="Z1092" s="1566"/>
      <c r="AA1092" s="1566">
        <v>0</v>
      </c>
      <c r="AB1092" s="1566"/>
      <c r="AC1092" s="1566"/>
      <c r="AD1092" s="1566"/>
      <c r="AE1092" s="1566"/>
      <c r="AF1092" s="1566"/>
      <c r="AG1092" s="1566">
        <v>372362.81</v>
      </c>
      <c r="AH1092" s="1566"/>
      <c r="AI1092" s="1566"/>
      <c r="AJ1092" s="1566"/>
      <c r="AK1092" s="1566"/>
    </row>
    <row r="1093" spans="2:37" ht="9.1999999999999993" customHeight="1">
      <c r="J1093" s="1568"/>
      <c r="K1093" s="1568"/>
      <c r="L1093" s="1568"/>
    </row>
    <row r="1094" spans="2:37" ht="8.4499999999999993" customHeight="1">
      <c r="B1094" s="1568" t="s">
        <v>345</v>
      </c>
      <c r="C1094" s="1568"/>
      <c r="D1094" s="1568"/>
      <c r="E1094" s="1568" t="s">
        <v>3095</v>
      </c>
      <c r="F1094" s="1568"/>
      <c r="G1094" s="1568"/>
      <c r="H1094" s="1568"/>
      <c r="J1094" s="1568" t="s">
        <v>0</v>
      </c>
      <c r="K1094" s="1568"/>
      <c r="L1094" s="1568"/>
      <c r="M1094" s="1566">
        <v>0</v>
      </c>
      <c r="N1094" s="1566"/>
      <c r="O1094" s="1566"/>
      <c r="P1094" s="1566">
        <v>243426.11</v>
      </c>
      <c r="Q1094" s="1566"/>
      <c r="R1094" s="1566"/>
      <c r="S1094" s="1566">
        <v>0</v>
      </c>
      <c r="T1094" s="1566"/>
      <c r="U1094" s="1566"/>
      <c r="V1094" s="1566"/>
      <c r="W1094" s="1566">
        <v>71964.899999999994</v>
      </c>
      <c r="X1094" s="1566"/>
      <c r="Y1094" s="1566"/>
      <c r="Z1094" s="1566"/>
      <c r="AA1094" s="1566">
        <v>0</v>
      </c>
      <c r="AB1094" s="1566"/>
      <c r="AC1094" s="1566"/>
      <c r="AD1094" s="1566"/>
      <c r="AE1094" s="1566"/>
      <c r="AF1094" s="1566"/>
      <c r="AG1094" s="1566">
        <v>315391.01</v>
      </c>
      <c r="AH1094" s="1566"/>
      <c r="AI1094" s="1566"/>
      <c r="AJ1094" s="1566"/>
      <c r="AK1094" s="1566"/>
    </row>
    <row r="1095" spans="2:37" ht="9.4" customHeight="1">
      <c r="B1095" s="1568" t="s">
        <v>345</v>
      </c>
      <c r="C1095" s="1568"/>
      <c r="D1095" s="1568"/>
      <c r="E1095" s="1568" t="s">
        <v>3181</v>
      </c>
      <c r="F1095" s="1568"/>
      <c r="G1095" s="1568"/>
      <c r="H1095" s="1568"/>
      <c r="J1095" s="1568" t="s">
        <v>3178</v>
      </c>
      <c r="K1095" s="1568"/>
      <c r="L1095" s="1568"/>
      <c r="M1095" s="1566">
        <v>0</v>
      </c>
      <c r="N1095" s="1566"/>
      <c r="O1095" s="1566"/>
      <c r="P1095" s="1566">
        <v>37785.9</v>
      </c>
      <c r="Q1095" s="1566"/>
      <c r="R1095" s="1566"/>
      <c r="S1095" s="1566">
        <v>0</v>
      </c>
      <c r="T1095" s="1566"/>
      <c r="U1095" s="1566"/>
      <c r="V1095" s="1566"/>
      <c r="W1095" s="1566">
        <v>19185.900000000001</v>
      </c>
      <c r="X1095" s="1566"/>
      <c r="Y1095" s="1566"/>
      <c r="Z1095" s="1566"/>
      <c r="AA1095" s="1566">
        <v>0</v>
      </c>
      <c r="AB1095" s="1566"/>
      <c r="AC1095" s="1566"/>
      <c r="AD1095" s="1566"/>
      <c r="AE1095" s="1566"/>
      <c r="AF1095" s="1566"/>
      <c r="AG1095" s="1566">
        <v>56971.8</v>
      </c>
      <c r="AH1095" s="1566"/>
      <c r="AI1095" s="1566"/>
      <c r="AJ1095" s="1566"/>
      <c r="AK1095" s="1566"/>
    </row>
    <row r="1096" spans="2:37" ht="9.4" customHeight="1">
      <c r="B1096" s="1568" t="s">
        <v>345</v>
      </c>
      <c r="C1096" s="1568"/>
      <c r="D1096" s="1568"/>
      <c r="E1096" s="1568" t="s">
        <v>3096</v>
      </c>
      <c r="F1096" s="1568"/>
      <c r="G1096" s="1568"/>
      <c r="H1096" s="1568"/>
      <c r="J1096" s="1568" t="s">
        <v>2998</v>
      </c>
      <c r="K1096" s="1568"/>
      <c r="L1096" s="1568"/>
      <c r="M1096" s="1566">
        <v>0</v>
      </c>
      <c r="N1096" s="1566"/>
      <c r="O1096" s="1566"/>
      <c r="P1096" s="1566">
        <v>1686632.72</v>
      </c>
      <c r="Q1096" s="1566"/>
      <c r="R1096" s="1566"/>
      <c r="S1096" s="1566">
        <v>0</v>
      </c>
      <c r="T1096" s="1566"/>
      <c r="U1096" s="1566"/>
      <c r="V1096" s="1566"/>
      <c r="W1096" s="1566">
        <v>962673.59</v>
      </c>
      <c r="X1096" s="1566"/>
      <c r="Y1096" s="1566"/>
      <c r="Z1096" s="1566"/>
      <c r="AA1096" s="1566">
        <v>0</v>
      </c>
      <c r="AB1096" s="1566"/>
      <c r="AC1096" s="1566"/>
      <c r="AD1096" s="1566"/>
      <c r="AE1096" s="1566"/>
      <c r="AF1096" s="1566"/>
      <c r="AG1096" s="1566">
        <v>2649306.31</v>
      </c>
      <c r="AH1096" s="1566"/>
      <c r="AI1096" s="1566"/>
      <c r="AJ1096" s="1566"/>
      <c r="AK1096" s="1566"/>
    </row>
    <row r="1097" spans="2:37" ht="9.1999999999999993" customHeight="1">
      <c r="J1097" s="1568"/>
      <c r="K1097" s="1568"/>
      <c r="L1097" s="1568"/>
    </row>
    <row r="1098" spans="2:37" ht="8.4499999999999993" customHeight="1">
      <c r="B1098" s="1568" t="s">
        <v>345</v>
      </c>
      <c r="C1098" s="1568"/>
      <c r="D1098" s="1568"/>
      <c r="E1098" s="1568" t="s">
        <v>3097</v>
      </c>
      <c r="F1098" s="1568"/>
      <c r="G1098" s="1568"/>
      <c r="H1098" s="1568"/>
      <c r="J1098" s="1568" t="s">
        <v>2333</v>
      </c>
      <c r="K1098" s="1568"/>
      <c r="L1098" s="1568"/>
      <c r="M1098" s="1566">
        <v>0</v>
      </c>
      <c r="N1098" s="1566"/>
      <c r="O1098" s="1566"/>
      <c r="P1098" s="1566">
        <v>1628124.34</v>
      </c>
      <c r="Q1098" s="1566"/>
      <c r="R1098" s="1566"/>
      <c r="S1098" s="1566">
        <v>0</v>
      </c>
      <c r="T1098" s="1566"/>
      <c r="U1098" s="1566"/>
      <c r="V1098" s="1566"/>
      <c r="W1098" s="1566">
        <v>955136.83</v>
      </c>
      <c r="X1098" s="1566"/>
      <c r="Y1098" s="1566"/>
      <c r="Z1098" s="1566"/>
      <c r="AA1098" s="1566">
        <v>0</v>
      </c>
      <c r="AB1098" s="1566"/>
      <c r="AC1098" s="1566"/>
      <c r="AD1098" s="1566"/>
      <c r="AE1098" s="1566"/>
      <c r="AF1098" s="1566"/>
      <c r="AG1098" s="1566">
        <v>2583261.17</v>
      </c>
      <c r="AH1098" s="1566"/>
      <c r="AI1098" s="1566"/>
      <c r="AJ1098" s="1566"/>
      <c r="AK1098" s="1566"/>
    </row>
    <row r="1099" spans="2:37" ht="9.4" customHeight="1">
      <c r="B1099" s="1568" t="s">
        <v>345</v>
      </c>
      <c r="C1099" s="1568"/>
      <c r="D1099" s="1568"/>
      <c r="E1099" s="1568" t="s">
        <v>3098</v>
      </c>
      <c r="F1099" s="1568"/>
      <c r="G1099" s="1568"/>
      <c r="H1099" s="1568"/>
      <c r="J1099" s="1568" t="s">
        <v>2334</v>
      </c>
      <c r="K1099" s="1568"/>
      <c r="L1099" s="1568"/>
      <c r="M1099" s="1566">
        <v>0</v>
      </c>
      <c r="N1099" s="1566"/>
      <c r="O1099" s="1566"/>
      <c r="P1099" s="1566">
        <v>5745.1</v>
      </c>
      <c r="Q1099" s="1566"/>
      <c r="R1099" s="1566"/>
      <c r="S1099" s="1566">
        <v>0</v>
      </c>
      <c r="T1099" s="1566"/>
      <c r="U1099" s="1566"/>
      <c r="V1099" s="1566"/>
      <c r="W1099" s="1566">
        <v>7536.76</v>
      </c>
      <c r="X1099" s="1566"/>
      <c r="Y1099" s="1566"/>
      <c r="Z1099" s="1566"/>
      <c r="AA1099" s="1566">
        <v>0</v>
      </c>
      <c r="AB1099" s="1566"/>
      <c r="AC1099" s="1566"/>
      <c r="AD1099" s="1566"/>
      <c r="AE1099" s="1566"/>
      <c r="AF1099" s="1566"/>
      <c r="AG1099" s="1566">
        <v>13281.86</v>
      </c>
      <c r="AH1099" s="1566"/>
      <c r="AI1099" s="1566"/>
      <c r="AJ1099" s="1566"/>
      <c r="AK1099" s="1566"/>
    </row>
    <row r="1100" spans="2:37" ht="9.4" customHeight="1">
      <c r="B1100" s="1568" t="s">
        <v>345</v>
      </c>
      <c r="C1100" s="1568"/>
      <c r="D1100" s="1568"/>
      <c r="E1100" s="1568" t="s">
        <v>3328</v>
      </c>
      <c r="F1100" s="1568"/>
      <c r="G1100" s="1568"/>
      <c r="H1100" s="1568"/>
      <c r="J1100" s="1568" t="s">
        <v>3319</v>
      </c>
      <c r="K1100" s="1568"/>
      <c r="L1100" s="1568"/>
      <c r="M1100" s="1566">
        <v>0</v>
      </c>
      <c r="N1100" s="1566"/>
      <c r="O1100" s="1566"/>
      <c r="P1100" s="1566">
        <v>52763.28</v>
      </c>
      <c r="Q1100" s="1566"/>
      <c r="R1100" s="1566"/>
      <c r="S1100" s="1566">
        <v>0</v>
      </c>
      <c r="T1100" s="1566"/>
      <c r="U1100" s="1566"/>
      <c r="V1100" s="1566"/>
      <c r="W1100" s="1566">
        <v>0</v>
      </c>
      <c r="X1100" s="1566"/>
      <c r="Y1100" s="1566"/>
      <c r="Z1100" s="1566"/>
      <c r="AA1100" s="1566">
        <v>0</v>
      </c>
      <c r="AB1100" s="1566"/>
      <c r="AC1100" s="1566"/>
      <c r="AD1100" s="1566"/>
      <c r="AE1100" s="1566"/>
      <c r="AF1100" s="1566"/>
      <c r="AG1100" s="1566">
        <v>52763.28</v>
      </c>
      <c r="AH1100" s="1566"/>
      <c r="AI1100" s="1566"/>
      <c r="AJ1100" s="1566"/>
      <c r="AK1100" s="1566"/>
    </row>
    <row r="1101" spans="2:37" ht="9.4" customHeight="1">
      <c r="B1101" s="1568" t="s">
        <v>345</v>
      </c>
      <c r="C1101" s="1568"/>
      <c r="D1101" s="1568"/>
      <c r="E1101" s="1568" t="s">
        <v>3099</v>
      </c>
      <c r="F1101" s="1568"/>
      <c r="G1101" s="1568"/>
      <c r="H1101" s="1568"/>
      <c r="J1101" s="1568" t="s">
        <v>3000</v>
      </c>
      <c r="K1101" s="1568"/>
      <c r="L1101" s="1568"/>
      <c r="M1101" s="1566">
        <v>0</v>
      </c>
      <c r="N1101" s="1566"/>
      <c r="O1101" s="1566"/>
      <c r="P1101" s="1566">
        <v>27889.95</v>
      </c>
      <c r="Q1101" s="1566"/>
      <c r="R1101" s="1566"/>
      <c r="S1101" s="1566">
        <v>0</v>
      </c>
      <c r="T1101" s="1566"/>
      <c r="U1101" s="1566"/>
      <c r="V1101" s="1566"/>
      <c r="W1101" s="1566">
        <v>-13.19</v>
      </c>
      <c r="X1101" s="1566"/>
      <c r="Y1101" s="1566"/>
      <c r="Z1101" s="1566"/>
      <c r="AA1101" s="1566">
        <v>0</v>
      </c>
      <c r="AB1101" s="1566"/>
      <c r="AC1101" s="1566"/>
      <c r="AD1101" s="1566"/>
      <c r="AE1101" s="1566"/>
      <c r="AF1101" s="1566"/>
      <c r="AG1101" s="1566">
        <v>27876.76</v>
      </c>
      <c r="AH1101" s="1566"/>
      <c r="AI1101" s="1566"/>
      <c r="AJ1101" s="1566"/>
      <c r="AK1101" s="1566"/>
    </row>
    <row r="1102" spans="2:37" ht="9.4" customHeight="1">
      <c r="B1102" s="1568" t="s">
        <v>345</v>
      </c>
      <c r="C1102" s="1568"/>
      <c r="D1102" s="1568"/>
      <c r="E1102" s="1568" t="s">
        <v>6787</v>
      </c>
      <c r="F1102" s="1568"/>
      <c r="G1102" s="1568"/>
      <c r="H1102" s="1568"/>
      <c r="J1102" s="1568" t="s">
        <v>6783</v>
      </c>
      <c r="K1102" s="1568"/>
      <c r="L1102" s="1568"/>
      <c r="M1102" s="1566">
        <v>0</v>
      </c>
      <c r="N1102" s="1566"/>
      <c r="O1102" s="1566"/>
      <c r="P1102" s="1566">
        <v>0</v>
      </c>
      <c r="Q1102" s="1566"/>
      <c r="R1102" s="1566"/>
      <c r="S1102" s="1566">
        <v>0</v>
      </c>
      <c r="T1102" s="1566"/>
      <c r="U1102" s="1566"/>
      <c r="V1102" s="1566"/>
      <c r="W1102" s="1566">
        <v>17.46</v>
      </c>
      <c r="X1102" s="1566"/>
      <c r="Y1102" s="1566"/>
      <c r="Z1102" s="1566"/>
      <c r="AA1102" s="1566">
        <v>0</v>
      </c>
      <c r="AB1102" s="1566"/>
      <c r="AC1102" s="1566"/>
      <c r="AD1102" s="1566"/>
      <c r="AE1102" s="1566"/>
      <c r="AF1102" s="1566"/>
      <c r="AG1102" s="1566">
        <v>17.46</v>
      </c>
      <c r="AH1102" s="1566"/>
      <c r="AI1102" s="1566"/>
      <c r="AJ1102" s="1566"/>
      <c r="AK1102" s="1566"/>
    </row>
    <row r="1103" spans="2:37" ht="9.4" customHeight="1">
      <c r="B1103" s="1568" t="s">
        <v>345</v>
      </c>
      <c r="C1103" s="1568"/>
      <c r="D1103" s="1568"/>
      <c r="E1103" s="1568" t="s">
        <v>3100</v>
      </c>
      <c r="F1103" s="1568"/>
      <c r="G1103" s="1568"/>
      <c r="H1103" s="1568"/>
      <c r="J1103" s="1568" t="s">
        <v>2336</v>
      </c>
      <c r="K1103" s="1568"/>
      <c r="L1103" s="1568"/>
      <c r="M1103" s="1566">
        <v>0</v>
      </c>
      <c r="N1103" s="1566"/>
      <c r="O1103" s="1566"/>
      <c r="P1103" s="1566">
        <v>27889.95</v>
      </c>
      <c r="Q1103" s="1566"/>
      <c r="R1103" s="1566"/>
      <c r="S1103" s="1566">
        <v>0</v>
      </c>
      <c r="T1103" s="1566"/>
      <c r="U1103" s="1566"/>
      <c r="V1103" s="1566"/>
      <c r="W1103" s="1566">
        <v>-30.65</v>
      </c>
      <c r="X1103" s="1566"/>
      <c r="Y1103" s="1566"/>
      <c r="Z1103" s="1566"/>
      <c r="AA1103" s="1566">
        <v>0</v>
      </c>
      <c r="AB1103" s="1566"/>
      <c r="AC1103" s="1566"/>
      <c r="AD1103" s="1566"/>
      <c r="AE1103" s="1566"/>
      <c r="AF1103" s="1566"/>
      <c r="AG1103" s="1566">
        <v>27859.3</v>
      </c>
      <c r="AH1103" s="1566"/>
      <c r="AI1103" s="1566"/>
      <c r="AJ1103" s="1566"/>
      <c r="AK1103" s="1566"/>
    </row>
    <row r="1104" spans="2:37" ht="9.4" customHeight="1">
      <c r="B1104" s="1568" t="s">
        <v>345</v>
      </c>
      <c r="C1104" s="1568"/>
      <c r="D1104" s="1568"/>
      <c r="E1104" s="1568" t="s">
        <v>2390</v>
      </c>
      <c r="F1104" s="1568"/>
      <c r="G1104" s="1568"/>
      <c r="H1104" s="1568"/>
      <c r="J1104" s="1568" t="s">
        <v>5923</v>
      </c>
      <c r="K1104" s="1568"/>
      <c r="L1104" s="1568"/>
      <c r="M1104" s="1566">
        <v>0</v>
      </c>
      <c r="N1104" s="1566"/>
      <c r="O1104" s="1566"/>
      <c r="P1104" s="1566">
        <v>0</v>
      </c>
      <c r="Q1104" s="1566"/>
      <c r="R1104" s="1566"/>
      <c r="S1104" s="1566">
        <v>14946876.960000001</v>
      </c>
      <c r="T1104" s="1566"/>
      <c r="U1104" s="1566"/>
      <c r="V1104" s="1566"/>
      <c r="W1104" s="1566">
        <v>14946876.960000001</v>
      </c>
      <c r="X1104" s="1566"/>
      <c r="Y1104" s="1566"/>
      <c r="Z1104" s="1566"/>
      <c r="AA1104" s="1566">
        <v>0</v>
      </c>
      <c r="AB1104" s="1566"/>
      <c r="AC1104" s="1566"/>
      <c r="AD1104" s="1566"/>
      <c r="AE1104" s="1566"/>
      <c r="AF1104" s="1566"/>
      <c r="AG1104" s="1566">
        <v>0</v>
      </c>
      <c r="AH1104" s="1566"/>
      <c r="AI1104" s="1566"/>
      <c r="AJ1104" s="1566"/>
      <c r="AK1104" s="1566"/>
    </row>
    <row r="1105" spans="2:37" ht="9.4" customHeight="1">
      <c r="B1105" s="1568" t="s">
        <v>345</v>
      </c>
      <c r="C1105" s="1568"/>
      <c r="D1105" s="1568"/>
      <c r="E1105" s="1568" t="s">
        <v>1690</v>
      </c>
      <c r="F1105" s="1568"/>
      <c r="G1105" s="1568"/>
      <c r="H1105" s="1568"/>
      <c r="J1105" s="1568" t="s">
        <v>1691</v>
      </c>
      <c r="K1105" s="1568"/>
      <c r="L1105" s="1568"/>
      <c r="M1105" s="1566">
        <v>0</v>
      </c>
      <c r="N1105" s="1566"/>
      <c r="O1105" s="1566"/>
      <c r="P1105" s="1566">
        <v>138260281</v>
      </c>
      <c r="Q1105" s="1566"/>
      <c r="R1105" s="1566"/>
      <c r="S1105" s="1566">
        <v>0</v>
      </c>
      <c r="T1105" s="1566"/>
      <c r="U1105" s="1566"/>
      <c r="V1105" s="1566"/>
      <c r="W1105" s="1566">
        <v>0</v>
      </c>
      <c r="X1105" s="1566"/>
      <c r="Y1105" s="1566"/>
      <c r="Z1105" s="1566"/>
      <c r="AA1105" s="1566">
        <v>0</v>
      </c>
      <c r="AB1105" s="1566"/>
      <c r="AC1105" s="1566"/>
      <c r="AD1105" s="1566"/>
      <c r="AE1105" s="1566"/>
      <c r="AF1105" s="1566"/>
      <c r="AG1105" s="1566">
        <v>138260281</v>
      </c>
      <c r="AH1105" s="1566"/>
      <c r="AI1105" s="1566"/>
      <c r="AJ1105" s="1566"/>
      <c r="AK1105" s="1566"/>
    </row>
    <row r="1106" spans="2:37" ht="9.4" customHeight="1">
      <c r="B1106" s="1568" t="s">
        <v>345</v>
      </c>
      <c r="C1106" s="1568"/>
      <c r="D1106" s="1568"/>
      <c r="E1106" s="1568" t="s">
        <v>2391</v>
      </c>
      <c r="F1106" s="1568"/>
      <c r="G1106" s="1568"/>
      <c r="H1106" s="1568"/>
      <c r="J1106" s="1568" t="s">
        <v>2392</v>
      </c>
      <c r="K1106" s="1568"/>
      <c r="L1106" s="1568"/>
      <c r="M1106" s="1566">
        <v>0</v>
      </c>
      <c r="N1106" s="1566"/>
      <c r="O1106" s="1566"/>
      <c r="P1106" s="1566">
        <v>825678</v>
      </c>
      <c r="Q1106" s="1566"/>
      <c r="R1106" s="1566"/>
      <c r="S1106" s="1566">
        <v>0</v>
      </c>
      <c r="T1106" s="1566"/>
      <c r="U1106" s="1566"/>
      <c r="V1106" s="1566"/>
      <c r="W1106" s="1566">
        <v>0</v>
      </c>
      <c r="X1106" s="1566"/>
      <c r="Y1106" s="1566"/>
      <c r="Z1106" s="1566"/>
      <c r="AA1106" s="1566">
        <v>0</v>
      </c>
      <c r="AB1106" s="1566"/>
      <c r="AC1106" s="1566"/>
      <c r="AD1106" s="1566"/>
      <c r="AE1106" s="1566"/>
      <c r="AF1106" s="1566"/>
      <c r="AG1106" s="1566">
        <v>825678</v>
      </c>
      <c r="AH1106" s="1566"/>
      <c r="AI1106" s="1566"/>
      <c r="AJ1106" s="1566"/>
      <c r="AK1106" s="1566"/>
    </row>
    <row r="1107" spans="2:37" ht="9.4" customHeight="1">
      <c r="B1107" s="1568" t="s">
        <v>345</v>
      </c>
      <c r="C1107" s="1568"/>
      <c r="D1107" s="1568"/>
      <c r="E1107" s="1568" t="s">
        <v>2394</v>
      </c>
      <c r="F1107" s="1568"/>
      <c r="G1107" s="1568"/>
      <c r="H1107" s="1568"/>
      <c r="J1107" s="1568" t="s">
        <v>2395</v>
      </c>
      <c r="K1107" s="1568"/>
      <c r="L1107" s="1568"/>
      <c r="M1107" s="1566">
        <v>0</v>
      </c>
      <c r="N1107" s="1566"/>
      <c r="O1107" s="1566"/>
      <c r="P1107" s="1566">
        <v>116054</v>
      </c>
      <c r="Q1107" s="1566"/>
      <c r="R1107" s="1566"/>
      <c r="S1107" s="1566">
        <v>0</v>
      </c>
      <c r="T1107" s="1566"/>
      <c r="U1107" s="1566"/>
      <c r="V1107" s="1566"/>
      <c r="W1107" s="1566">
        <v>0</v>
      </c>
      <c r="X1107" s="1566"/>
      <c r="Y1107" s="1566"/>
      <c r="Z1107" s="1566"/>
      <c r="AA1107" s="1566">
        <v>0</v>
      </c>
      <c r="AB1107" s="1566"/>
      <c r="AC1107" s="1566"/>
      <c r="AD1107" s="1566"/>
      <c r="AE1107" s="1566"/>
      <c r="AF1107" s="1566"/>
      <c r="AG1107" s="1566">
        <v>116054</v>
      </c>
      <c r="AH1107" s="1566"/>
      <c r="AI1107" s="1566"/>
      <c r="AJ1107" s="1566"/>
      <c r="AK1107" s="1566"/>
    </row>
    <row r="1108" spans="2:37" ht="9.4" customHeight="1">
      <c r="B1108" s="1568" t="s">
        <v>345</v>
      </c>
      <c r="C1108" s="1568"/>
      <c r="D1108" s="1568"/>
      <c r="E1108" s="1568" t="s">
        <v>2396</v>
      </c>
      <c r="F1108" s="1568"/>
      <c r="G1108" s="1568"/>
      <c r="H1108" s="1568"/>
      <c r="J1108" s="1568" t="s">
        <v>2397</v>
      </c>
      <c r="K1108" s="1568"/>
      <c r="L1108" s="1568"/>
      <c r="M1108" s="1566">
        <v>0</v>
      </c>
      <c r="N1108" s="1566"/>
      <c r="O1108" s="1566"/>
      <c r="P1108" s="1566">
        <v>11468</v>
      </c>
      <c r="Q1108" s="1566"/>
      <c r="R1108" s="1566"/>
      <c r="S1108" s="1566">
        <v>0</v>
      </c>
      <c r="T1108" s="1566"/>
      <c r="U1108" s="1566"/>
      <c r="V1108" s="1566"/>
      <c r="W1108" s="1566">
        <v>0</v>
      </c>
      <c r="X1108" s="1566"/>
      <c r="Y1108" s="1566"/>
      <c r="Z1108" s="1566"/>
      <c r="AA1108" s="1566">
        <v>0</v>
      </c>
      <c r="AB1108" s="1566"/>
      <c r="AC1108" s="1566"/>
      <c r="AD1108" s="1566"/>
      <c r="AE1108" s="1566"/>
      <c r="AF1108" s="1566"/>
      <c r="AG1108" s="1566">
        <v>11468</v>
      </c>
      <c r="AH1108" s="1566"/>
      <c r="AI1108" s="1566"/>
      <c r="AJ1108" s="1566"/>
      <c r="AK1108" s="1566"/>
    </row>
    <row r="1109" spans="2:37" ht="9.4" customHeight="1">
      <c r="B1109" s="1568" t="s">
        <v>345</v>
      </c>
      <c r="C1109" s="1568"/>
      <c r="D1109" s="1568"/>
      <c r="E1109" s="1568" t="s">
        <v>2398</v>
      </c>
      <c r="F1109" s="1568"/>
      <c r="G1109" s="1568"/>
      <c r="H1109" s="1568"/>
      <c r="J1109" s="1568" t="s">
        <v>2399</v>
      </c>
      <c r="K1109" s="1568"/>
      <c r="L1109" s="1568"/>
      <c r="M1109" s="1566">
        <v>0</v>
      </c>
      <c r="N1109" s="1566"/>
      <c r="O1109" s="1566"/>
      <c r="P1109" s="1566">
        <v>24000</v>
      </c>
      <c r="Q1109" s="1566"/>
      <c r="R1109" s="1566"/>
      <c r="S1109" s="1566">
        <v>0</v>
      </c>
      <c r="T1109" s="1566"/>
      <c r="U1109" s="1566"/>
      <c r="V1109" s="1566"/>
      <c r="W1109" s="1566">
        <v>0</v>
      </c>
      <c r="X1109" s="1566"/>
      <c r="Y1109" s="1566"/>
      <c r="Z1109" s="1566"/>
      <c r="AA1109" s="1566">
        <v>0</v>
      </c>
      <c r="AB1109" s="1566"/>
      <c r="AC1109" s="1566"/>
      <c r="AD1109" s="1566"/>
      <c r="AE1109" s="1566"/>
      <c r="AF1109" s="1566"/>
      <c r="AG1109" s="1566">
        <v>24000</v>
      </c>
      <c r="AH1109" s="1566"/>
      <c r="AI1109" s="1566"/>
      <c r="AJ1109" s="1566"/>
      <c r="AK1109" s="1566"/>
    </row>
    <row r="1110" spans="2:37" ht="9.4" customHeight="1">
      <c r="B1110" s="1568" t="s">
        <v>345</v>
      </c>
      <c r="C1110" s="1568"/>
      <c r="D1110" s="1568"/>
      <c r="E1110" s="1568" t="s">
        <v>2400</v>
      </c>
      <c r="F1110" s="1568"/>
      <c r="G1110" s="1568"/>
      <c r="H1110" s="1568"/>
      <c r="J1110" s="1568" t="s">
        <v>2401</v>
      </c>
      <c r="K1110" s="1568"/>
      <c r="L1110" s="1568"/>
      <c r="M1110" s="1566">
        <v>0</v>
      </c>
      <c r="N1110" s="1566"/>
      <c r="O1110" s="1566"/>
      <c r="P1110" s="1566">
        <v>140365</v>
      </c>
      <c r="Q1110" s="1566"/>
      <c r="R1110" s="1566"/>
      <c r="S1110" s="1566">
        <v>0</v>
      </c>
      <c r="T1110" s="1566"/>
      <c r="U1110" s="1566"/>
      <c r="V1110" s="1566"/>
      <c r="W1110" s="1566">
        <v>0</v>
      </c>
      <c r="X1110" s="1566"/>
      <c r="Y1110" s="1566"/>
      <c r="Z1110" s="1566"/>
      <c r="AA1110" s="1566">
        <v>0</v>
      </c>
      <c r="AB1110" s="1566"/>
      <c r="AC1110" s="1566"/>
      <c r="AD1110" s="1566"/>
      <c r="AE1110" s="1566"/>
      <c r="AF1110" s="1566"/>
      <c r="AG1110" s="1566">
        <v>140365</v>
      </c>
      <c r="AH1110" s="1566"/>
      <c r="AI1110" s="1566"/>
      <c r="AJ1110" s="1566"/>
      <c r="AK1110" s="1566"/>
    </row>
    <row r="1111" spans="2:37" ht="9.4" customHeight="1">
      <c r="B1111" s="1568" t="s">
        <v>345</v>
      </c>
      <c r="C1111" s="1568"/>
      <c r="D1111" s="1568"/>
      <c r="E1111" s="1568" t="s">
        <v>2402</v>
      </c>
      <c r="F1111" s="1568"/>
      <c r="G1111" s="1568"/>
      <c r="H1111" s="1568"/>
      <c r="J1111" s="1568" t="s">
        <v>2403</v>
      </c>
      <c r="K1111" s="1568"/>
      <c r="L1111" s="1568"/>
      <c r="M1111" s="1566">
        <v>0</v>
      </c>
      <c r="N1111" s="1566"/>
      <c r="O1111" s="1566"/>
      <c r="P1111" s="1566">
        <v>2750</v>
      </c>
      <c r="Q1111" s="1566"/>
      <c r="R1111" s="1566"/>
      <c r="S1111" s="1566">
        <v>0</v>
      </c>
      <c r="T1111" s="1566"/>
      <c r="U1111" s="1566"/>
      <c r="V1111" s="1566"/>
      <c r="W1111" s="1566">
        <v>0</v>
      </c>
      <c r="X1111" s="1566"/>
      <c r="Y1111" s="1566"/>
      <c r="Z1111" s="1566"/>
      <c r="AA1111" s="1566">
        <v>0</v>
      </c>
      <c r="AB1111" s="1566"/>
      <c r="AC1111" s="1566"/>
      <c r="AD1111" s="1566"/>
      <c r="AE1111" s="1566"/>
      <c r="AF1111" s="1566"/>
      <c r="AG1111" s="1566">
        <v>2750</v>
      </c>
      <c r="AH1111" s="1566"/>
      <c r="AI1111" s="1566"/>
      <c r="AJ1111" s="1566"/>
      <c r="AK1111" s="1566"/>
    </row>
    <row r="1112" spans="2:37" ht="9.4" customHeight="1">
      <c r="B1112" s="1568" t="s">
        <v>345</v>
      </c>
      <c r="C1112" s="1568"/>
      <c r="D1112" s="1568"/>
      <c r="E1112" s="1568" t="s">
        <v>2404</v>
      </c>
      <c r="F1112" s="1568"/>
      <c r="G1112" s="1568"/>
      <c r="H1112" s="1568"/>
      <c r="J1112" s="1568" t="s">
        <v>2405</v>
      </c>
      <c r="K1112" s="1568"/>
      <c r="L1112" s="1568"/>
      <c r="M1112" s="1566">
        <v>0</v>
      </c>
      <c r="N1112" s="1566"/>
      <c r="O1112" s="1566"/>
      <c r="P1112" s="1566">
        <v>67219</v>
      </c>
      <c r="Q1112" s="1566"/>
      <c r="R1112" s="1566"/>
      <c r="S1112" s="1566">
        <v>0</v>
      </c>
      <c r="T1112" s="1566"/>
      <c r="U1112" s="1566"/>
      <c r="V1112" s="1566"/>
      <c r="W1112" s="1566">
        <v>0</v>
      </c>
      <c r="X1112" s="1566"/>
      <c r="Y1112" s="1566"/>
      <c r="Z1112" s="1566"/>
      <c r="AA1112" s="1566">
        <v>0</v>
      </c>
      <c r="AB1112" s="1566"/>
      <c r="AC1112" s="1566"/>
      <c r="AD1112" s="1566"/>
      <c r="AE1112" s="1566"/>
      <c r="AF1112" s="1566"/>
      <c r="AG1112" s="1566">
        <v>67219</v>
      </c>
      <c r="AH1112" s="1566"/>
      <c r="AI1112" s="1566"/>
      <c r="AJ1112" s="1566"/>
      <c r="AK1112" s="1566"/>
    </row>
    <row r="1113" spans="2:37" ht="9.4" customHeight="1">
      <c r="B1113" s="1568" t="s">
        <v>345</v>
      </c>
      <c r="C1113" s="1568"/>
      <c r="D1113" s="1568"/>
      <c r="E1113" s="1568" t="s">
        <v>2406</v>
      </c>
      <c r="F1113" s="1568"/>
      <c r="G1113" s="1568"/>
      <c r="H1113" s="1568"/>
      <c r="J1113" s="1568" t="s">
        <v>2407</v>
      </c>
      <c r="K1113" s="1568"/>
      <c r="L1113" s="1568"/>
      <c r="M1113" s="1566">
        <v>0</v>
      </c>
      <c r="N1113" s="1566"/>
      <c r="O1113" s="1566"/>
      <c r="P1113" s="1566">
        <v>61058</v>
      </c>
      <c r="Q1113" s="1566"/>
      <c r="R1113" s="1566"/>
      <c r="S1113" s="1566">
        <v>0</v>
      </c>
      <c r="T1113" s="1566"/>
      <c r="U1113" s="1566"/>
      <c r="V1113" s="1566"/>
      <c r="W1113" s="1566">
        <v>0</v>
      </c>
      <c r="X1113" s="1566"/>
      <c r="Y1113" s="1566"/>
      <c r="Z1113" s="1566"/>
      <c r="AA1113" s="1566">
        <v>0</v>
      </c>
      <c r="AB1113" s="1566"/>
      <c r="AC1113" s="1566"/>
      <c r="AD1113" s="1566"/>
      <c r="AE1113" s="1566"/>
      <c r="AF1113" s="1566"/>
      <c r="AG1113" s="1566">
        <v>61058</v>
      </c>
      <c r="AH1113" s="1566"/>
      <c r="AI1113" s="1566"/>
      <c r="AJ1113" s="1566"/>
      <c r="AK1113" s="1566"/>
    </row>
    <row r="1114" spans="2:37" ht="9.4" customHeight="1">
      <c r="B1114" s="1568" t="s">
        <v>345</v>
      </c>
      <c r="C1114" s="1568"/>
      <c r="D1114" s="1568"/>
      <c r="E1114" s="1568" t="s">
        <v>2408</v>
      </c>
      <c r="F1114" s="1568"/>
      <c r="G1114" s="1568"/>
      <c r="H1114" s="1568"/>
      <c r="J1114" s="1568" t="s">
        <v>2409</v>
      </c>
      <c r="K1114" s="1568"/>
      <c r="L1114" s="1568"/>
      <c r="M1114" s="1566">
        <v>0</v>
      </c>
      <c r="N1114" s="1566"/>
      <c r="O1114" s="1566"/>
      <c r="P1114" s="1566">
        <v>4000000</v>
      </c>
      <c r="Q1114" s="1566"/>
      <c r="R1114" s="1566"/>
      <c r="S1114" s="1566">
        <v>0</v>
      </c>
      <c r="T1114" s="1566"/>
      <c r="U1114" s="1566"/>
      <c r="V1114" s="1566"/>
      <c r="W1114" s="1566">
        <v>0</v>
      </c>
      <c r="X1114" s="1566"/>
      <c r="Y1114" s="1566"/>
      <c r="Z1114" s="1566"/>
      <c r="AA1114" s="1566">
        <v>0</v>
      </c>
      <c r="AB1114" s="1566"/>
      <c r="AC1114" s="1566"/>
      <c r="AD1114" s="1566"/>
      <c r="AE1114" s="1566"/>
      <c r="AF1114" s="1566"/>
      <c r="AG1114" s="1566">
        <v>4000000</v>
      </c>
      <c r="AH1114" s="1566"/>
      <c r="AI1114" s="1566"/>
      <c r="AJ1114" s="1566"/>
      <c r="AK1114" s="1566"/>
    </row>
    <row r="1115" spans="2:37" ht="9.4" customHeight="1">
      <c r="B1115" s="1568" t="s">
        <v>345</v>
      </c>
      <c r="C1115" s="1568"/>
      <c r="D1115" s="1568"/>
      <c r="E1115" s="1568" t="s">
        <v>2410</v>
      </c>
      <c r="F1115" s="1568"/>
      <c r="G1115" s="1568"/>
      <c r="H1115" s="1568"/>
      <c r="J1115" s="1568" t="s">
        <v>2409</v>
      </c>
      <c r="K1115" s="1568"/>
      <c r="L1115" s="1568"/>
      <c r="M1115" s="1566">
        <v>0</v>
      </c>
      <c r="N1115" s="1566"/>
      <c r="O1115" s="1566"/>
      <c r="P1115" s="1566">
        <v>1260000</v>
      </c>
      <c r="Q1115" s="1566"/>
      <c r="R1115" s="1566"/>
      <c r="S1115" s="1566">
        <v>0</v>
      </c>
      <c r="T1115" s="1566"/>
      <c r="U1115" s="1566"/>
      <c r="V1115" s="1566"/>
      <c r="W1115" s="1566">
        <v>0</v>
      </c>
      <c r="X1115" s="1566"/>
      <c r="Y1115" s="1566"/>
      <c r="Z1115" s="1566"/>
      <c r="AA1115" s="1566">
        <v>0</v>
      </c>
      <c r="AB1115" s="1566"/>
      <c r="AC1115" s="1566"/>
      <c r="AD1115" s="1566"/>
      <c r="AE1115" s="1566"/>
      <c r="AF1115" s="1566"/>
      <c r="AG1115" s="1566">
        <v>1260000</v>
      </c>
      <c r="AH1115" s="1566"/>
      <c r="AI1115" s="1566"/>
      <c r="AJ1115" s="1566"/>
      <c r="AK1115" s="1566"/>
    </row>
    <row r="1116" spans="2:37" ht="9.4" customHeight="1">
      <c r="B1116" s="1568" t="s">
        <v>345</v>
      </c>
      <c r="C1116" s="1568"/>
      <c r="D1116" s="1568"/>
      <c r="E1116" s="1568" t="s">
        <v>2411</v>
      </c>
      <c r="F1116" s="1568"/>
      <c r="G1116" s="1568"/>
      <c r="H1116" s="1568"/>
      <c r="J1116" s="1568" t="s">
        <v>2409</v>
      </c>
      <c r="K1116" s="1568"/>
      <c r="L1116" s="1568"/>
      <c r="M1116" s="1566">
        <v>0</v>
      </c>
      <c r="N1116" s="1566"/>
      <c r="O1116" s="1566"/>
      <c r="P1116" s="1566">
        <v>1020000</v>
      </c>
      <c r="Q1116" s="1566"/>
      <c r="R1116" s="1566"/>
      <c r="S1116" s="1566">
        <v>0</v>
      </c>
      <c r="T1116" s="1566"/>
      <c r="U1116" s="1566"/>
      <c r="V1116" s="1566"/>
      <c r="W1116" s="1566">
        <v>0</v>
      </c>
      <c r="X1116" s="1566"/>
      <c r="Y1116" s="1566"/>
      <c r="Z1116" s="1566"/>
      <c r="AA1116" s="1566">
        <v>0</v>
      </c>
      <c r="AB1116" s="1566"/>
      <c r="AC1116" s="1566"/>
      <c r="AD1116" s="1566"/>
      <c r="AE1116" s="1566"/>
      <c r="AF1116" s="1566"/>
      <c r="AG1116" s="1566">
        <v>1020000</v>
      </c>
      <c r="AH1116" s="1566"/>
      <c r="AI1116" s="1566"/>
      <c r="AJ1116" s="1566"/>
      <c r="AK1116" s="1566"/>
    </row>
    <row r="1117" spans="2:37" ht="9.4" customHeight="1">
      <c r="B1117" s="1568" t="s">
        <v>345</v>
      </c>
      <c r="C1117" s="1568"/>
      <c r="D1117" s="1568"/>
      <c r="E1117" s="1568" t="s">
        <v>2412</v>
      </c>
      <c r="F1117" s="1568"/>
      <c r="G1117" s="1568"/>
      <c r="H1117" s="1568"/>
      <c r="J1117" s="1568" t="s">
        <v>2392</v>
      </c>
      <c r="K1117" s="1568"/>
      <c r="L1117" s="1568"/>
      <c r="M1117" s="1566">
        <v>0</v>
      </c>
      <c r="N1117" s="1566"/>
      <c r="O1117" s="1566"/>
      <c r="P1117" s="1566">
        <v>3015520</v>
      </c>
      <c r="Q1117" s="1566"/>
      <c r="R1117" s="1566"/>
      <c r="S1117" s="1566">
        <v>0</v>
      </c>
      <c r="T1117" s="1566"/>
      <c r="U1117" s="1566"/>
      <c r="V1117" s="1566"/>
      <c r="W1117" s="1566">
        <v>0</v>
      </c>
      <c r="X1117" s="1566"/>
      <c r="Y1117" s="1566"/>
      <c r="Z1117" s="1566"/>
      <c r="AA1117" s="1566">
        <v>0</v>
      </c>
      <c r="AB1117" s="1566"/>
      <c r="AC1117" s="1566"/>
      <c r="AD1117" s="1566"/>
      <c r="AE1117" s="1566"/>
      <c r="AF1117" s="1566"/>
      <c r="AG1117" s="1566">
        <v>3015520</v>
      </c>
      <c r="AH1117" s="1566"/>
      <c r="AI1117" s="1566"/>
      <c r="AJ1117" s="1566"/>
      <c r="AK1117" s="1566"/>
    </row>
    <row r="1118" spans="2:37" ht="9.4" customHeight="1">
      <c r="B1118" s="1568" t="s">
        <v>345</v>
      </c>
      <c r="C1118" s="1568"/>
      <c r="D1118" s="1568"/>
      <c r="E1118" s="1568" t="s">
        <v>2413</v>
      </c>
      <c r="F1118" s="1568"/>
      <c r="G1118" s="1568"/>
      <c r="H1118" s="1568"/>
      <c r="J1118" s="1568" t="s">
        <v>2395</v>
      </c>
      <c r="K1118" s="1568"/>
      <c r="L1118" s="1568"/>
      <c r="M1118" s="1566">
        <v>0</v>
      </c>
      <c r="N1118" s="1566"/>
      <c r="O1118" s="1566"/>
      <c r="P1118" s="1566">
        <v>423848</v>
      </c>
      <c r="Q1118" s="1566"/>
      <c r="R1118" s="1566"/>
      <c r="S1118" s="1566">
        <v>0</v>
      </c>
      <c r="T1118" s="1566"/>
      <c r="U1118" s="1566"/>
      <c r="V1118" s="1566"/>
      <c r="W1118" s="1566">
        <v>0</v>
      </c>
      <c r="X1118" s="1566"/>
      <c r="Y1118" s="1566"/>
      <c r="Z1118" s="1566"/>
      <c r="AA1118" s="1566">
        <v>0</v>
      </c>
      <c r="AB1118" s="1566"/>
      <c r="AC1118" s="1566"/>
      <c r="AD1118" s="1566"/>
      <c r="AE1118" s="1566"/>
      <c r="AF1118" s="1566"/>
      <c r="AG1118" s="1566">
        <v>423848</v>
      </c>
      <c r="AH1118" s="1566"/>
      <c r="AI1118" s="1566"/>
      <c r="AJ1118" s="1566"/>
      <c r="AK1118" s="1566"/>
    </row>
    <row r="1119" spans="2:37" ht="9.4" customHeight="1">
      <c r="B1119" s="1568" t="s">
        <v>345</v>
      </c>
      <c r="C1119" s="1568"/>
      <c r="D1119" s="1568"/>
      <c r="E1119" s="1568" t="s">
        <v>2414</v>
      </c>
      <c r="F1119" s="1568"/>
      <c r="G1119" s="1568"/>
      <c r="H1119" s="1568"/>
      <c r="J1119" s="1568" t="s">
        <v>2397</v>
      </c>
      <c r="K1119" s="1568"/>
      <c r="L1119" s="1568"/>
      <c r="M1119" s="1566">
        <v>0</v>
      </c>
      <c r="N1119" s="1566"/>
      <c r="O1119" s="1566"/>
      <c r="P1119" s="1566">
        <v>41882</v>
      </c>
      <c r="Q1119" s="1566"/>
      <c r="R1119" s="1566"/>
      <c r="S1119" s="1566">
        <v>0</v>
      </c>
      <c r="T1119" s="1566"/>
      <c r="U1119" s="1566"/>
      <c r="V1119" s="1566"/>
      <c r="W1119" s="1566">
        <v>0</v>
      </c>
      <c r="X1119" s="1566"/>
      <c r="Y1119" s="1566"/>
      <c r="Z1119" s="1566"/>
      <c r="AA1119" s="1566">
        <v>0</v>
      </c>
      <c r="AB1119" s="1566"/>
      <c r="AC1119" s="1566"/>
      <c r="AD1119" s="1566"/>
      <c r="AE1119" s="1566"/>
      <c r="AF1119" s="1566"/>
      <c r="AG1119" s="1566">
        <v>41882</v>
      </c>
      <c r="AH1119" s="1566"/>
      <c r="AI1119" s="1566"/>
      <c r="AJ1119" s="1566"/>
      <c r="AK1119" s="1566"/>
    </row>
    <row r="1120" spans="2:37" ht="9.4" customHeight="1">
      <c r="B1120" s="1568" t="s">
        <v>345</v>
      </c>
      <c r="C1120" s="1568"/>
      <c r="D1120" s="1568"/>
      <c r="E1120" s="1568" t="s">
        <v>2415</v>
      </c>
      <c r="F1120" s="1568"/>
      <c r="G1120" s="1568"/>
      <c r="H1120" s="1568"/>
      <c r="J1120" s="1568" t="s">
        <v>2399</v>
      </c>
      <c r="K1120" s="1568"/>
      <c r="L1120" s="1568"/>
      <c r="M1120" s="1566">
        <v>0</v>
      </c>
      <c r="N1120" s="1566"/>
      <c r="O1120" s="1566"/>
      <c r="P1120" s="1566">
        <v>84000</v>
      </c>
      <c r="Q1120" s="1566"/>
      <c r="R1120" s="1566"/>
      <c r="S1120" s="1566">
        <v>0</v>
      </c>
      <c r="T1120" s="1566"/>
      <c r="U1120" s="1566"/>
      <c r="V1120" s="1566"/>
      <c r="W1120" s="1566">
        <v>0</v>
      </c>
      <c r="X1120" s="1566"/>
      <c r="Y1120" s="1566"/>
      <c r="Z1120" s="1566"/>
      <c r="AA1120" s="1566">
        <v>0</v>
      </c>
      <c r="AB1120" s="1566"/>
      <c r="AC1120" s="1566"/>
      <c r="AD1120" s="1566"/>
      <c r="AE1120" s="1566"/>
      <c r="AF1120" s="1566"/>
      <c r="AG1120" s="1566">
        <v>84000</v>
      </c>
      <c r="AH1120" s="1566"/>
      <c r="AI1120" s="1566"/>
      <c r="AJ1120" s="1566"/>
      <c r="AK1120" s="1566"/>
    </row>
    <row r="1121" spans="1:38" ht="9.4" customHeight="1">
      <c r="B1121" s="1568" t="s">
        <v>345</v>
      </c>
      <c r="C1121" s="1568"/>
      <c r="D1121" s="1568"/>
      <c r="E1121" s="1568" t="s">
        <v>2416</v>
      </c>
      <c r="F1121" s="1568"/>
      <c r="G1121" s="1568"/>
      <c r="H1121" s="1568"/>
      <c r="J1121" s="1568" t="s">
        <v>2401</v>
      </c>
      <c r="K1121" s="1568"/>
      <c r="L1121" s="1568"/>
      <c r="M1121" s="1566">
        <v>0</v>
      </c>
      <c r="N1121" s="1566"/>
      <c r="O1121" s="1566"/>
      <c r="P1121" s="1566">
        <v>512638</v>
      </c>
      <c r="Q1121" s="1566"/>
      <c r="R1121" s="1566"/>
      <c r="S1121" s="1566">
        <v>0</v>
      </c>
      <c r="T1121" s="1566"/>
      <c r="U1121" s="1566"/>
      <c r="V1121" s="1566"/>
      <c r="W1121" s="1566">
        <v>0</v>
      </c>
      <c r="X1121" s="1566"/>
      <c r="Y1121" s="1566"/>
      <c r="Z1121" s="1566"/>
      <c r="AA1121" s="1566">
        <v>0</v>
      </c>
      <c r="AB1121" s="1566"/>
      <c r="AC1121" s="1566"/>
      <c r="AD1121" s="1566"/>
      <c r="AE1121" s="1566"/>
      <c r="AF1121" s="1566"/>
      <c r="AG1121" s="1566">
        <v>512638</v>
      </c>
      <c r="AH1121" s="1566"/>
      <c r="AI1121" s="1566"/>
      <c r="AJ1121" s="1566"/>
      <c r="AK1121" s="1566"/>
    </row>
    <row r="1122" spans="1:38" ht="9.4" customHeight="1">
      <c r="B1122" s="1568" t="s">
        <v>345</v>
      </c>
      <c r="C1122" s="1568"/>
      <c r="D1122" s="1568"/>
      <c r="E1122" s="1568" t="s">
        <v>2417</v>
      </c>
      <c r="F1122" s="1568"/>
      <c r="G1122" s="1568"/>
      <c r="H1122" s="1568"/>
      <c r="J1122" s="1568" t="s">
        <v>2403</v>
      </c>
      <c r="K1122" s="1568"/>
      <c r="L1122" s="1568"/>
      <c r="M1122" s="1566">
        <v>0</v>
      </c>
      <c r="N1122" s="1566"/>
      <c r="O1122" s="1566"/>
      <c r="P1122" s="1566">
        <v>20380</v>
      </c>
      <c r="Q1122" s="1566"/>
      <c r="R1122" s="1566"/>
      <c r="S1122" s="1566">
        <v>0</v>
      </c>
      <c r="T1122" s="1566"/>
      <c r="U1122" s="1566"/>
      <c r="V1122" s="1566"/>
      <c r="W1122" s="1566">
        <v>0</v>
      </c>
      <c r="X1122" s="1566"/>
      <c r="Y1122" s="1566"/>
      <c r="Z1122" s="1566"/>
      <c r="AA1122" s="1566">
        <v>0</v>
      </c>
      <c r="AB1122" s="1566"/>
      <c r="AC1122" s="1566"/>
      <c r="AD1122" s="1566"/>
      <c r="AE1122" s="1566"/>
      <c r="AF1122" s="1566"/>
      <c r="AG1122" s="1566">
        <v>20380</v>
      </c>
      <c r="AH1122" s="1566"/>
      <c r="AI1122" s="1566"/>
      <c r="AJ1122" s="1566"/>
      <c r="AK1122" s="1566"/>
    </row>
    <row r="1123" spans="1:38" ht="9.4" customHeight="1">
      <c r="B1123" s="1568" t="s">
        <v>345</v>
      </c>
      <c r="C1123" s="1568"/>
      <c r="D1123" s="1568"/>
      <c r="E1123" s="1568" t="s">
        <v>2418</v>
      </c>
      <c r="F1123" s="1568"/>
      <c r="G1123" s="1568"/>
      <c r="H1123" s="1568"/>
      <c r="J1123" s="1568" t="s">
        <v>2405</v>
      </c>
      <c r="K1123" s="1568"/>
      <c r="L1123" s="1568"/>
      <c r="M1123" s="1566">
        <v>0</v>
      </c>
      <c r="N1123" s="1566"/>
      <c r="O1123" s="1566"/>
      <c r="P1123" s="1566">
        <v>274794</v>
      </c>
      <c r="Q1123" s="1566"/>
      <c r="R1123" s="1566"/>
      <c r="S1123" s="1566">
        <v>0</v>
      </c>
      <c r="T1123" s="1566"/>
      <c r="U1123" s="1566"/>
      <c r="V1123" s="1566"/>
      <c r="W1123" s="1566">
        <v>0</v>
      </c>
      <c r="X1123" s="1566"/>
      <c r="Y1123" s="1566"/>
      <c r="Z1123" s="1566"/>
      <c r="AA1123" s="1566">
        <v>0</v>
      </c>
      <c r="AB1123" s="1566"/>
      <c r="AC1123" s="1566"/>
      <c r="AD1123" s="1566"/>
      <c r="AE1123" s="1566"/>
      <c r="AF1123" s="1566"/>
      <c r="AG1123" s="1566">
        <v>274794</v>
      </c>
      <c r="AH1123" s="1566"/>
      <c r="AI1123" s="1566"/>
      <c r="AJ1123" s="1566"/>
      <c r="AK1123" s="1566"/>
    </row>
    <row r="1124" spans="1:38" ht="9.4" customHeight="1">
      <c r="B1124" s="1568" t="s">
        <v>345</v>
      </c>
      <c r="C1124" s="1568"/>
      <c r="D1124" s="1568"/>
      <c r="E1124" s="1568" t="s">
        <v>2419</v>
      </c>
      <c r="F1124" s="1568"/>
      <c r="G1124" s="1568"/>
      <c r="H1124" s="1568"/>
      <c r="J1124" s="1568" t="s">
        <v>2407</v>
      </c>
      <c r="K1124" s="1568"/>
      <c r="L1124" s="1568"/>
      <c r="M1124" s="1566">
        <v>0</v>
      </c>
      <c r="N1124" s="1566"/>
      <c r="O1124" s="1566"/>
      <c r="P1124" s="1566">
        <v>218250</v>
      </c>
      <c r="Q1124" s="1566"/>
      <c r="R1124" s="1566"/>
      <c r="S1124" s="1566">
        <v>0</v>
      </c>
      <c r="T1124" s="1566"/>
      <c r="U1124" s="1566"/>
      <c r="V1124" s="1566"/>
      <c r="W1124" s="1566">
        <v>0</v>
      </c>
      <c r="X1124" s="1566"/>
      <c r="Y1124" s="1566"/>
      <c r="Z1124" s="1566"/>
      <c r="AA1124" s="1566">
        <v>0</v>
      </c>
      <c r="AB1124" s="1566"/>
      <c r="AC1124" s="1566"/>
      <c r="AD1124" s="1566"/>
      <c r="AE1124" s="1566"/>
      <c r="AF1124" s="1566"/>
      <c r="AG1124" s="1566">
        <v>218250</v>
      </c>
      <c r="AH1124" s="1566"/>
      <c r="AI1124" s="1566"/>
      <c r="AJ1124" s="1566"/>
      <c r="AK1124" s="1566"/>
    </row>
    <row r="1125" spans="1:38" ht="9.4" customHeight="1">
      <c r="B1125" s="1568" t="s">
        <v>345</v>
      </c>
      <c r="C1125" s="1568"/>
      <c r="D1125" s="1568"/>
      <c r="E1125" s="1568" t="s">
        <v>2420</v>
      </c>
      <c r="F1125" s="1568"/>
      <c r="G1125" s="1568"/>
      <c r="H1125" s="1568"/>
      <c r="J1125" s="1568" t="s">
        <v>2421</v>
      </c>
      <c r="K1125" s="1568"/>
      <c r="L1125" s="1568"/>
      <c r="M1125" s="1566">
        <v>0</v>
      </c>
      <c r="N1125" s="1566"/>
      <c r="O1125" s="1566"/>
      <c r="P1125" s="1566">
        <v>1063271</v>
      </c>
      <c r="Q1125" s="1566"/>
      <c r="R1125" s="1566"/>
      <c r="S1125" s="1566">
        <v>0</v>
      </c>
      <c r="T1125" s="1566"/>
      <c r="U1125" s="1566"/>
      <c r="V1125" s="1566"/>
      <c r="W1125" s="1566">
        <v>0</v>
      </c>
      <c r="X1125" s="1566"/>
      <c r="Y1125" s="1566"/>
      <c r="Z1125" s="1566"/>
      <c r="AA1125" s="1566">
        <v>0</v>
      </c>
      <c r="AB1125" s="1566"/>
      <c r="AC1125" s="1566"/>
      <c r="AD1125" s="1566"/>
      <c r="AE1125" s="1566"/>
      <c r="AF1125" s="1566"/>
      <c r="AG1125" s="1566">
        <v>1063271</v>
      </c>
      <c r="AH1125" s="1566"/>
      <c r="AI1125" s="1566"/>
      <c r="AJ1125" s="1566"/>
      <c r="AK1125" s="1566"/>
    </row>
    <row r="1126" spans="1:38" ht="9.4" customHeight="1">
      <c r="B1126" s="1568" t="s">
        <v>345</v>
      </c>
      <c r="C1126" s="1568"/>
      <c r="D1126" s="1568"/>
      <c r="E1126" s="1568" t="s">
        <v>2422</v>
      </c>
      <c r="F1126" s="1568"/>
      <c r="G1126" s="1568"/>
      <c r="H1126" s="1568"/>
      <c r="J1126" s="1568" t="s">
        <v>2423</v>
      </c>
      <c r="K1126" s="1568"/>
      <c r="L1126" s="1568"/>
      <c r="M1126" s="1566">
        <v>0</v>
      </c>
      <c r="N1126" s="1566"/>
      <c r="O1126" s="1566"/>
      <c r="P1126" s="1566">
        <v>6188832</v>
      </c>
      <c r="Q1126" s="1566"/>
      <c r="R1126" s="1566"/>
      <c r="S1126" s="1566">
        <v>0</v>
      </c>
      <c r="T1126" s="1566"/>
      <c r="U1126" s="1566"/>
      <c r="V1126" s="1566"/>
      <c r="W1126" s="1566">
        <v>0</v>
      </c>
      <c r="X1126" s="1566"/>
      <c r="Y1126" s="1566"/>
      <c r="Z1126" s="1566"/>
      <c r="AA1126" s="1566">
        <v>0</v>
      </c>
      <c r="AB1126" s="1566"/>
      <c r="AC1126" s="1566"/>
      <c r="AD1126" s="1566"/>
      <c r="AE1126" s="1566"/>
      <c r="AF1126" s="1566"/>
      <c r="AG1126" s="1566">
        <v>6188832</v>
      </c>
      <c r="AH1126" s="1566"/>
      <c r="AI1126" s="1566"/>
      <c r="AJ1126" s="1566"/>
      <c r="AK1126" s="1566"/>
    </row>
    <row r="1127" spans="1:38" ht="9.4" customHeight="1">
      <c r="B1127" s="1568" t="s">
        <v>345</v>
      </c>
      <c r="C1127" s="1568"/>
      <c r="D1127" s="1568"/>
      <c r="E1127" s="1568" t="s">
        <v>2425</v>
      </c>
      <c r="F1127" s="1568"/>
      <c r="G1127" s="1568"/>
      <c r="H1127" s="1568"/>
      <c r="J1127" s="1568" t="s">
        <v>2426</v>
      </c>
      <c r="K1127" s="1568"/>
      <c r="L1127" s="1568"/>
      <c r="M1127" s="1566">
        <v>0</v>
      </c>
      <c r="N1127" s="1566"/>
      <c r="O1127" s="1566"/>
      <c r="P1127" s="1566">
        <v>300000</v>
      </c>
      <c r="Q1127" s="1566"/>
      <c r="R1127" s="1566"/>
      <c r="S1127" s="1566">
        <v>0</v>
      </c>
      <c r="T1127" s="1566"/>
      <c r="U1127" s="1566"/>
      <c r="V1127" s="1566"/>
      <c r="W1127" s="1566">
        <v>0</v>
      </c>
      <c r="X1127" s="1566"/>
      <c r="Y1127" s="1566"/>
      <c r="Z1127" s="1566"/>
      <c r="AA1127" s="1566">
        <v>0</v>
      </c>
      <c r="AB1127" s="1566"/>
      <c r="AC1127" s="1566"/>
      <c r="AD1127" s="1566"/>
      <c r="AE1127" s="1566"/>
      <c r="AF1127" s="1566"/>
      <c r="AG1127" s="1566">
        <v>300000</v>
      </c>
      <c r="AH1127" s="1566"/>
      <c r="AI1127" s="1566"/>
      <c r="AJ1127" s="1566"/>
      <c r="AK1127" s="1566"/>
    </row>
    <row r="1128" spans="1:38" ht="9.4" customHeight="1">
      <c r="B1128" s="1568" t="s">
        <v>345</v>
      </c>
      <c r="C1128" s="1568"/>
      <c r="D1128" s="1568"/>
      <c r="E1128" s="1568" t="s">
        <v>2427</v>
      </c>
      <c r="F1128" s="1568"/>
      <c r="G1128" s="1568"/>
      <c r="H1128" s="1568"/>
      <c r="J1128" s="1568" t="s">
        <v>2428</v>
      </c>
      <c r="K1128" s="1568"/>
      <c r="L1128" s="1568"/>
      <c r="M1128" s="1566">
        <v>0</v>
      </c>
      <c r="N1128" s="1566"/>
      <c r="O1128" s="1566"/>
      <c r="P1128" s="1566">
        <v>4722318</v>
      </c>
      <c r="Q1128" s="1566"/>
      <c r="R1128" s="1566"/>
      <c r="S1128" s="1566">
        <v>0</v>
      </c>
      <c r="T1128" s="1566"/>
      <c r="U1128" s="1566"/>
      <c r="V1128" s="1566"/>
      <c r="W1128" s="1566">
        <v>0</v>
      </c>
      <c r="X1128" s="1566"/>
      <c r="Y1128" s="1566"/>
      <c r="Z1128" s="1566"/>
      <c r="AA1128" s="1566">
        <v>0</v>
      </c>
      <c r="AB1128" s="1566"/>
      <c r="AC1128" s="1566"/>
      <c r="AD1128" s="1566"/>
      <c r="AE1128" s="1566"/>
      <c r="AF1128" s="1566"/>
      <c r="AG1128" s="1566">
        <v>4722318</v>
      </c>
      <c r="AH1128" s="1566"/>
      <c r="AI1128" s="1566"/>
      <c r="AJ1128" s="1566"/>
      <c r="AK1128" s="1566"/>
    </row>
    <row r="1129" spans="1:38" ht="9.1999999999999993" customHeight="1">
      <c r="J1129" s="1568"/>
      <c r="K1129" s="1568"/>
      <c r="L1129" s="1568"/>
    </row>
    <row r="1130" spans="1:38" ht="8.4499999999999993" customHeight="1">
      <c r="B1130" s="1568" t="s">
        <v>345</v>
      </c>
      <c r="C1130" s="1568"/>
      <c r="D1130" s="1568"/>
      <c r="E1130" s="1568" t="s">
        <v>3284</v>
      </c>
      <c r="F1130" s="1568"/>
      <c r="G1130" s="1568"/>
      <c r="H1130" s="1568"/>
      <c r="J1130" s="1568" t="s">
        <v>2421</v>
      </c>
      <c r="K1130" s="1568"/>
      <c r="L1130" s="1568"/>
      <c r="M1130" s="1566">
        <v>0</v>
      </c>
      <c r="N1130" s="1566"/>
      <c r="O1130" s="1566"/>
      <c r="P1130" s="1566">
        <v>78474</v>
      </c>
      <c r="Q1130" s="1566"/>
      <c r="R1130" s="1566"/>
      <c r="S1130" s="1566">
        <v>0</v>
      </c>
      <c r="T1130" s="1566"/>
      <c r="U1130" s="1566"/>
      <c r="V1130" s="1566"/>
      <c r="W1130" s="1566">
        <v>0</v>
      </c>
      <c r="X1130" s="1566"/>
      <c r="Y1130" s="1566"/>
      <c r="Z1130" s="1566"/>
      <c r="AA1130" s="1566">
        <v>0</v>
      </c>
      <c r="AB1130" s="1566"/>
      <c r="AC1130" s="1566"/>
      <c r="AD1130" s="1566"/>
      <c r="AE1130" s="1566"/>
      <c r="AF1130" s="1566"/>
      <c r="AG1130" s="1566">
        <v>78474</v>
      </c>
      <c r="AH1130" s="1566"/>
      <c r="AI1130" s="1566"/>
      <c r="AJ1130" s="1566"/>
      <c r="AK1130" s="1566"/>
    </row>
    <row r="1131" spans="1:38" ht="9.4" customHeight="1">
      <c r="B1131" s="1568" t="s">
        <v>345</v>
      </c>
      <c r="C1131" s="1568"/>
      <c r="D1131" s="1568"/>
      <c r="E1131" s="1568" t="s">
        <v>2429</v>
      </c>
      <c r="F1131" s="1568"/>
      <c r="G1131" s="1568"/>
      <c r="H1131" s="1568"/>
      <c r="J1131" s="1568" t="s">
        <v>2423</v>
      </c>
      <c r="K1131" s="1568"/>
      <c r="L1131" s="1568"/>
      <c r="M1131" s="1566">
        <v>0</v>
      </c>
      <c r="N1131" s="1566"/>
      <c r="O1131" s="1566"/>
      <c r="P1131" s="1566">
        <v>1548518</v>
      </c>
      <c r="Q1131" s="1566"/>
      <c r="R1131" s="1566"/>
      <c r="S1131" s="1566">
        <v>0</v>
      </c>
      <c r="T1131" s="1566"/>
      <c r="U1131" s="1566"/>
      <c r="V1131" s="1566"/>
      <c r="W1131" s="1566">
        <v>0</v>
      </c>
      <c r="X1131" s="1566"/>
      <c r="Y1131" s="1566"/>
      <c r="Z1131" s="1566"/>
      <c r="AA1131" s="1566">
        <v>0</v>
      </c>
      <c r="AB1131" s="1566"/>
      <c r="AC1131" s="1566"/>
      <c r="AD1131" s="1566"/>
      <c r="AE1131" s="1566"/>
      <c r="AF1131" s="1566"/>
      <c r="AG1131" s="1566">
        <v>1548518</v>
      </c>
      <c r="AH1131" s="1566"/>
      <c r="AI1131" s="1566"/>
      <c r="AJ1131" s="1566"/>
      <c r="AK1131" s="1566"/>
    </row>
    <row r="1132" spans="1:38" ht="16.7" customHeight="1"/>
    <row r="1133" spans="1:38" ht="14.1" customHeight="1">
      <c r="AG1133" s="1565" t="s">
        <v>2560</v>
      </c>
      <c r="AH1133" s="1565"/>
      <c r="AI1133" s="1565"/>
      <c r="AJ1133" s="1565"/>
      <c r="AK1133" s="1565"/>
      <c r="AL1133" s="1565"/>
    </row>
    <row r="1134" spans="1:38" ht="7.15" customHeight="1">
      <c r="D1134" s="1578" t="s">
        <v>2992</v>
      </c>
      <c r="E1134" s="1578"/>
      <c r="F1134" s="1578"/>
      <c r="G1134" s="1578"/>
      <c r="H1134" s="1578"/>
      <c r="I1134" s="1578"/>
      <c r="J1134" s="1578"/>
      <c r="K1134" s="1578"/>
      <c r="L1134" s="1578"/>
      <c r="M1134" s="1578"/>
      <c r="N1134" s="1578"/>
      <c r="O1134" s="1578"/>
      <c r="P1134" s="1578"/>
      <c r="Q1134" s="1578"/>
      <c r="R1134" s="1578"/>
      <c r="S1134" s="1578"/>
      <c r="T1134" s="1578"/>
      <c r="U1134" s="1578"/>
      <c r="V1134" s="1578"/>
      <c r="W1134" s="1578"/>
      <c r="X1134" s="1578"/>
      <c r="Y1134" s="1578"/>
      <c r="Z1134" s="1578"/>
      <c r="AA1134" s="1578"/>
      <c r="AB1134" s="1578"/>
      <c r="AC1134" s="1578"/>
      <c r="AD1134" s="1578"/>
      <c r="AE1134" s="1578"/>
      <c r="AF1134" s="1578"/>
      <c r="AG1134" s="1578"/>
      <c r="AH1134" s="1578"/>
    </row>
    <row r="1135" spans="1:38" ht="9.6" customHeight="1">
      <c r="A1135" s="1579"/>
      <c r="B1135" s="1579"/>
      <c r="C1135" s="1579"/>
      <c r="D1135" s="1579"/>
      <c r="E1135" s="1579"/>
      <c r="F1135" s="1579"/>
      <c r="G1135" s="1579"/>
      <c r="H1135" s="1579"/>
      <c r="I1135" s="1579"/>
      <c r="J1135" s="1578"/>
      <c r="K1135" s="1578"/>
      <c r="L1135" s="1578"/>
      <c r="M1135" s="1578"/>
      <c r="N1135" s="1578"/>
      <c r="O1135" s="1578"/>
      <c r="P1135" s="1578"/>
      <c r="Q1135" s="1578"/>
      <c r="R1135" s="1578"/>
      <c r="S1135" s="1578"/>
      <c r="T1135" s="1578"/>
      <c r="U1135" s="1578"/>
      <c r="V1135" s="1578"/>
      <c r="W1135" s="1578"/>
      <c r="X1135" s="1578"/>
      <c r="Y1135" s="1578"/>
      <c r="Z1135" s="1578"/>
      <c r="AA1135" s="1578"/>
      <c r="AB1135" s="1578"/>
      <c r="AC1135" s="1578"/>
      <c r="AD1135" s="1578"/>
      <c r="AE1135" s="1578"/>
      <c r="AF1135" s="1578"/>
      <c r="AG1135" s="1578"/>
      <c r="AH1135" s="1578"/>
    </row>
    <row r="1136" spans="1:38" ht="13.35" customHeight="1">
      <c r="A1136" s="1579"/>
      <c r="B1136" s="1579"/>
      <c r="C1136" s="1579"/>
      <c r="D1136" s="1579"/>
      <c r="E1136" s="1579"/>
      <c r="F1136" s="1579"/>
      <c r="G1136" s="1579"/>
      <c r="H1136" s="1579"/>
      <c r="I1136" s="1579"/>
      <c r="J1136" s="1580" t="s">
        <v>79</v>
      </c>
      <c r="K1136" s="1580"/>
      <c r="L1136" s="1580"/>
      <c r="M1136" s="1580"/>
      <c r="N1136" s="1580"/>
      <c r="O1136" s="1580"/>
      <c r="P1136" s="1580"/>
      <c r="Q1136" s="1580"/>
      <c r="R1136" s="1580"/>
      <c r="S1136" s="1580"/>
      <c r="T1136" s="1580"/>
      <c r="U1136" s="1580"/>
      <c r="V1136" s="1580"/>
      <c r="W1136" s="1580"/>
      <c r="X1136" s="1580"/>
      <c r="Y1136" s="1580"/>
      <c r="Z1136" s="1580"/>
      <c r="AA1136" s="1580"/>
      <c r="AB1136" s="1580"/>
      <c r="AC1136" s="1580"/>
      <c r="AD1136" s="1580"/>
      <c r="AE1136" s="1580"/>
      <c r="AF1136" s="1580"/>
    </row>
    <row r="1137" spans="1:38" ht="5.25" customHeight="1">
      <c r="A1137" s="1579"/>
      <c r="B1137" s="1579"/>
      <c r="C1137" s="1579"/>
      <c r="D1137" s="1579"/>
      <c r="E1137" s="1579"/>
      <c r="F1137" s="1579"/>
      <c r="G1137" s="1579"/>
      <c r="H1137" s="1579"/>
      <c r="I1137" s="1579"/>
      <c r="J1137" s="1573" t="s">
        <v>6760</v>
      </c>
      <c r="K1137" s="1573"/>
      <c r="L1137" s="1573"/>
      <c r="M1137" s="1573"/>
      <c r="N1137" s="1573"/>
      <c r="O1137" s="1573"/>
      <c r="P1137" s="1573"/>
      <c r="Q1137" s="1573"/>
      <c r="R1137" s="1573"/>
      <c r="S1137" s="1573"/>
      <c r="T1137" s="1573"/>
      <c r="U1137" s="1573"/>
      <c r="V1137" s="1573"/>
      <c r="W1137" s="1573"/>
      <c r="X1137" s="1573"/>
      <c r="Y1137" s="1573"/>
      <c r="Z1137" s="1573"/>
      <c r="AA1137" s="1573"/>
      <c r="AB1137" s="1573"/>
      <c r="AC1137" s="1573"/>
      <c r="AD1137" s="1573"/>
      <c r="AE1137" s="1573"/>
    </row>
    <row r="1138" spans="1:38" ht="8.1" customHeight="1">
      <c r="C1138" s="1572" t="s">
        <v>1920</v>
      </c>
      <c r="D1138" s="1572"/>
      <c r="E1138" s="1572"/>
      <c r="F1138" s="1572"/>
      <c r="G1138" s="1572"/>
      <c r="H1138" s="1572"/>
      <c r="I1138" s="1572"/>
      <c r="J1138" s="1572"/>
      <c r="K1138" s="1573"/>
      <c r="L1138" s="1573"/>
      <c r="M1138" s="1573"/>
      <c r="N1138" s="1573"/>
      <c r="O1138" s="1573"/>
      <c r="P1138" s="1573"/>
      <c r="Q1138" s="1573"/>
      <c r="R1138" s="1573"/>
      <c r="S1138" s="1573"/>
      <c r="T1138" s="1573"/>
      <c r="U1138" s="1573"/>
      <c r="V1138" s="1573"/>
      <c r="W1138" s="1573"/>
      <c r="X1138" s="1573"/>
      <c r="Y1138" s="1574" t="s">
        <v>5920</v>
      </c>
      <c r="Z1138" s="1574"/>
      <c r="AA1138" s="1574"/>
      <c r="AB1138" s="1574"/>
      <c r="AC1138" s="1574"/>
      <c r="AD1138" s="1574"/>
      <c r="AE1138" s="1574"/>
      <c r="AF1138" s="1574"/>
      <c r="AG1138" s="1574"/>
      <c r="AH1138" s="1575" t="s">
        <v>6761</v>
      </c>
      <c r="AI1138" s="1575"/>
      <c r="AJ1138" s="1575"/>
      <c r="AK1138" s="1575"/>
      <c r="AL1138" s="1575"/>
    </row>
    <row r="1139" spans="1:38" ht="6" customHeight="1">
      <c r="C1139" s="1572"/>
      <c r="D1139" s="1572"/>
      <c r="E1139" s="1572"/>
      <c r="F1139" s="1572"/>
      <c r="G1139" s="1572"/>
      <c r="H1139" s="1572"/>
      <c r="I1139" s="1572"/>
      <c r="J1139" s="1572"/>
      <c r="K1139" s="1576" t="s">
        <v>1999</v>
      </c>
      <c r="L1139" s="1576"/>
      <c r="M1139" s="1576"/>
      <c r="N1139" s="1576"/>
      <c r="O1139" s="1576"/>
      <c r="P1139" s="1576"/>
      <c r="Q1139" s="1576"/>
      <c r="R1139" s="1576"/>
      <c r="S1139" s="1576"/>
      <c r="T1139" s="1576"/>
      <c r="U1139" s="1576"/>
      <c r="V1139" s="1576"/>
      <c r="W1139" s="1576"/>
      <c r="X1139" s="1576"/>
      <c r="Y1139" s="1574"/>
      <c r="Z1139" s="1574"/>
      <c r="AA1139" s="1574"/>
      <c r="AB1139" s="1574"/>
      <c r="AC1139" s="1574"/>
      <c r="AD1139" s="1574"/>
      <c r="AE1139" s="1574"/>
      <c r="AF1139" s="1574"/>
      <c r="AG1139" s="1574"/>
      <c r="AH1139" s="1575"/>
      <c r="AI1139" s="1575"/>
      <c r="AJ1139" s="1575"/>
      <c r="AK1139" s="1575"/>
      <c r="AL1139" s="1575"/>
    </row>
    <row r="1140" spans="1:38" ht="7.35" customHeight="1">
      <c r="C1140" s="1572" t="s">
        <v>1998</v>
      </c>
      <c r="D1140" s="1572"/>
      <c r="E1140" s="1572"/>
      <c r="F1140" s="1572"/>
      <c r="G1140" s="1577"/>
      <c r="H1140" s="1577"/>
      <c r="I1140" s="1577"/>
      <c r="J1140" s="1577"/>
      <c r="K1140" s="1577"/>
      <c r="L1140" s="1577"/>
      <c r="M1140" s="1577"/>
      <c r="N1140" s="1577"/>
      <c r="O1140" s="1577"/>
      <c r="P1140" s="1577"/>
      <c r="Q1140" s="1577"/>
      <c r="R1140" s="1577"/>
      <c r="S1140" s="1577"/>
      <c r="T1140" s="1577"/>
      <c r="U1140" s="1577"/>
      <c r="V1140" s="1577"/>
      <c r="W1140" s="1577"/>
      <c r="X1140" s="1577"/>
      <c r="Y1140" s="1577"/>
      <c r="Z1140" s="1577"/>
      <c r="AA1140" s="1577"/>
      <c r="AB1140" s="1577"/>
      <c r="AC1140" s="1577"/>
      <c r="AD1140" s="1577"/>
      <c r="AE1140" s="1577"/>
      <c r="AF1140" s="1574"/>
      <c r="AG1140" s="1574"/>
      <c r="AH1140" s="1574" t="s">
        <v>6762</v>
      </c>
      <c r="AI1140" s="1574"/>
    </row>
    <row r="1141" spans="1:38" ht="6.75" customHeight="1">
      <c r="G1141" s="1577"/>
      <c r="H1141" s="1577"/>
      <c r="I1141" s="1577"/>
      <c r="J1141" s="1577"/>
      <c r="K1141" s="1577"/>
      <c r="L1141" s="1577"/>
      <c r="M1141" s="1577"/>
      <c r="N1141" s="1577"/>
      <c r="O1141" s="1577"/>
      <c r="P1141" s="1577"/>
      <c r="Q1141" s="1577"/>
      <c r="R1141" s="1577"/>
      <c r="S1141" s="1577"/>
      <c r="T1141" s="1577"/>
      <c r="U1141" s="1577"/>
      <c r="V1141" s="1577"/>
      <c r="W1141" s="1577"/>
      <c r="X1141" s="1577"/>
      <c r="Y1141" s="1577"/>
      <c r="Z1141" s="1577"/>
      <c r="AA1141" s="1577"/>
      <c r="AB1141" s="1577"/>
      <c r="AC1141" s="1577"/>
      <c r="AD1141" s="1577"/>
      <c r="AE1141" s="1577"/>
      <c r="AF1141" s="1574"/>
      <c r="AG1141" s="1574"/>
      <c r="AH1141" s="1574"/>
      <c r="AI1141" s="1574"/>
    </row>
    <row r="1142" spans="1:38" ht="11.25" customHeight="1">
      <c r="O1142" s="1570" t="s">
        <v>1318</v>
      </c>
      <c r="P1142" s="1570"/>
      <c r="Q1142" s="1570"/>
      <c r="V1142" s="1570" t="s">
        <v>1319</v>
      </c>
      <c r="W1142" s="1570"/>
      <c r="X1142" s="1570"/>
      <c r="Y1142" s="1570"/>
      <c r="AD1142" s="1570" t="s">
        <v>1320</v>
      </c>
      <c r="AE1142" s="1570"/>
      <c r="AF1142" s="1570"/>
      <c r="AG1142" s="1570"/>
      <c r="AH1142" s="1570"/>
      <c r="AI1142" s="1570"/>
      <c r="AJ1142" s="1570"/>
    </row>
    <row r="1143" spans="1:38" ht="8.4499999999999993" customHeight="1">
      <c r="B1143" s="1571" t="s">
        <v>1321</v>
      </c>
      <c r="C1143" s="1571"/>
      <c r="D1143" s="1571"/>
      <c r="E1143" s="1571" t="s">
        <v>1322</v>
      </c>
      <c r="F1143" s="1571"/>
      <c r="G1143" s="1571"/>
      <c r="J1143" s="1571" t="s">
        <v>1323</v>
      </c>
      <c r="K1143" s="1571"/>
      <c r="L1143" s="1571"/>
      <c r="M1143" s="1571"/>
      <c r="N1143" s="1571"/>
      <c r="O1143" s="1402" t="s">
        <v>1324</v>
      </c>
      <c r="Q1143" s="1569" t="s">
        <v>1325</v>
      </c>
      <c r="R1143" s="1569"/>
      <c r="U1143" s="1569" t="s">
        <v>1324</v>
      </c>
      <c r="V1143" s="1569"/>
      <c r="X1143" s="1569" t="s">
        <v>1325</v>
      </c>
      <c r="Y1143" s="1569"/>
      <c r="Z1143" s="1569"/>
      <c r="AC1143" s="1569" t="s">
        <v>1324</v>
      </c>
      <c r="AD1143" s="1569"/>
      <c r="AE1143" s="1569"/>
      <c r="AF1143" s="1569"/>
      <c r="AH1143" s="1569" t="s">
        <v>1325</v>
      </c>
      <c r="AI1143" s="1569"/>
      <c r="AJ1143" s="1569"/>
      <c r="AK1143" s="1569"/>
    </row>
    <row r="1144" spans="1:38" ht="9.9499999999999993" customHeight="1">
      <c r="B1144" s="1568" t="s">
        <v>345</v>
      </c>
      <c r="C1144" s="1568"/>
      <c r="D1144" s="1568"/>
      <c r="E1144" s="1568" t="s">
        <v>2430</v>
      </c>
      <c r="F1144" s="1568"/>
      <c r="G1144" s="1568"/>
      <c r="H1144" s="1568"/>
      <c r="J1144" s="1568" t="s">
        <v>2428</v>
      </c>
      <c r="K1144" s="1568"/>
      <c r="L1144" s="1568"/>
      <c r="M1144" s="1566">
        <v>0</v>
      </c>
      <c r="N1144" s="1566"/>
      <c r="O1144" s="1566"/>
      <c r="P1144" s="1566">
        <v>2215935</v>
      </c>
      <c r="Q1144" s="1566"/>
      <c r="R1144" s="1566"/>
      <c r="S1144" s="1566">
        <v>0</v>
      </c>
      <c r="T1144" s="1566"/>
      <c r="U1144" s="1566"/>
      <c r="V1144" s="1566"/>
      <c r="W1144" s="1566">
        <v>0</v>
      </c>
      <c r="X1144" s="1566"/>
      <c r="Y1144" s="1566"/>
      <c r="Z1144" s="1566"/>
      <c r="AA1144" s="1566">
        <v>0</v>
      </c>
      <c r="AB1144" s="1566"/>
      <c r="AC1144" s="1566"/>
      <c r="AD1144" s="1566"/>
      <c r="AE1144" s="1566"/>
      <c r="AF1144" s="1566"/>
      <c r="AG1144" s="1566">
        <v>2215935</v>
      </c>
      <c r="AH1144" s="1566"/>
      <c r="AI1144" s="1566"/>
      <c r="AJ1144" s="1566"/>
      <c r="AK1144" s="1566"/>
    </row>
    <row r="1145" spans="1:38" ht="9.1999999999999993" customHeight="1">
      <c r="J1145" s="1568"/>
      <c r="K1145" s="1568"/>
      <c r="L1145" s="1568"/>
    </row>
    <row r="1146" spans="1:38" ht="8.4499999999999993" customHeight="1">
      <c r="B1146" s="1568" t="s">
        <v>345</v>
      </c>
      <c r="C1146" s="1568"/>
      <c r="D1146" s="1568"/>
      <c r="E1146" s="1568" t="s">
        <v>3285</v>
      </c>
      <c r="F1146" s="1568"/>
      <c r="G1146" s="1568"/>
      <c r="H1146" s="1568"/>
      <c r="J1146" s="1568" t="s">
        <v>2421</v>
      </c>
      <c r="K1146" s="1568"/>
      <c r="L1146" s="1568"/>
      <c r="M1146" s="1566">
        <v>0</v>
      </c>
      <c r="N1146" s="1566"/>
      <c r="O1146" s="1566"/>
      <c r="P1146" s="1566">
        <v>102246</v>
      </c>
      <c r="Q1146" s="1566"/>
      <c r="R1146" s="1566"/>
      <c r="S1146" s="1566">
        <v>0</v>
      </c>
      <c r="T1146" s="1566"/>
      <c r="U1146" s="1566"/>
      <c r="V1146" s="1566"/>
      <c r="W1146" s="1566">
        <v>0</v>
      </c>
      <c r="X1146" s="1566"/>
      <c r="Y1146" s="1566"/>
      <c r="Z1146" s="1566"/>
      <c r="AA1146" s="1566">
        <v>0</v>
      </c>
      <c r="AB1146" s="1566"/>
      <c r="AC1146" s="1566"/>
      <c r="AD1146" s="1566"/>
      <c r="AE1146" s="1566"/>
      <c r="AF1146" s="1566"/>
      <c r="AG1146" s="1566">
        <v>102246</v>
      </c>
      <c r="AH1146" s="1566"/>
      <c r="AI1146" s="1566"/>
      <c r="AJ1146" s="1566"/>
      <c r="AK1146" s="1566"/>
    </row>
    <row r="1147" spans="1:38" ht="9.4" customHeight="1">
      <c r="B1147" s="1568" t="s">
        <v>345</v>
      </c>
      <c r="C1147" s="1568"/>
      <c r="D1147" s="1568"/>
      <c r="E1147" s="1568" t="s">
        <v>2431</v>
      </c>
      <c r="F1147" s="1568"/>
      <c r="G1147" s="1568"/>
      <c r="H1147" s="1568"/>
      <c r="J1147" s="1568" t="s">
        <v>2423</v>
      </c>
      <c r="K1147" s="1568"/>
      <c r="L1147" s="1568"/>
      <c r="M1147" s="1566">
        <v>0</v>
      </c>
      <c r="N1147" s="1566"/>
      <c r="O1147" s="1566"/>
      <c r="P1147" s="1566">
        <v>972000</v>
      </c>
      <c r="Q1147" s="1566"/>
      <c r="R1147" s="1566"/>
      <c r="S1147" s="1566">
        <v>0</v>
      </c>
      <c r="T1147" s="1566"/>
      <c r="U1147" s="1566"/>
      <c r="V1147" s="1566"/>
      <c r="W1147" s="1566">
        <v>0</v>
      </c>
      <c r="X1147" s="1566"/>
      <c r="Y1147" s="1566"/>
      <c r="Z1147" s="1566"/>
      <c r="AA1147" s="1566">
        <v>0</v>
      </c>
      <c r="AB1147" s="1566"/>
      <c r="AC1147" s="1566"/>
      <c r="AD1147" s="1566"/>
      <c r="AE1147" s="1566"/>
      <c r="AF1147" s="1566"/>
      <c r="AG1147" s="1566">
        <v>972000</v>
      </c>
      <c r="AH1147" s="1566"/>
      <c r="AI1147" s="1566"/>
      <c r="AJ1147" s="1566"/>
      <c r="AK1147" s="1566"/>
    </row>
    <row r="1148" spans="1:38" ht="9.4" customHeight="1">
      <c r="B1148" s="1568" t="s">
        <v>345</v>
      </c>
      <c r="C1148" s="1568"/>
      <c r="D1148" s="1568"/>
      <c r="E1148" s="1568" t="s">
        <v>2432</v>
      </c>
      <c r="F1148" s="1568"/>
      <c r="G1148" s="1568"/>
      <c r="H1148" s="1568"/>
      <c r="J1148" s="1568" t="s">
        <v>2428</v>
      </c>
      <c r="K1148" s="1568"/>
      <c r="L1148" s="1568"/>
      <c r="M1148" s="1566">
        <v>0</v>
      </c>
      <c r="N1148" s="1566"/>
      <c r="O1148" s="1566"/>
      <c r="P1148" s="1566">
        <v>1009967</v>
      </c>
      <c r="Q1148" s="1566"/>
      <c r="R1148" s="1566"/>
      <c r="S1148" s="1566">
        <v>0</v>
      </c>
      <c r="T1148" s="1566"/>
      <c r="U1148" s="1566"/>
      <c r="V1148" s="1566"/>
      <c r="W1148" s="1566">
        <v>0</v>
      </c>
      <c r="X1148" s="1566"/>
      <c r="Y1148" s="1566"/>
      <c r="Z1148" s="1566"/>
      <c r="AA1148" s="1566">
        <v>0</v>
      </c>
      <c r="AB1148" s="1566"/>
      <c r="AC1148" s="1566"/>
      <c r="AD1148" s="1566"/>
      <c r="AE1148" s="1566"/>
      <c r="AF1148" s="1566"/>
      <c r="AG1148" s="1566">
        <v>1009967</v>
      </c>
      <c r="AH1148" s="1566"/>
      <c r="AI1148" s="1566"/>
      <c r="AJ1148" s="1566"/>
      <c r="AK1148" s="1566"/>
    </row>
    <row r="1149" spans="1:38" ht="9.1999999999999993" customHeight="1">
      <c r="J1149" s="1568"/>
      <c r="K1149" s="1568"/>
      <c r="L1149" s="1568"/>
    </row>
    <row r="1150" spans="1:38" ht="8.4499999999999993" customHeight="1">
      <c r="B1150" s="1568" t="s">
        <v>345</v>
      </c>
      <c r="C1150" s="1568"/>
      <c r="D1150" s="1568"/>
      <c r="E1150" s="1568" t="s">
        <v>2433</v>
      </c>
      <c r="F1150" s="1568"/>
      <c r="G1150" s="1568"/>
      <c r="H1150" s="1568"/>
      <c r="J1150" s="1568" t="s">
        <v>2428</v>
      </c>
      <c r="K1150" s="1568"/>
      <c r="L1150" s="1568"/>
      <c r="M1150" s="1566">
        <v>0</v>
      </c>
      <c r="N1150" s="1566"/>
      <c r="O1150" s="1566"/>
      <c r="P1150" s="1566">
        <v>300000</v>
      </c>
      <c r="Q1150" s="1566"/>
      <c r="R1150" s="1566"/>
      <c r="S1150" s="1566">
        <v>0</v>
      </c>
      <c r="T1150" s="1566"/>
      <c r="U1150" s="1566"/>
      <c r="V1150" s="1566"/>
      <c r="W1150" s="1566">
        <v>0</v>
      </c>
      <c r="X1150" s="1566"/>
      <c r="Y1150" s="1566"/>
      <c r="Z1150" s="1566"/>
      <c r="AA1150" s="1566">
        <v>0</v>
      </c>
      <c r="AB1150" s="1566"/>
      <c r="AC1150" s="1566"/>
      <c r="AD1150" s="1566"/>
      <c r="AE1150" s="1566"/>
      <c r="AF1150" s="1566"/>
      <c r="AG1150" s="1566">
        <v>300000</v>
      </c>
      <c r="AH1150" s="1566"/>
      <c r="AI1150" s="1566"/>
      <c r="AJ1150" s="1566"/>
      <c r="AK1150" s="1566"/>
    </row>
    <row r="1151" spans="1:38" ht="9.1999999999999993" customHeight="1">
      <c r="J1151" s="1568"/>
      <c r="K1151" s="1568"/>
      <c r="L1151" s="1568"/>
    </row>
    <row r="1152" spans="1:38" ht="8.4499999999999993" customHeight="1">
      <c r="B1152" s="1568" t="s">
        <v>345</v>
      </c>
      <c r="C1152" s="1568"/>
      <c r="D1152" s="1568"/>
      <c r="E1152" s="1568" t="s">
        <v>3286</v>
      </c>
      <c r="F1152" s="1568"/>
      <c r="G1152" s="1568"/>
      <c r="H1152" s="1568"/>
      <c r="J1152" s="1568" t="s">
        <v>2421</v>
      </c>
      <c r="K1152" s="1568"/>
      <c r="L1152" s="1568"/>
      <c r="M1152" s="1566">
        <v>0</v>
      </c>
      <c r="N1152" s="1566"/>
      <c r="O1152" s="1566"/>
      <c r="P1152" s="1566">
        <v>57059</v>
      </c>
      <c r="Q1152" s="1566"/>
      <c r="R1152" s="1566"/>
      <c r="S1152" s="1566">
        <v>0</v>
      </c>
      <c r="T1152" s="1566"/>
      <c r="U1152" s="1566"/>
      <c r="V1152" s="1566"/>
      <c r="W1152" s="1566">
        <v>0</v>
      </c>
      <c r="X1152" s="1566"/>
      <c r="Y1152" s="1566"/>
      <c r="Z1152" s="1566"/>
      <c r="AA1152" s="1566">
        <v>0</v>
      </c>
      <c r="AB1152" s="1566"/>
      <c r="AC1152" s="1566"/>
      <c r="AD1152" s="1566"/>
      <c r="AE1152" s="1566"/>
      <c r="AF1152" s="1566"/>
      <c r="AG1152" s="1566">
        <v>57059</v>
      </c>
      <c r="AH1152" s="1566"/>
      <c r="AI1152" s="1566"/>
      <c r="AJ1152" s="1566"/>
      <c r="AK1152" s="1566"/>
    </row>
    <row r="1153" spans="2:37" ht="9.4" customHeight="1">
      <c r="B1153" s="1568" t="s">
        <v>345</v>
      </c>
      <c r="C1153" s="1568"/>
      <c r="D1153" s="1568"/>
      <c r="E1153" s="1568" t="s">
        <v>2434</v>
      </c>
      <c r="F1153" s="1568"/>
      <c r="G1153" s="1568"/>
      <c r="H1153" s="1568"/>
      <c r="J1153" s="1568" t="s">
        <v>2423</v>
      </c>
      <c r="K1153" s="1568"/>
      <c r="L1153" s="1568"/>
      <c r="M1153" s="1566">
        <v>0</v>
      </c>
      <c r="N1153" s="1566"/>
      <c r="O1153" s="1566"/>
      <c r="P1153" s="1566">
        <v>176400</v>
      </c>
      <c r="Q1153" s="1566"/>
      <c r="R1153" s="1566"/>
      <c r="S1153" s="1566">
        <v>0</v>
      </c>
      <c r="T1153" s="1566"/>
      <c r="U1153" s="1566"/>
      <c r="V1153" s="1566"/>
      <c r="W1153" s="1566">
        <v>0</v>
      </c>
      <c r="X1153" s="1566"/>
      <c r="Y1153" s="1566"/>
      <c r="Z1153" s="1566"/>
      <c r="AA1153" s="1566">
        <v>0</v>
      </c>
      <c r="AB1153" s="1566"/>
      <c r="AC1153" s="1566"/>
      <c r="AD1153" s="1566"/>
      <c r="AE1153" s="1566"/>
      <c r="AF1153" s="1566"/>
      <c r="AG1153" s="1566">
        <v>176400</v>
      </c>
      <c r="AH1153" s="1566"/>
      <c r="AI1153" s="1566"/>
      <c r="AJ1153" s="1566"/>
      <c r="AK1153" s="1566"/>
    </row>
    <row r="1154" spans="2:37" ht="9.4" customHeight="1">
      <c r="B1154" s="1568" t="s">
        <v>345</v>
      </c>
      <c r="C1154" s="1568"/>
      <c r="D1154" s="1568"/>
      <c r="E1154" s="1568" t="s">
        <v>2435</v>
      </c>
      <c r="F1154" s="1568"/>
      <c r="G1154" s="1568"/>
      <c r="H1154" s="1568"/>
      <c r="J1154" s="1568" t="s">
        <v>2428</v>
      </c>
      <c r="K1154" s="1568"/>
      <c r="L1154" s="1568"/>
      <c r="M1154" s="1566">
        <v>0</v>
      </c>
      <c r="N1154" s="1566"/>
      <c r="O1154" s="1566"/>
      <c r="P1154" s="1566">
        <v>1198557</v>
      </c>
      <c r="Q1154" s="1566"/>
      <c r="R1154" s="1566"/>
      <c r="S1154" s="1566">
        <v>0</v>
      </c>
      <c r="T1154" s="1566"/>
      <c r="U1154" s="1566"/>
      <c r="V1154" s="1566"/>
      <c r="W1154" s="1566">
        <v>0</v>
      </c>
      <c r="X1154" s="1566"/>
      <c r="Y1154" s="1566"/>
      <c r="Z1154" s="1566"/>
      <c r="AA1154" s="1566">
        <v>0</v>
      </c>
      <c r="AB1154" s="1566"/>
      <c r="AC1154" s="1566"/>
      <c r="AD1154" s="1566"/>
      <c r="AE1154" s="1566"/>
      <c r="AF1154" s="1566"/>
      <c r="AG1154" s="1566">
        <v>1198557</v>
      </c>
      <c r="AH1154" s="1566"/>
      <c r="AI1154" s="1566"/>
      <c r="AJ1154" s="1566"/>
      <c r="AK1154" s="1566"/>
    </row>
    <row r="1155" spans="2:37" ht="9.1999999999999993" customHeight="1">
      <c r="J1155" s="1568"/>
      <c r="K1155" s="1568"/>
      <c r="L1155" s="1568"/>
    </row>
    <row r="1156" spans="2:37" ht="8.4499999999999993" customHeight="1">
      <c r="B1156" s="1568" t="s">
        <v>345</v>
      </c>
      <c r="C1156" s="1568"/>
      <c r="D1156" s="1568"/>
      <c r="E1156" s="1568" t="s">
        <v>3287</v>
      </c>
      <c r="F1156" s="1568"/>
      <c r="G1156" s="1568"/>
      <c r="H1156" s="1568"/>
      <c r="J1156" s="1568" t="s">
        <v>2421</v>
      </c>
      <c r="K1156" s="1568"/>
      <c r="L1156" s="1568"/>
      <c r="M1156" s="1566">
        <v>0</v>
      </c>
      <c r="N1156" s="1566"/>
      <c r="O1156" s="1566"/>
      <c r="P1156" s="1566">
        <v>55860</v>
      </c>
      <c r="Q1156" s="1566"/>
      <c r="R1156" s="1566"/>
      <c r="S1156" s="1566">
        <v>0</v>
      </c>
      <c r="T1156" s="1566"/>
      <c r="U1156" s="1566"/>
      <c r="V1156" s="1566"/>
      <c r="W1156" s="1566">
        <v>0</v>
      </c>
      <c r="X1156" s="1566"/>
      <c r="Y1156" s="1566"/>
      <c r="Z1156" s="1566"/>
      <c r="AA1156" s="1566">
        <v>0</v>
      </c>
      <c r="AB1156" s="1566"/>
      <c r="AC1156" s="1566"/>
      <c r="AD1156" s="1566"/>
      <c r="AE1156" s="1566"/>
      <c r="AF1156" s="1566"/>
      <c r="AG1156" s="1566">
        <v>55860</v>
      </c>
      <c r="AH1156" s="1566"/>
      <c r="AI1156" s="1566"/>
      <c r="AJ1156" s="1566"/>
      <c r="AK1156" s="1566"/>
    </row>
    <row r="1157" spans="2:37" ht="9.4" customHeight="1">
      <c r="B1157" s="1568" t="s">
        <v>345</v>
      </c>
      <c r="C1157" s="1568"/>
      <c r="D1157" s="1568"/>
      <c r="E1157" s="1568" t="s">
        <v>2436</v>
      </c>
      <c r="F1157" s="1568"/>
      <c r="G1157" s="1568"/>
      <c r="H1157" s="1568"/>
      <c r="J1157" s="1568" t="s">
        <v>2423</v>
      </c>
      <c r="K1157" s="1568"/>
      <c r="L1157" s="1568"/>
      <c r="M1157" s="1566">
        <v>0</v>
      </c>
      <c r="N1157" s="1566"/>
      <c r="O1157" s="1566"/>
      <c r="P1157" s="1566">
        <v>571915</v>
      </c>
      <c r="Q1157" s="1566"/>
      <c r="R1157" s="1566"/>
      <c r="S1157" s="1566">
        <v>0</v>
      </c>
      <c r="T1157" s="1566"/>
      <c r="U1157" s="1566"/>
      <c r="V1157" s="1566"/>
      <c r="W1157" s="1566">
        <v>0</v>
      </c>
      <c r="X1157" s="1566"/>
      <c r="Y1157" s="1566"/>
      <c r="Z1157" s="1566"/>
      <c r="AA1157" s="1566">
        <v>0</v>
      </c>
      <c r="AB1157" s="1566"/>
      <c r="AC1157" s="1566"/>
      <c r="AD1157" s="1566"/>
      <c r="AE1157" s="1566"/>
      <c r="AF1157" s="1566"/>
      <c r="AG1157" s="1566">
        <v>571915</v>
      </c>
      <c r="AH1157" s="1566"/>
      <c r="AI1157" s="1566"/>
      <c r="AJ1157" s="1566"/>
      <c r="AK1157" s="1566"/>
    </row>
    <row r="1158" spans="2:37" ht="9.4" customHeight="1">
      <c r="B1158" s="1568" t="s">
        <v>345</v>
      </c>
      <c r="C1158" s="1568"/>
      <c r="D1158" s="1568"/>
      <c r="E1158" s="1568" t="s">
        <v>2437</v>
      </c>
      <c r="F1158" s="1568"/>
      <c r="G1158" s="1568"/>
      <c r="H1158" s="1568"/>
      <c r="J1158" s="1568" t="s">
        <v>2428</v>
      </c>
      <c r="K1158" s="1568"/>
      <c r="L1158" s="1568"/>
      <c r="M1158" s="1566">
        <v>0</v>
      </c>
      <c r="N1158" s="1566"/>
      <c r="O1158" s="1566"/>
      <c r="P1158" s="1566">
        <v>748328</v>
      </c>
      <c r="Q1158" s="1566"/>
      <c r="R1158" s="1566"/>
      <c r="S1158" s="1566">
        <v>0</v>
      </c>
      <c r="T1158" s="1566"/>
      <c r="U1158" s="1566"/>
      <c r="V1158" s="1566"/>
      <c r="W1158" s="1566">
        <v>0</v>
      </c>
      <c r="X1158" s="1566"/>
      <c r="Y1158" s="1566"/>
      <c r="Z1158" s="1566"/>
      <c r="AA1158" s="1566">
        <v>0</v>
      </c>
      <c r="AB1158" s="1566"/>
      <c r="AC1158" s="1566"/>
      <c r="AD1158" s="1566"/>
      <c r="AE1158" s="1566"/>
      <c r="AF1158" s="1566"/>
      <c r="AG1158" s="1566">
        <v>748328</v>
      </c>
      <c r="AH1158" s="1566"/>
      <c r="AI1158" s="1566"/>
      <c r="AJ1158" s="1566"/>
      <c r="AK1158" s="1566"/>
    </row>
    <row r="1159" spans="2:37" ht="9.1999999999999993" customHeight="1">
      <c r="J1159" s="1568"/>
      <c r="K1159" s="1568"/>
      <c r="L1159" s="1568"/>
    </row>
    <row r="1160" spans="2:37" ht="8.4499999999999993" customHeight="1">
      <c r="B1160" s="1568" t="s">
        <v>345</v>
      </c>
      <c r="C1160" s="1568"/>
      <c r="D1160" s="1568"/>
      <c r="E1160" s="1568" t="s">
        <v>2438</v>
      </c>
      <c r="F1160" s="1568"/>
      <c r="G1160" s="1568"/>
      <c r="H1160" s="1568"/>
      <c r="J1160" s="1568" t="s">
        <v>2392</v>
      </c>
      <c r="K1160" s="1568"/>
      <c r="L1160" s="1568"/>
      <c r="M1160" s="1566">
        <v>0</v>
      </c>
      <c r="N1160" s="1566"/>
      <c r="O1160" s="1566"/>
      <c r="P1160" s="1566">
        <v>747835</v>
      </c>
      <c r="Q1160" s="1566"/>
      <c r="R1160" s="1566"/>
      <c r="S1160" s="1566">
        <v>0</v>
      </c>
      <c r="T1160" s="1566"/>
      <c r="U1160" s="1566"/>
      <c r="V1160" s="1566"/>
      <c r="W1160" s="1566">
        <v>0</v>
      </c>
      <c r="X1160" s="1566"/>
      <c r="Y1160" s="1566"/>
      <c r="Z1160" s="1566"/>
      <c r="AA1160" s="1566">
        <v>0</v>
      </c>
      <c r="AB1160" s="1566"/>
      <c r="AC1160" s="1566"/>
      <c r="AD1160" s="1566"/>
      <c r="AE1160" s="1566"/>
      <c r="AF1160" s="1566"/>
      <c r="AG1160" s="1566">
        <v>747835</v>
      </c>
      <c r="AH1160" s="1566"/>
      <c r="AI1160" s="1566"/>
      <c r="AJ1160" s="1566"/>
      <c r="AK1160" s="1566"/>
    </row>
    <row r="1161" spans="2:37" ht="9.4" customHeight="1">
      <c r="B1161" s="1568" t="s">
        <v>345</v>
      </c>
      <c r="C1161" s="1568"/>
      <c r="D1161" s="1568"/>
      <c r="E1161" s="1568" t="s">
        <v>2439</v>
      </c>
      <c r="F1161" s="1568"/>
      <c r="G1161" s="1568"/>
      <c r="H1161" s="1568"/>
      <c r="J1161" s="1568" t="s">
        <v>2395</v>
      </c>
      <c r="K1161" s="1568"/>
      <c r="L1161" s="1568"/>
      <c r="M1161" s="1566">
        <v>0</v>
      </c>
      <c r="N1161" s="1566"/>
      <c r="O1161" s="1566"/>
      <c r="P1161" s="1566">
        <v>105112</v>
      </c>
      <c r="Q1161" s="1566"/>
      <c r="R1161" s="1566"/>
      <c r="S1161" s="1566">
        <v>0</v>
      </c>
      <c r="T1161" s="1566"/>
      <c r="U1161" s="1566"/>
      <c r="V1161" s="1566"/>
      <c r="W1161" s="1566">
        <v>0</v>
      </c>
      <c r="X1161" s="1566"/>
      <c r="Y1161" s="1566"/>
      <c r="Z1161" s="1566"/>
      <c r="AA1161" s="1566">
        <v>0</v>
      </c>
      <c r="AB1161" s="1566"/>
      <c r="AC1161" s="1566"/>
      <c r="AD1161" s="1566"/>
      <c r="AE1161" s="1566"/>
      <c r="AF1161" s="1566"/>
      <c r="AG1161" s="1566">
        <v>105112</v>
      </c>
      <c r="AH1161" s="1566"/>
      <c r="AI1161" s="1566"/>
      <c r="AJ1161" s="1566"/>
      <c r="AK1161" s="1566"/>
    </row>
    <row r="1162" spans="2:37" ht="9.4" customHeight="1">
      <c r="B1162" s="1568" t="s">
        <v>345</v>
      </c>
      <c r="C1162" s="1568"/>
      <c r="D1162" s="1568"/>
      <c r="E1162" s="1568" t="s">
        <v>2440</v>
      </c>
      <c r="F1162" s="1568"/>
      <c r="G1162" s="1568"/>
      <c r="H1162" s="1568"/>
      <c r="J1162" s="1568" t="s">
        <v>2397</v>
      </c>
      <c r="K1162" s="1568"/>
      <c r="L1162" s="1568"/>
      <c r="M1162" s="1566">
        <v>0</v>
      </c>
      <c r="N1162" s="1566"/>
      <c r="O1162" s="1566"/>
      <c r="P1162" s="1566">
        <v>10387</v>
      </c>
      <c r="Q1162" s="1566"/>
      <c r="R1162" s="1566"/>
      <c r="S1162" s="1566">
        <v>0</v>
      </c>
      <c r="T1162" s="1566"/>
      <c r="U1162" s="1566"/>
      <c r="V1162" s="1566"/>
      <c r="W1162" s="1566">
        <v>0</v>
      </c>
      <c r="X1162" s="1566"/>
      <c r="Y1162" s="1566"/>
      <c r="Z1162" s="1566"/>
      <c r="AA1162" s="1566">
        <v>0</v>
      </c>
      <c r="AB1162" s="1566"/>
      <c r="AC1162" s="1566"/>
      <c r="AD1162" s="1566"/>
      <c r="AE1162" s="1566"/>
      <c r="AF1162" s="1566"/>
      <c r="AG1162" s="1566">
        <v>10387</v>
      </c>
      <c r="AH1162" s="1566"/>
      <c r="AI1162" s="1566"/>
      <c r="AJ1162" s="1566"/>
      <c r="AK1162" s="1566"/>
    </row>
    <row r="1163" spans="2:37" ht="9.4" customHeight="1">
      <c r="B1163" s="1568" t="s">
        <v>345</v>
      </c>
      <c r="C1163" s="1568"/>
      <c r="D1163" s="1568"/>
      <c r="E1163" s="1568" t="s">
        <v>3288</v>
      </c>
      <c r="F1163" s="1568"/>
      <c r="G1163" s="1568"/>
      <c r="H1163" s="1568"/>
      <c r="J1163" s="1568" t="s">
        <v>2460</v>
      </c>
      <c r="K1163" s="1568"/>
      <c r="L1163" s="1568"/>
      <c r="M1163" s="1566">
        <v>0</v>
      </c>
      <c r="N1163" s="1566"/>
      <c r="O1163" s="1566"/>
      <c r="P1163" s="1566">
        <v>110382</v>
      </c>
      <c r="Q1163" s="1566"/>
      <c r="R1163" s="1566"/>
      <c r="S1163" s="1566">
        <v>0</v>
      </c>
      <c r="T1163" s="1566"/>
      <c r="U1163" s="1566"/>
      <c r="V1163" s="1566"/>
      <c r="W1163" s="1566">
        <v>0</v>
      </c>
      <c r="X1163" s="1566"/>
      <c r="Y1163" s="1566"/>
      <c r="Z1163" s="1566"/>
      <c r="AA1163" s="1566">
        <v>0</v>
      </c>
      <c r="AB1163" s="1566"/>
      <c r="AC1163" s="1566"/>
      <c r="AD1163" s="1566"/>
      <c r="AE1163" s="1566"/>
      <c r="AF1163" s="1566"/>
      <c r="AG1163" s="1566">
        <v>110382</v>
      </c>
      <c r="AH1163" s="1566"/>
      <c r="AI1163" s="1566"/>
      <c r="AJ1163" s="1566"/>
      <c r="AK1163" s="1566"/>
    </row>
    <row r="1164" spans="2:37" ht="9.4" customHeight="1">
      <c r="B1164" s="1568" t="s">
        <v>345</v>
      </c>
      <c r="C1164" s="1568"/>
      <c r="D1164" s="1568"/>
      <c r="E1164" s="1568" t="s">
        <v>2441</v>
      </c>
      <c r="F1164" s="1568"/>
      <c r="G1164" s="1568"/>
      <c r="H1164" s="1568"/>
      <c r="J1164" s="1568" t="s">
        <v>2399</v>
      </c>
      <c r="K1164" s="1568"/>
      <c r="L1164" s="1568"/>
      <c r="M1164" s="1566">
        <v>0</v>
      </c>
      <c r="N1164" s="1566"/>
      <c r="O1164" s="1566"/>
      <c r="P1164" s="1566">
        <v>36000</v>
      </c>
      <c r="Q1164" s="1566"/>
      <c r="R1164" s="1566"/>
      <c r="S1164" s="1566">
        <v>0</v>
      </c>
      <c r="T1164" s="1566"/>
      <c r="U1164" s="1566"/>
      <c r="V1164" s="1566"/>
      <c r="W1164" s="1566">
        <v>0</v>
      </c>
      <c r="X1164" s="1566"/>
      <c r="Y1164" s="1566"/>
      <c r="Z1164" s="1566"/>
      <c r="AA1164" s="1566">
        <v>0</v>
      </c>
      <c r="AB1164" s="1566"/>
      <c r="AC1164" s="1566"/>
      <c r="AD1164" s="1566"/>
      <c r="AE1164" s="1566"/>
      <c r="AF1164" s="1566"/>
      <c r="AG1164" s="1566">
        <v>36000</v>
      </c>
      <c r="AH1164" s="1566"/>
      <c r="AI1164" s="1566"/>
      <c r="AJ1164" s="1566"/>
      <c r="AK1164" s="1566"/>
    </row>
    <row r="1165" spans="2:37" ht="9.4" customHeight="1">
      <c r="B1165" s="1568" t="s">
        <v>345</v>
      </c>
      <c r="C1165" s="1568"/>
      <c r="D1165" s="1568"/>
      <c r="E1165" s="1568" t="s">
        <v>2442</v>
      </c>
      <c r="F1165" s="1568"/>
      <c r="G1165" s="1568"/>
      <c r="H1165" s="1568"/>
      <c r="J1165" s="1568" t="s">
        <v>2401</v>
      </c>
      <c r="K1165" s="1568"/>
      <c r="L1165" s="1568"/>
      <c r="M1165" s="1566">
        <v>0</v>
      </c>
      <c r="N1165" s="1566"/>
      <c r="O1165" s="1566"/>
      <c r="P1165" s="1566">
        <v>127132</v>
      </c>
      <c r="Q1165" s="1566"/>
      <c r="R1165" s="1566"/>
      <c r="S1165" s="1566">
        <v>0</v>
      </c>
      <c r="T1165" s="1566"/>
      <c r="U1165" s="1566"/>
      <c r="V1165" s="1566"/>
      <c r="W1165" s="1566">
        <v>0</v>
      </c>
      <c r="X1165" s="1566"/>
      <c r="Y1165" s="1566"/>
      <c r="Z1165" s="1566"/>
      <c r="AA1165" s="1566">
        <v>0</v>
      </c>
      <c r="AB1165" s="1566"/>
      <c r="AC1165" s="1566"/>
      <c r="AD1165" s="1566"/>
      <c r="AE1165" s="1566"/>
      <c r="AF1165" s="1566"/>
      <c r="AG1165" s="1566">
        <v>127132</v>
      </c>
      <c r="AH1165" s="1566"/>
      <c r="AI1165" s="1566"/>
      <c r="AJ1165" s="1566"/>
      <c r="AK1165" s="1566"/>
    </row>
    <row r="1166" spans="2:37" ht="9.4" customHeight="1">
      <c r="B1166" s="1568" t="s">
        <v>345</v>
      </c>
      <c r="C1166" s="1568"/>
      <c r="D1166" s="1568"/>
      <c r="E1166" s="1568" t="s">
        <v>2443</v>
      </c>
      <c r="F1166" s="1568"/>
      <c r="G1166" s="1568"/>
      <c r="H1166" s="1568"/>
      <c r="J1166" s="1568" t="s">
        <v>2403</v>
      </c>
      <c r="K1166" s="1568"/>
      <c r="L1166" s="1568"/>
      <c r="M1166" s="1566">
        <v>0</v>
      </c>
      <c r="N1166" s="1566"/>
      <c r="O1166" s="1566"/>
      <c r="P1166" s="1566">
        <v>5610</v>
      </c>
      <c r="Q1166" s="1566"/>
      <c r="R1166" s="1566"/>
      <c r="S1166" s="1566">
        <v>0</v>
      </c>
      <c r="T1166" s="1566"/>
      <c r="U1166" s="1566"/>
      <c r="V1166" s="1566"/>
      <c r="W1166" s="1566">
        <v>0</v>
      </c>
      <c r="X1166" s="1566"/>
      <c r="Y1166" s="1566"/>
      <c r="Z1166" s="1566"/>
      <c r="AA1166" s="1566">
        <v>0</v>
      </c>
      <c r="AB1166" s="1566"/>
      <c r="AC1166" s="1566"/>
      <c r="AD1166" s="1566"/>
      <c r="AE1166" s="1566"/>
      <c r="AF1166" s="1566"/>
      <c r="AG1166" s="1566">
        <v>5610</v>
      </c>
      <c r="AH1166" s="1566"/>
      <c r="AI1166" s="1566"/>
      <c r="AJ1166" s="1566"/>
      <c r="AK1166" s="1566"/>
    </row>
    <row r="1167" spans="2:37" ht="9.4" customHeight="1">
      <c r="B1167" s="1568" t="s">
        <v>345</v>
      </c>
      <c r="C1167" s="1568"/>
      <c r="D1167" s="1568"/>
      <c r="E1167" s="1568" t="s">
        <v>2445</v>
      </c>
      <c r="F1167" s="1568"/>
      <c r="G1167" s="1568"/>
      <c r="H1167" s="1568"/>
      <c r="J1167" s="1568" t="s">
        <v>2405</v>
      </c>
      <c r="K1167" s="1568"/>
      <c r="L1167" s="1568"/>
      <c r="M1167" s="1566">
        <v>0</v>
      </c>
      <c r="N1167" s="1566"/>
      <c r="O1167" s="1566"/>
      <c r="P1167" s="1566">
        <v>84982</v>
      </c>
      <c r="Q1167" s="1566"/>
      <c r="R1167" s="1566"/>
      <c r="S1167" s="1566">
        <v>0</v>
      </c>
      <c r="T1167" s="1566"/>
      <c r="U1167" s="1566"/>
      <c r="V1167" s="1566"/>
      <c r="W1167" s="1566">
        <v>0</v>
      </c>
      <c r="X1167" s="1566"/>
      <c r="Y1167" s="1566"/>
      <c r="Z1167" s="1566"/>
      <c r="AA1167" s="1566">
        <v>0</v>
      </c>
      <c r="AB1167" s="1566"/>
      <c r="AC1167" s="1566"/>
      <c r="AD1167" s="1566"/>
      <c r="AE1167" s="1566"/>
      <c r="AF1167" s="1566"/>
      <c r="AG1167" s="1566">
        <v>84982</v>
      </c>
      <c r="AH1167" s="1566"/>
      <c r="AI1167" s="1566"/>
      <c r="AJ1167" s="1566"/>
      <c r="AK1167" s="1566"/>
    </row>
    <row r="1168" spans="2:37" ht="9.4" customHeight="1">
      <c r="B1168" s="1568" t="s">
        <v>345</v>
      </c>
      <c r="C1168" s="1568"/>
      <c r="D1168" s="1568"/>
      <c r="E1168" s="1568" t="s">
        <v>2446</v>
      </c>
      <c r="F1168" s="1568"/>
      <c r="G1168" s="1568"/>
      <c r="H1168" s="1568"/>
      <c r="J1168" s="1568" t="s">
        <v>2407</v>
      </c>
      <c r="K1168" s="1568"/>
      <c r="L1168" s="1568"/>
      <c r="M1168" s="1566">
        <v>0</v>
      </c>
      <c r="N1168" s="1566"/>
      <c r="O1168" s="1566"/>
      <c r="P1168" s="1566">
        <v>81587</v>
      </c>
      <c r="Q1168" s="1566"/>
      <c r="R1168" s="1566"/>
      <c r="S1168" s="1566">
        <v>0</v>
      </c>
      <c r="T1168" s="1566"/>
      <c r="U1168" s="1566"/>
      <c r="V1168" s="1566"/>
      <c r="W1168" s="1566">
        <v>0</v>
      </c>
      <c r="X1168" s="1566"/>
      <c r="Y1168" s="1566"/>
      <c r="Z1168" s="1566"/>
      <c r="AA1168" s="1566">
        <v>0</v>
      </c>
      <c r="AB1168" s="1566"/>
      <c r="AC1168" s="1566"/>
      <c r="AD1168" s="1566"/>
      <c r="AE1168" s="1566"/>
      <c r="AF1168" s="1566"/>
      <c r="AG1168" s="1566">
        <v>81587</v>
      </c>
      <c r="AH1168" s="1566"/>
      <c r="AI1168" s="1566"/>
      <c r="AJ1168" s="1566"/>
      <c r="AK1168" s="1566"/>
    </row>
    <row r="1169" spans="2:37" ht="9.4" customHeight="1">
      <c r="B1169" s="1568" t="s">
        <v>345</v>
      </c>
      <c r="C1169" s="1568"/>
      <c r="D1169" s="1568"/>
      <c r="E1169" s="1568" t="s">
        <v>2447</v>
      </c>
      <c r="F1169" s="1568"/>
      <c r="G1169" s="1568"/>
      <c r="H1169" s="1568"/>
      <c r="J1169" s="1568" t="s">
        <v>2448</v>
      </c>
      <c r="K1169" s="1568"/>
      <c r="L1169" s="1568"/>
      <c r="M1169" s="1566">
        <v>0</v>
      </c>
      <c r="N1169" s="1566"/>
      <c r="O1169" s="1566"/>
      <c r="P1169" s="1566">
        <v>52000000</v>
      </c>
      <c r="Q1169" s="1566"/>
      <c r="R1169" s="1566"/>
      <c r="S1169" s="1566">
        <v>0</v>
      </c>
      <c r="T1169" s="1566"/>
      <c r="U1169" s="1566"/>
      <c r="V1169" s="1566"/>
      <c r="W1169" s="1566">
        <v>0</v>
      </c>
      <c r="X1169" s="1566"/>
      <c r="Y1169" s="1566"/>
      <c r="Z1169" s="1566"/>
      <c r="AA1169" s="1566">
        <v>0</v>
      </c>
      <c r="AB1169" s="1566"/>
      <c r="AC1169" s="1566"/>
      <c r="AD1169" s="1566"/>
      <c r="AE1169" s="1566"/>
      <c r="AF1169" s="1566"/>
      <c r="AG1169" s="1566">
        <v>52000000</v>
      </c>
      <c r="AH1169" s="1566"/>
      <c r="AI1169" s="1566"/>
      <c r="AJ1169" s="1566"/>
      <c r="AK1169" s="1566"/>
    </row>
    <row r="1170" spans="2:37" ht="9.4" customHeight="1">
      <c r="B1170" s="1568" t="s">
        <v>345</v>
      </c>
      <c r="C1170" s="1568"/>
      <c r="D1170" s="1568"/>
      <c r="E1170" s="1568" t="s">
        <v>2449</v>
      </c>
      <c r="F1170" s="1568"/>
      <c r="G1170" s="1568"/>
      <c r="H1170" s="1568"/>
      <c r="J1170" s="1568" t="s">
        <v>2450</v>
      </c>
      <c r="K1170" s="1568"/>
      <c r="L1170" s="1568"/>
      <c r="M1170" s="1566">
        <v>0</v>
      </c>
      <c r="N1170" s="1566"/>
      <c r="O1170" s="1566"/>
      <c r="P1170" s="1566">
        <v>4000000</v>
      </c>
      <c r="Q1170" s="1566"/>
      <c r="R1170" s="1566"/>
      <c r="S1170" s="1566">
        <v>0</v>
      </c>
      <c r="T1170" s="1566"/>
      <c r="U1170" s="1566"/>
      <c r="V1170" s="1566"/>
      <c r="W1170" s="1566">
        <v>0</v>
      </c>
      <c r="X1170" s="1566"/>
      <c r="Y1170" s="1566"/>
      <c r="Z1170" s="1566"/>
      <c r="AA1170" s="1566">
        <v>0</v>
      </c>
      <c r="AB1170" s="1566"/>
      <c r="AC1170" s="1566"/>
      <c r="AD1170" s="1566"/>
      <c r="AE1170" s="1566"/>
      <c r="AF1170" s="1566"/>
      <c r="AG1170" s="1566">
        <v>4000000</v>
      </c>
      <c r="AH1170" s="1566"/>
      <c r="AI1170" s="1566"/>
      <c r="AJ1170" s="1566"/>
      <c r="AK1170" s="1566"/>
    </row>
    <row r="1171" spans="2:37" ht="9.4" customHeight="1">
      <c r="B1171" s="1568" t="s">
        <v>345</v>
      </c>
      <c r="C1171" s="1568"/>
      <c r="D1171" s="1568"/>
      <c r="E1171" s="1568" t="s">
        <v>2451</v>
      </c>
      <c r="F1171" s="1568"/>
      <c r="G1171" s="1568"/>
      <c r="H1171" s="1568"/>
      <c r="J1171" s="1568" t="s">
        <v>2448</v>
      </c>
      <c r="K1171" s="1568"/>
      <c r="L1171" s="1568"/>
      <c r="M1171" s="1566">
        <v>0</v>
      </c>
      <c r="N1171" s="1566"/>
      <c r="O1171" s="1566"/>
      <c r="P1171" s="1566">
        <v>5200000</v>
      </c>
      <c r="Q1171" s="1566"/>
      <c r="R1171" s="1566"/>
      <c r="S1171" s="1566">
        <v>0</v>
      </c>
      <c r="T1171" s="1566"/>
      <c r="U1171" s="1566"/>
      <c r="V1171" s="1566"/>
      <c r="W1171" s="1566">
        <v>0</v>
      </c>
      <c r="X1171" s="1566"/>
      <c r="Y1171" s="1566"/>
      <c r="Z1171" s="1566"/>
      <c r="AA1171" s="1566">
        <v>0</v>
      </c>
      <c r="AB1171" s="1566"/>
      <c r="AC1171" s="1566"/>
      <c r="AD1171" s="1566"/>
      <c r="AE1171" s="1566"/>
      <c r="AF1171" s="1566"/>
      <c r="AG1171" s="1566">
        <v>5200000</v>
      </c>
      <c r="AH1171" s="1566"/>
      <c r="AI1171" s="1566"/>
      <c r="AJ1171" s="1566"/>
      <c r="AK1171" s="1566"/>
    </row>
    <row r="1172" spans="2:37" ht="9.4" customHeight="1">
      <c r="B1172" s="1568" t="s">
        <v>345</v>
      </c>
      <c r="C1172" s="1568"/>
      <c r="D1172" s="1568"/>
      <c r="E1172" s="1568" t="s">
        <v>2452</v>
      </c>
      <c r="F1172" s="1568"/>
      <c r="G1172" s="1568"/>
      <c r="H1172" s="1568"/>
      <c r="J1172" s="1568" t="s">
        <v>2450</v>
      </c>
      <c r="K1172" s="1568"/>
      <c r="L1172" s="1568"/>
      <c r="M1172" s="1566">
        <v>0</v>
      </c>
      <c r="N1172" s="1566"/>
      <c r="O1172" s="1566"/>
      <c r="P1172" s="1566">
        <v>1600000</v>
      </c>
      <c r="Q1172" s="1566"/>
      <c r="R1172" s="1566"/>
      <c r="S1172" s="1566">
        <v>0</v>
      </c>
      <c r="T1172" s="1566"/>
      <c r="U1172" s="1566"/>
      <c r="V1172" s="1566"/>
      <c r="W1172" s="1566">
        <v>0</v>
      </c>
      <c r="X1172" s="1566"/>
      <c r="Y1172" s="1566"/>
      <c r="Z1172" s="1566"/>
      <c r="AA1172" s="1566">
        <v>0</v>
      </c>
      <c r="AB1172" s="1566"/>
      <c r="AC1172" s="1566"/>
      <c r="AD1172" s="1566"/>
      <c r="AE1172" s="1566"/>
      <c r="AF1172" s="1566"/>
      <c r="AG1172" s="1566">
        <v>1600000</v>
      </c>
      <c r="AH1172" s="1566"/>
      <c r="AI1172" s="1566"/>
      <c r="AJ1172" s="1566"/>
      <c r="AK1172" s="1566"/>
    </row>
    <row r="1173" spans="2:37" ht="9.4" customHeight="1">
      <c r="B1173" s="1568" t="s">
        <v>345</v>
      </c>
      <c r="C1173" s="1568"/>
      <c r="D1173" s="1568"/>
      <c r="E1173" s="1568" t="s">
        <v>2453</v>
      </c>
      <c r="F1173" s="1568"/>
      <c r="G1173" s="1568"/>
      <c r="H1173" s="1568"/>
      <c r="J1173" s="1568" t="s">
        <v>2448</v>
      </c>
      <c r="K1173" s="1568"/>
      <c r="L1173" s="1568"/>
      <c r="M1173" s="1566">
        <v>0</v>
      </c>
      <c r="N1173" s="1566"/>
      <c r="O1173" s="1566"/>
      <c r="P1173" s="1566">
        <v>1600000</v>
      </c>
      <c r="Q1173" s="1566"/>
      <c r="R1173" s="1566"/>
      <c r="S1173" s="1566">
        <v>0</v>
      </c>
      <c r="T1173" s="1566"/>
      <c r="U1173" s="1566"/>
      <c r="V1173" s="1566"/>
      <c r="W1173" s="1566">
        <v>0</v>
      </c>
      <c r="X1173" s="1566"/>
      <c r="Y1173" s="1566"/>
      <c r="Z1173" s="1566"/>
      <c r="AA1173" s="1566">
        <v>0</v>
      </c>
      <c r="AB1173" s="1566"/>
      <c r="AC1173" s="1566"/>
      <c r="AD1173" s="1566"/>
      <c r="AE1173" s="1566"/>
      <c r="AF1173" s="1566"/>
      <c r="AG1173" s="1566">
        <v>1600000</v>
      </c>
      <c r="AH1173" s="1566"/>
      <c r="AI1173" s="1566"/>
      <c r="AJ1173" s="1566"/>
      <c r="AK1173" s="1566"/>
    </row>
    <row r="1174" spans="2:37" ht="9.4" customHeight="1">
      <c r="B1174" s="1568" t="s">
        <v>345</v>
      </c>
      <c r="C1174" s="1568"/>
      <c r="D1174" s="1568"/>
      <c r="E1174" s="1568" t="s">
        <v>2454</v>
      </c>
      <c r="F1174" s="1568"/>
      <c r="G1174" s="1568"/>
      <c r="H1174" s="1568"/>
      <c r="J1174" s="1568" t="s">
        <v>2450</v>
      </c>
      <c r="K1174" s="1568"/>
      <c r="L1174" s="1568"/>
      <c r="M1174" s="1566">
        <v>0</v>
      </c>
      <c r="N1174" s="1566"/>
      <c r="O1174" s="1566"/>
      <c r="P1174" s="1566">
        <v>1600000</v>
      </c>
      <c r="Q1174" s="1566"/>
      <c r="R1174" s="1566"/>
      <c r="S1174" s="1566">
        <v>0</v>
      </c>
      <c r="T1174" s="1566"/>
      <c r="U1174" s="1566"/>
      <c r="V1174" s="1566"/>
      <c r="W1174" s="1566">
        <v>0</v>
      </c>
      <c r="X1174" s="1566"/>
      <c r="Y1174" s="1566"/>
      <c r="Z1174" s="1566"/>
      <c r="AA1174" s="1566">
        <v>0</v>
      </c>
      <c r="AB1174" s="1566"/>
      <c r="AC1174" s="1566"/>
      <c r="AD1174" s="1566"/>
      <c r="AE1174" s="1566"/>
      <c r="AF1174" s="1566"/>
      <c r="AG1174" s="1566">
        <v>1600000</v>
      </c>
      <c r="AH1174" s="1566"/>
      <c r="AI1174" s="1566"/>
      <c r="AJ1174" s="1566"/>
      <c r="AK1174" s="1566"/>
    </row>
    <row r="1175" spans="2:37" ht="9.4" customHeight="1">
      <c r="B1175" s="1568" t="s">
        <v>345</v>
      </c>
      <c r="C1175" s="1568"/>
      <c r="D1175" s="1568"/>
      <c r="E1175" s="1568" t="s">
        <v>2455</v>
      </c>
      <c r="F1175" s="1568"/>
      <c r="G1175" s="1568"/>
      <c r="H1175" s="1568"/>
      <c r="J1175" s="1568" t="s">
        <v>2448</v>
      </c>
      <c r="K1175" s="1568"/>
      <c r="L1175" s="1568"/>
      <c r="M1175" s="1566">
        <v>0</v>
      </c>
      <c r="N1175" s="1566"/>
      <c r="O1175" s="1566"/>
      <c r="P1175" s="1566">
        <v>1200000</v>
      </c>
      <c r="Q1175" s="1566"/>
      <c r="R1175" s="1566"/>
      <c r="S1175" s="1566">
        <v>0</v>
      </c>
      <c r="T1175" s="1566"/>
      <c r="U1175" s="1566"/>
      <c r="V1175" s="1566"/>
      <c r="W1175" s="1566">
        <v>0</v>
      </c>
      <c r="X1175" s="1566"/>
      <c r="Y1175" s="1566"/>
      <c r="Z1175" s="1566"/>
      <c r="AA1175" s="1566">
        <v>0</v>
      </c>
      <c r="AB1175" s="1566"/>
      <c r="AC1175" s="1566"/>
      <c r="AD1175" s="1566"/>
      <c r="AE1175" s="1566"/>
      <c r="AF1175" s="1566"/>
      <c r="AG1175" s="1566">
        <v>1200000</v>
      </c>
      <c r="AH1175" s="1566"/>
      <c r="AI1175" s="1566"/>
      <c r="AJ1175" s="1566"/>
      <c r="AK1175" s="1566"/>
    </row>
    <row r="1176" spans="2:37" ht="9.4" customHeight="1">
      <c r="B1176" s="1568" t="s">
        <v>345</v>
      </c>
      <c r="C1176" s="1568"/>
      <c r="D1176" s="1568"/>
      <c r="E1176" s="1568" t="s">
        <v>2456</v>
      </c>
      <c r="F1176" s="1568"/>
      <c r="G1176" s="1568"/>
      <c r="H1176" s="1568"/>
      <c r="J1176" s="1568" t="s">
        <v>2450</v>
      </c>
      <c r="K1176" s="1568"/>
      <c r="L1176" s="1568"/>
      <c r="M1176" s="1566">
        <v>0</v>
      </c>
      <c r="N1176" s="1566"/>
      <c r="O1176" s="1566"/>
      <c r="P1176" s="1566">
        <v>800000</v>
      </c>
      <c r="Q1176" s="1566"/>
      <c r="R1176" s="1566"/>
      <c r="S1176" s="1566">
        <v>0</v>
      </c>
      <c r="T1176" s="1566"/>
      <c r="U1176" s="1566"/>
      <c r="V1176" s="1566"/>
      <c r="W1176" s="1566">
        <v>0</v>
      </c>
      <c r="X1176" s="1566"/>
      <c r="Y1176" s="1566"/>
      <c r="Z1176" s="1566"/>
      <c r="AA1176" s="1566">
        <v>0</v>
      </c>
      <c r="AB1176" s="1566"/>
      <c r="AC1176" s="1566"/>
      <c r="AD1176" s="1566"/>
      <c r="AE1176" s="1566"/>
      <c r="AF1176" s="1566"/>
      <c r="AG1176" s="1566">
        <v>800000</v>
      </c>
      <c r="AH1176" s="1566"/>
      <c r="AI1176" s="1566"/>
      <c r="AJ1176" s="1566"/>
      <c r="AK1176" s="1566"/>
    </row>
    <row r="1177" spans="2:37" ht="9.4" customHeight="1">
      <c r="B1177" s="1568" t="s">
        <v>345</v>
      </c>
      <c r="C1177" s="1568"/>
      <c r="D1177" s="1568"/>
      <c r="E1177" s="1568" t="s">
        <v>2457</v>
      </c>
      <c r="F1177" s="1568"/>
      <c r="G1177" s="1568"/>
      <c r="H1177" s="1568"/>
      <c r="J1177" s="1568" t="s">
        <v>2392</v>
      </c>
      <c r="K1177" s="1568"/>
      <c r="L1177" s="1568"/>
      <c r="M1177" s="1566">
        <v>0</v>
      </c>
      <c r="N1177" s="1566"/>
      <c r="O1177" s="1566"/>
      <c r="P1177" s="1566">
        <v>4892958</v>
      </c>
      <c r="Q1177" s="1566"/>
      <c r="R1177" s="1566"/>
      <c r="S1177" s="1566">
        <v>0</v>
      </c>
      <c r="T1177" s="1566"/>
      <c r="U1177" s="1566"/>
      <c r="V1177" s="1566"/>
      <c r="W1177" s="1566">
        <v>0</v>
      </c>
      <c r="X1177" s="1566"/>
      <c r="Y1177" s="1566"/>
      <c r="Z1177" s="1566"/>
      <c r="AA1177" s="1566">
        <v>0</v>
      </c>
      <c r="AB1177" s="1566"/>
      <c r="AC1177" s="1566"/>
      <c r="AD1177" s="1566"/>
      <c r="AE1177" s="1566"/>
      <c r="AF1177" s="1566"/>
      <c r="AG1177" s="1566">
        <v>4892958</v>
      </c>
      <c r="AH1177" s="1566"/>
      <c r="AI1177" s="1566"/>
      <c r="AJ1177" s="1566"/>
      <c r="AK1177" s="1566"/>
    </row>
    <row r="1178" spans="2:37" ht="9.4" customHeight="1">
      <c r="B1178" s="1568" t="s">
        <v>345</v>
      </c>
      <c r="C1178" s="1568"/>
      <c r="D1178" s="1568"/>
      <c r="E1178" s="1568" t="s">
        <v>2458</v>
      </c>
      <c r="F1178" s="1568"/>
      <c r="G1178" s="1568"/>
      <c r="H1178" s="1568"/>
      <c r="J1178" s="1568" t="s">
        <v>2395</v>
      </c>
      <c r="K1178" s="1568"/>
      <c r="L1178" s="1568"/>
      <c r="M1178" s="1566">
        <v>0</v>
      </c>
      <c r="N1178" s="1566"/>
      <c r="O1178" s="1566"/>
      <c r="P1178" s="1566">
        <v>687732</v>
      </c>
      <c r="Q1178" s="1566"/>
      <c r="R1178" s="1566"/>
      <c r="S1178" s="1566">
        <v>0</v>
      </c>
      <c r="T1178" s="1566"/>
      <c r="U1178" s="1566"/>
      <c r="V1178" s="1566"/>
      <c r="W1178" s="1566">
        <v>0</v>
      </c>
      <c r="X1178" s="1566"/>
      <c r="Y1178" s="1566"/>
      <c r="Z1178" s="1566"/>
      <c r="AA1178" s="1566">
        <v>0</v>
      </c>
      <c r="AB1178" s="1566"/>
      <c r="AC1178" s="1566"/>
      <c r="AD1178" s="1566"/>
      <c r="AE1178" s="1566"/>
      <c r="AF1178" s="1566"/>
      <c r="AG1178" s="1566">
        <v>687732</v>
      </c>
      <c r="AH1178" s="1566"/>
      <c r="AI1178" s="1566"/>
      <c r="AJ1178" s="1566"/>
      <c r="AK1178" s="1566"/>
    </row>
    <row r="1179" spans="2:37" ht="9.4" customHeight="1">
      <c r="B1179" s="1568" t="s">
        <v>345</v>
      </c>
      <c r="C1179" s="1568"/>
      <c r="D1179" s="1568"/>
      <c r="E1179" s="1568" t="s">
        <v>2459</v>
      </c>
      <c r="F1179" s="1568"/>
      <c r="G1179" s="1568"/>
      <c r="H1179" s="1568"/>
      <c r="J1179" s="1568" t="s">
        <v>2397</v>
      </c>
      <c r="K1179" s="1568"/>
      <c r="L1179" s="1568"/>
      <c r="M1179" s="1566">
        <v>0</v>
      </c>
      <c r="N1179" s="1566"/>
      <c r="O1179" s="1566"/>
      <c r="P1179" s="1566">
        <v>67958</v>
      </c>
      <c r="Q1179" s="1566"/>
      <c r="R1179" s="1566"/>
      <c r="S1179" s="1566">
        <v>0</v>
      </c>
      <c r="T1179" s="1566"/>
      <c r="U1179" s="1566"/>
      <c r="V1179" s="1566"/>
      <c r="W1179" s="1566">
        <v>0</v>
      </c>
      <c r="X1179" s="1566"/>
      <c r="Y1179" s="1566"/>
      <c r="Z1179" s="1566"/>
      <c r="AA1179" s="1566">
        <v>0</v>
      </c>
      <c r="AB1179" s="1566"/>
      <c r="AC1179" s="1566"/>
      <c r="AD1179" s="1566"/>
      <c r="AE1179" s="1566"/>
      <c r="AF1179" s="1566"/>
      <c r="AG1179" s="1566">
        <v>67958</v>
      </c>
      <c r="AH1179" s="1566"/>
      <c r="AI1179" s="1566"/>
      <c r="AJ1179" s="1566"/>
      <c r="AK1179" s="1566"/>
    </row>
    <row r="1180" spans="2:37" ht="9.4" customHeight="1">
      <c r="B1180" s="1568" t="s">
        <v>345</v>
      </c>
      <c r="C1180" s="1568"/>
      <c r="D1180" s="1568"/>
      <c r="E1180" s="1568" t="s">
        <v>2461</v>
      </c>
      <c r="F1180" s="1568"/>
      <c r="G1180" s="1568"/>
      <c r="H1180" s="1568"/>
      <c r="J1180" s="1568" t="s">
        <v>2399</v>
      </c>
      <c r="K1180" s="1568"/>
      <c r="L1180" s="1568"/>
      <c r="M1180" s="1566">
        <v>0</v>
      </c>
      <c r="N1180" s="1566"/>
      <c r="O1180" s="1566"/>
      <c r="P1180" s="1566">
        <v>96000</v>
      </c>
      <c r="Q1180" s="1566"/>
      <c r="R1180" s="1566"/>
      <c r="S1180" s="1566">
        <v>0</v>
      </c>
      <c r="T1180" s="1566"/>
      <c r="U1180" s="1566"/>
      <c r="V1180" s="1566"/>
      <c r="W1180" s="1566">
        <v>0</v>
      </c>
      <c r="X1180" s="1566"/>
      <c r="Y1180" s="1566"/>
      <c r="Z1180" s="1566"/>
      <c r="AA1180" s="1566">
        <v>0</v>
      </c>
      <c r="AB1180" s="1566"/>
      <c r="AC1180" s="1566"/>
      <c r="AD1180" s="1566"/>
      <c r="AE1180" s="1566"/>
      <c r="AF1180" s="1566"/>
      <c r="AG1180" s="1566">
        <v>96000</v>
      </c>
      <c r="AH1180" s="1566"/>
      <c r="AI1180" s="1566"/>
      <c r="AJ1180" s="1566"/>
      <c r="AK1180" s="1566"/>
    </row>
    <row r="1181" spans="2:37" ht="9.4" customHeight="1">
      <c r="B1181" s="1568" t="s">
        <v>345</v>
      </c>
      <c r="C1181" s="1568"/>
      <c r="D1181" s="1568"/>
      <c r="E1181" s="1568" t="s">
        <v>2462</v>
      </c>
      <c r="F1181" s="1568"/>
      <c r="G1181" s="1568"/>
      <c r="H1181" s="1568"/>
      <c r="J1181" s="1568" t="s">
        <v>2401</v>
      </c>
      <c r="K1181" s="1568"/>
      <c r="L1181" s="1568"/>
      <c r="M1181" s="1566">
        <v>0</v>
      </c>
      <c r="N1181" s="1566"/>
      <c r="O1181" s="1566"/>
      <c r="P1181" s="1566">
        <v>831803</v>
      </c>
      <c r="Q1181" s="1566"/>
      <c r="R1181" s="1566"/>
      <c r="S1181" s="1566">
        <v>0</v>
      </c>
      <c r="T1181" s="1566"/>
      <c r="U1181" s="1566"/>
      <c r="V1181" s="1566"/>
      <c r="W1181" s="1566">
        <v>0</v>
      </c>
      <c r="X1181" s="1566"/>
      <c r="Y1181" s="1566"/>
      <c r="Z1181" s="1566"/>
      <c r="AA1181" s="1566">
        <v>0</v>
      </c>
      <c r="AB1181" s="1566"/>
      <c r="AC1181" s="1566"/>
      <c r="AD1181" s="1566"/>
      <c r="AE1181" s="1566"/>
      <c r="AF1181" s="1566"/>
      <c r="AG1181" s="1566">
        <v>831803</v>
      </c>
      <c r="AH1181" s="1566"/>
      <c r="AI1181" s="1566"/>
      <c r="AJ1181" s="1566"/>
      <c r="AK1181" s="1566"/>
    </row>
    <row r="1182" spans="2:37" ht="9.4" customHeight="1">
      <c r="B1182" s="1568" t="s">
        <v>345</v>
      </c>
      <c r="C1182" s="1568"/>
      <c r="D1182" s="1568"/>
      <c r="E1182" s="1568" t="s">
        <v>2463</v>
      </c>
      <c r="F1182" s="1568"/>
      <c r="G1182" s="1568"/>
      <c r="H1182" s="1568"/>
      <c r="J1182" s="1568" t="s">
        <v>2403</v>
      </c>
      <c r="K1182" s="1568"/>
      <c r="L1182" s="1568"/>
      <c r="M1182" s="1566">
        <v>0</v>
      </c>
      <c r="N1182" s="1566"/>
      <c r="O1182" s="1566"/>
      <c r="P1182" s="1566">
        <v>19610</v>
      </c>
      <c r="Q1182" s="1566"/>
      <c r="R1182" s="1566"/>
      <c r="S1182" s="1566">
        <v>0</v>
      </c>
      <c r="T1182" s="1566"/>
      <c r="U1182" s="1566"/>
      <c r="V1182" s="1566"/>
      <c r="W1182" s="1566">
        <v>0</v>
      </c>
      <c r="X1182" s="1566"/>
      <c r="Y1182" s="1566"/>
      <c r="Z1182" s="1566"/>
      <c r="AA1182" s="1566">
        <v>0</v>
      </c>
      <c r="AB1182" s="1566"/>
      <c r="AC1182" s="1566"/>
      <c r="AD1182" s="1566"/>
      <c r="AE1182" s="1566"/>
      <c r="AF1182" s="1566"/>
      <c r="AG1182" s="1566">
        <v>19610</v>
      </c>
      <c r="AH1182" s="1566"/>
      <c r="AI1182" s="1566"/>
      <c r="AJ1182" s="1566"/>
      <c r="AK1182" s="1566"/>
    </row>
    <row r="1183" spans="2:37" ht="9.4" customHeight="1">
      <c r="B1183" s="1568" t="s">
        <v>345</v>
      </c>
      <c r="C1183" s="1568"/>
      <c r="D1183" s="1568"/>
      <c r="E1183" s="1568" t="s">
        <v>2464</v>
      </c>
      <c r="F1183" s="1568"/>
      <c r="G1183" s="1568"/>
      <c r="H1183" s="1568"/>
      <c r="J1183" s="1568" t="s">
        <v>2405</v>
      </c>
      <c r="K1183" s="1568"/>
      <c r="L1183" s="1568"/>
      <c r="M1183" s="1566">
        <v>0</v>
      </c>
      <c r="N1183" s="1566"/>
      <c r="O1183" s="1566"/>
      <c r="P1183" s="1566">
        <v>342576</v>
      </c>
      <c r="Q1183" s="1566"/>
      <c r="R1183" s="1566"/>
      <c r="S1183" s="1566">
        <v>0</v>
      </c>
      <c r="T1183" s="1566"/>
      <c r="U1183" s="1566"/>
      <c r="V1183" s="1566"/>
      <c r="W1183" s="1566">
        <v>0</v>
      </c>
      <c r="X1183" s="1566"/>
      <c r="Y1183" s="1566"/>
      <c r="Z1183" s="1566"/>
      <c r="AA1183" s="1566">
        <v>0</v>
      </c>
      <c r="AB1183" s="1566"/>
      <c r="AC1183" s="1566"/>
      <c r="AD1183" s="1566"/>
      <c r="AE1183" s="1566"/>
      <c r="AF1183" s="1566"/>
      <c r="AG1183" s="1566">
        <v>342576</v>
      </c>
      <c r="AH1183" s="1566"/>
      <c r="AI1183" s="1566"/>
      <c r="AJ1183" s="1566"/>
      <c r="AK1183" s="1566"/>
    </row>
    <row r="1184" spans="2:37" ht="9.4" customHeight="1">
      <c r="B1184" s="1568" t="s">
        <v>345</v>
      </c>
      <c r="C1184" s="1568"/>
      <c r="D1184" s="1568"/>
      <c r="E1184" s="1568" t="s">
        <v>2465</v>
      </c>
      <c r="F1184" s="1568"/>
      <c r="G1184" s="1568"/>
      <c r="H1184" s="1568"/>
      <c r="J1184" s="1568" t="s">
        <v>2407</v>
      </c>
      <c r="K1184" s="1568"/>
      <c r="L1184" s="1568"/>
      <c r="M1184" s="1566">
        <v>0</v>
      </c>
      <c r="N1184" s="1566"/>
      <c r="O1184" s="1566"/>
      <c r="P1184" s="1566">
        <v>263520</v>
      </c>
      <c r="Q1184" s="1566"/>
      <c r="R1184" s="1566"/>
      <c r="S1184" s="1566">
        <v>0</v>
      </c>
      <c r="T1184" s="1566"/>
      <c r="U1184" s="1566"/>
      <c r="V1184" s="1566"/>
      <c r="W1184" s="1566">
        <v>0</v>
      </c>
      <c r="X1184" s="1566"/>
      <c r="Y1184" s="1566"/>
      <c r="Z1184" s="1566"/>
      <c r="AA1184" s="1566">
        <v>0</v>
      </c>
      <c r="AB1184" s="1566"/>
      <c r="AC1184" s="1566"/>
      <c r="AD1184" s="1566"/>
      <c r="AE1184" s="1566"/>
      <c r="AF1184" s="1566"/>
      <c r="AG1184" s="1566">
        <v>263520</v>
      </c>
      <c r="AH1184" s="1566"/>
      <c r="AI1184" s="1566"/>
      <c r="AJ1184" s="1566"/>
      <c r="AK1184" s="1566"/>
    </row>
    <row r="1185" spans="1:38" ht="9.4" customHeight="1">
      <c r="B1185" s="1568" t="s">
        <v>345</v>
      </c>
      <c r="C1185" s="1568"/>
      <c r="D1185" s="1568"/>
      <c r="E1185" s="1568" t="s">
        <v>2466</v>
      </c>
      <c r="F1185" s="1568"/>
      <c r="G1185" s="1568"/>
      <c r="H1185" s="1568"/>
      <c r="J1185" s="1568" t="s">
        <v>2467</v>
      </c>
      <c r="K1185" s="1568"/>
      <c r="L1185" s="1568"/>
      <c r="M1185" s="1566">
        <v>0</v>
      </c>
      <c r="N1185" s="1566"/>
      <c r="O1185" s="1566"/>
      <c r="P1185" s="1566">
        <v>184100</v>
      </c>
      <c r="Q1185" s="1566"/>
      <c r="R1185" s="1566"/>
      <c r="S1185" s="1566">
        <v>0</v>
      </c>
      <c r="T1185" s="1566"/>
      <c r="U1185" s="1566"/>
      <c r="V1185" s="1566"/>
      <c r="W1185" s="1566">
        <v>0</v>
      </c>
      <c r="X1185" s="1566"/>
      <c r="Y1185" s="1566"/>
      <c r="Z1185" s="1566"/>
      <c r="AA1185" s="1566">
        <v>0</v>
      </c>
      <c r="AB1185" s="1566"/>
      <c r="AC1185" s="1566"/>
      <c r="AD1185" s="1566"/>
      <c r="AE1185" s="1566"/>
      <c r="AF1185" s="1566"/>
      <c r="AG1185" s="1566">
        <v>184100</v>
      </c>
      <c r="AH1185" s="1566"/>
      <c r="AI1185" s="1566"/>
      <c r="AJ1185" s="1566"/>
      <c r="AK1185" s="1566"/>
    </row>
    <row r="1186" spans="1:38" ht="9.4" customHeight="1">
      <c r="B1186" s="1568" t="s">
        <v>345</v>
      </c>
      <c r="C1186" s="1568"/>
      <c r="D1186" s="1568"/>
      <c r="E1186" s="1568" t="s">
        <v>2468</v>
      </c>
      <c r="F1186" s="1568"/>
      <c r="G1186" s="1568"/>
      <c r="H1186" s="1568"/>
      <c r="J1186" s="1568" t="s">
        <v>2469</v>
      </c>
      <c r="K1186" s="1568"/>
      <c r="L1186" s="1568"/>
      <c r="M1186" s="1566">
        <v>0</v>
      </c>
      <c r="N1186" s="1566"/>
      <c r="O1186" s="1566"/>
      <c r="P1186" s="1566">
        <v>280000</v>
      </c>
      <c r="Q1186" s="1566"/>
      <c r="R1186" s="1566"/>
      <c r="S1186" s="1566">
        <v>0</v>
      </c>
      <c r="T1186" s="1566"/>
      <c r="U1186" s="1566"/>
      <c r="V1186" s="1566"/>
      <c r="W1186" s="1566">
        <v>0</v>
      </c>
      <c r="X1186" s="1566"/>
      <c r="Y1186" s="1566"/>
      <c r="Z1186" s="1566"/>
      <c r="AA1186" s="1566">
        <v>0</v>
      </c>
      <c r="AB1186" s="1566"/>
      <c r="AC1186" s="1566"/>
      <c r="AD1186" s="1566"/>
      <c r="AE1186" s="1566"/>
      <c r="AF1186" s="1566"/>
      <c r="AG1186" s="1566">
        <v>280000</v>
      </c>
      <c r="AH1186" s="1566"/>
      <c r="AI1186" s="1566"/>
      <c r="AJ1186" s="1566"/>
      <c r="AK1186" s="1566"/>
    </row>
    <row r="1187" spans="1:38" ht="9.4" customHeight="1">
      <c r="B1187" s="1568" t="s">
        <v>345</v>
      </c>
      <c r="C1187" s="1568"/>
      <c r="D1187" s="1568"/>
      <c r="E1187" s="1568" t="s">
        <v>2470</v>
      </c>
      <c r="F1187" s="1568"/>
      <c r="G1187" s="1568"/>
      <c r="H1187" s="1568"/>
      <c r="J1187" s="1568" t="s">
        <v>2471</v>
      </c>
      <c r="K1187" s="1568"/>
      <c r="L1187" s="1568"/>
      <c r="M1187" s="1566">
        <v>0</v>
      </c>
      <c r="N1187" s="1566"/>
      <c r="O1187" s="1566"/>
      <c r="P1187" s="1566">
        <v>80000</v>
      </c>
      <c r="Q1187" s="1566"/>
      <c r="R1187" s="1566"/>
      <c r="S1187" s="1566">
        <v>0</v>
      </c>
      <c r="T1187" s="1566"/>
      <c r="U1187" s="1566"/>
      <c r="V1187" s="1566"/>
      <c r="W1187" s="1566">
        <v>0</v>
      </c>
      <c r="X1187" s="1566"/>
      <c r="Y1187" s="1566"/>
      <c r="Z1187" s="1566"/>
      <c r="AA1187" s="1566">
        <v>0</v>
      </c>
      <c r="AB1187" s="1566"/>
      <c r="AC1187" s="1566"/>
      <c r="AD1187" s="1566"/>
      <c r="AE1187" s="1566"/>
      <c r="AF1187" s="1566"/>
      <c r="AG1187" s="1566">
        <v>80000</v>
      </c>
      <c r="AH1187" s="1566"/>
      <c r="AI1187" s="1566"/>
      <c r="AJ1187" s="1566"/>
      <c r="AK1187" s="1566"/>
    </row>
    <row r="1188" spans="1:38" ht="9.4" customHeight="1">
      <c r="B1188" s="1568" t="s">
        <v>345</v>
      </c>
      <c r="C1188" s="1568"/>
      <c r="D1188" s="1568"/>
      <c r="E1188" s="1568" t="s">
        <v>2472</v>
      </c>
      <c r="F1188" s="1568"/>
      <c r="G1188" s="1568"/>
      <c r="H1188" s="1568"/>
      <c r="J1188" s="1568" t="s">
        <v>2473</v>
      </c>
      <c r="K1188" s="1568"/>
      <c r="L1188" s="1568"/>
      <c r="M1188" s="1566">
        <v>0</v>
      </c>
      <c r="N1188" s="1566"/>
      <c r="O1188" s="1566"/>
      <c r="P1188" s="1566">
        <v>50000</v>
      </c>
      <c r="Q1188" s="1566"/>
      <c r="R1188" s="1566"/>
      <c r="S1188" s="1566">
        <v>0</v>
      </c>
      <c r="T1188" s="1566"/>
      <c r="U1188" s="1566"/>
      <c r="V1188" s="1566"/>
      <c r="W1188" s="1566">
        <v>0</v>
      </c>
      <c r="X1188" s="1566"/>
      <c r="Y1188" s="1566"/>
      <c r="Z1188" s="1566"/>
      <c r="AA1188" s="1566">
        <v>0</v>
      </c>
      <c r="AB1188" s="1566"/>
      <c r="AC1188" s="1566"/>
      <c r="AD1188" s="1566"/>
      <c r="AE1188" s="1566"/>
      <c r="AF1188" s="1566"/>
      <c r="AG1188" s="1566">
        <v>50000</v>
      </c>
      <c r="AH1188" s="1566"/>
      <c r="AI1188" s="1566"/>
      <c r="AJ1188" s="1566"/>
      <c r="AK1188" s="1566"/>
    </row>
    <row r="1189" spans="1:38" ht="9.4" customHeight="1">
      <c r="B1189" s="1568" t="s">
        <v>345</v>
      </c>
      <c r="C1189" s="1568"/>
      <c r="D1189" s="1568"/>
      <c r="E1189" s="1568" t="s">
        <v>2474</v>
      </c>
      <c r="F1189" s="1568"/>
      <c r="G1189" s="1568"/>
      <c r="H1189" s="1568"/>
      <c r="J1189" s="1568" t="s">
        <v>2475</v>
      </c>
      <c r="K1189" s="1568"/>
      <c r="L1189" s="1568"/>
      <c r="M1189" s="1566">
        <v>0</v>
      </c>
      <c r="N1189" s="1566"/>
      <c r="O1189" s="1566"/>
      <c r="P1189" s="1566">
        <v>2000</v>
      </c>
      <c r="Q1189" s="1566"/>
      <c r="R1189" s="1566"/>
      <c r="S1189" s="1566">
        <v>0</v>
      </c>
      <c r="T1189" s="1566"/>
      <c r="U1189" s="1566"/>
      <c r="V1189" s="1566"/>
      <c r="W1189" s="1566">
        <v>0</v>
      </c>
      <c r="X1189" s="1566"/>
      <c r="Y1189" s="1566"/>
      <c r="Z1189" s="1566"/>
      <c r="AA1189" s="1566">
        <v>0</v>
      </c>
      <c r="AB1189" s="1566"/>
      <c r="AC1189" s="1566"/>
      <c r="AD1189" s="1566"/>
      <c r="AE1189" s="1566"/>
      <c r="AF1189" s="1566"/>
      <c r="AG1189" s="1566">
        <v>2000</v>
      </c>
      <c r="AH1189" s="1566"/>
      <c r="AI1189" s="1566"/>
      <c r="AJ1189" s="1566"/>
      <c r="AK1189" s="1566"/>
    </row>
    <row r="1190" spans="1:38" ht="9.4" customHeight="1">
      <c r="B1190" s="1568" t="s">
        <v>345</v>
      </c>
      <c r="C1190" s="1568"/>
      <c r="D1190" s="1568"/>
      <c r="E1190" s="1568" t="s">
        <v>2476</v>
      </c>
      <c r="F1190" s="1568"/>
      <c r="G1190" s="1568"/>
      <c r="H1190" s="1568"/>
      <c r="J1190" s="1568" t="s">
        <v>2421</v>
      </c>
      <c r="K1190" s="1568"/>
      <c r="L1190" s="1568"/>
      <c r="M1190" s="1566">
        <v>0</v>
      </c>
      <c r="N1190" s="1566"/>
      <c r="O1190" s="1566"/>
      <c r="P1190" s="1566">
        <v>200000</v>
      </c>
      <c r="Q1190" s="1566"/>
      <c r="R1190" s="1566"/>
      <c r="S1190" s="1566">
        <v>0</v>
      </c>
      <c r="T1190" s="1566"/>
      <c r="U1190" s="1566"/>
      <c r="V1190" s="1566"/>
      <c r="W1190" s="1566">
        <v>0</v>
      </c>
      <c r="X1190" s="1566"/>
      <c r="Y1190" s="1566"/>
      <c r="Z1190" s="1566"/>
      <c r="AA1190" s="1566">
        <v>0</v>
      </c>
      <c r="AB1190" s="1566"/>
      <c r="AC1190" s="1566"/>
      <c r="AD1190" s="1566"/>
      <c r="AE1190" s="1566"/>
      <c r="AF1190" s="1566"/>
      <c r="AG1190" s="1566">
        <v>200000</v>
      </c>
      <c r="AH1190" s="1566"/>
      <c r="AI1190" s="1566"/>
      <c r="AJ1190" s="1566"/>
      <c r="AK1190" s="1566"/>
    </row>
    <row r="1191" spans="1:38" ht="9.4" customHeight="1">
      <c r="B1191" s="1568" t="s">
        <v>345</v>
      </c>
      <c r="C1191" s="1568"/>
      <c r="D1191" s="1568"/>
      <c r="E1191" s="1568" t="s">
        <v>2477</v>
      </c>
      <c r="F1191" s="1568"/>
      <c r="G1191" s="1568"/>
      <c r="H1191" s="1568"/>
      <c r="J1191" s="1568" t="s">
        <v>2423</v>
      </c>
      <c r="K1191" s="1568"/>
      <c r="L1191" s="1568"/>
      <c r="M1191" s="1566">
        <v>0</v>
      </c>
      <c r="N1191" s="1566"/>
      <c r="O1191" s="1566"/>
      <c r="P1191" s="1566">
        <v>450000</v>
      </c>
      <c r="Q1191" s="1566"/>
      <c r="R1191" s="1566"/>
      <c r="S1191" s="1566">
        <v>0</v>
      </c>
      <c r="T1191" s="1566"/>
      <c r="U1191" s="1566"/>
      <c r="V1191" s="1566"/>
      <c r="W1191" s="1566">
        <v>0</v>
      </c>
      <c r="X1191" s="1566"/>
      <c r="Y1191" s="1566"/>
      <c r="Z1191" s="1566"/>
      <c r="AA1191" s="1566">
        <v>0</v>
      </c>
      <c r="AB1191" s="1566"/>
      <c r="AC1191" s="1566"/>
      <c r="AD1191" s="1566"/>
      <c r="AE1191" s="1566"/>
      <c r="AF1191" s="1566"/>
      <c r="AG1191" s="1566">
        <v>450000</v>
      </c>
      <c r="AH1191" s="1566"/>
      <c r="AI1191" s="1566"/>
      <c r="AJ1191" s="1566"/>
      <c r="AK1191" s="1566"/>
    </row>
    <row r="1192" spans="1:38" ht="9.6" customHeight="1"/>
    <row r="1193" spans="1:38" ht="14.1" customHeight="1">
      <c r="AG1193" s="1565" t="s">
        <v>2599</v>
      </c>
      <c r="AH1193" s="1565"/>
      <c r="AI1193" s="1565"/>
      <c r="AJ1193" s="1565"/>
      <c r="AK1193" s="1565"/>
      <c r="AL1193" s="1565"/>
    </row>
    <row r="1194" spans="1:38" ht="7.15" customHeight="1">
      <c r="D1194" s="1578" t="s">
        <v>2992</v>
      </c>
      <c r="E1194" s="1578"/>
      <c r="F1194" s="1578"/>
      <c r="G1194" s="1578"/>
      <c r="H1194" s="1578"/>
      <c r="I1194" s="1578"/>
      <c r="J1194" s="1578"/>
      <c r="K1194" s="1578"/>
      <c r="L1194" s="1578"/>
      <c r="M1194" s="1578"/>
      <c r="N1194" s="1578"/>
      <c r="O1194" s="1578"/>
      <c r="P1194" s="1578"/>
      <c r="Q1194" s="1578"/>
      <c r="R1194" s="1578"/>
      <c r="S1194" s="1578"/>
      <c r="T1194" s="1578"/>
      <c r="U1194" s="1578"/>
      <c r="V1194" s="1578"/>
      <c r="W1194" s="1578"/>
      <c r="X1194" s="1578"/>
      <c r="Y1194" s="1578"/>
      <c r="Z1194" s="1578"/>
      <c r="AA1194" s="1578"/>
      <c r="AB1194" s="1578"/>
      <c r="AC1194" s="1578"/>
      <c r="AD1194" s="1578"/>
      <c r="AE1194" s="1578"/>
      <c r="AF1194" s="1578"/>
      <c r="AG1194" s="1578"/>
      <c r="AH1194" s="1578"/>
    </row>
    <row r="1195" spans="1:38" ht="9.6" customHeight="1">
      <c r="A1195" s="1579"/>
      <c r="B1195" s="1579"/>
      <c r="C1195" s="1579"/>
      <c r="D1195" s="1579"/>
      <c r="E1195" s="1579"/>
      <c r="F1195" s="1579"/>
      <c r="G1195" s="1579"/>
      <c r="H1195" s="1579"/>
      <c r="I1195" s="1579"/>
      <c r="J1195" s="1578"/>
      <c r="K1195" s="1578"/>
      <c r="L1195" s="1578"/>
      <c r="M1195" s="1578"/>
      <c r="N1195" s="1578"/>
      <c r="O1195" s="1578"/>
      <c r="P1195" s="1578"/>
      <c r="Q1195" s="1578"/>
      <c r="R1195" s="1578"/>
      <c r="S1195" s="1578"/>
      <c r="T1195" s="1578"/>
      <c r="U1195" s="1578"/>
      <c r="V1195" s="1578"/>
      <c r="W1195" s="1578"/>
      <c r="X1195" s="1578"/>
      <c r="Y1195" s="1578"/>
      <c r="Z1195" s="1578"/>
      <c r="AA1195" s="1578"/>
      <c r="AB1195" s="1578"/>
      <c r="AC1195" s="1578"/>
      <c r="AD1195" s="1578"/>
      <c r="AE1195" s="1578"/>
      <c r="AF1195" s="1578"/>
      <c r="AG1195" s="1578"/>
      <c r="AH1195" s="1578"/>
    </row>
    <row r="1196" spans="1:38" ht="13.35" customHeight="1">
      <c r="A1196" s="1579"/>
      <c r="B1196" s="1579"/>
      <c r="C1196" s="1579"/>
      <c r="D1196" s="1579"/>
      <c r="E1196" s="1579"/>
      <c r="F1196" s="1579"/>
      <c r="G1196" s="1579"/>
      <c r="H1196" s="1579"/>
      <c r="I1196" s="1579"/>
      <c r="J1196" s="1580" t="s">
        <v>79</v>
      </c>
      <c r="K1196" s="1580"/>
      <c r="L1196" s="1580"/>
      <c r="M1196" s="1580"/>
      <c r="N1196" s="1580"/>
      <c r="O1196" s="1580"/>
      <c r="P1196" s="1580"/>
      <c r="Q1196" s="1580"/>
      <c r="R1196" s="1580"/>
      <c r="S1196" s="1580"/>
      <c r="T1196" s="1580"/>
      <c r="U1196" s="1580"/>
      <c r="V1196" s="1580"/>
      <c r="W1196" s="1580"/>
      <c r="X1196" s="1580"/>
      <c r="Y1196" s="1580"/>
      <c r="Z1196" s="1580"/>
      <c r="AA1196" s="1580"/>
      <c r="AB1196" s="1580"/>
      <c r="AC1196" s="1580"/>
      <c r="AD1196" s="1580"/>
      <c r="AE1196" s="1580"/>
      <c r="AF1196" s="1580"/>
    </row>
    <row r="1197" spans="1:38" ht="5.25" customHeight="1">
      <c r="A1197" s="1579"/>
      <c r="B1197" s="1579"/>
      <c r="C1197" s="1579"/>
      <c r="D1197" s="1579"/>
      <c r="E1197" s="1579"/>
      <c r="F1197" s="1579"/>
      <c r="G1197" s="1579"/>
      <c r="H1197" s="1579"/>
      <c r="I1197" s="1579"/>
      <c r="J1197" s="1573" t="s">
        <v>6760</v>
      </c>
      <c r="K1197" s="1573"/>
      <c r="L1197" s="1573"/>
      <c r="M1197" s="1573"/>
      <c r="N1197" s="1573"/>
      <c r="O1197" s="1573"/>
      <c r="P1197" s="1573"/>
      <c r="Q1197" s="1573"/>
      <c r="R1197" s="1573"/>
      <c r="S1197" s="1573"/>
      <c r="T1197" s="1573"/>
      <c r="U1197" s="1573"/>
      <c r="V1197" s="1573"/>
      <c r="W1197" s="1573"/>
      <c r="X1197" s="1573"/>
      <c r="Y1197" s="1573"/>
      <c r="Z1197" s="1573"/>
      <c r="AA1197" s="1573"/>
      <c r="AB1197" s="1573"/>
      <c r="AC1197" s="1573"/>
      <c r="AD1197" s="1573"/>
      <c r="AE1197" s="1573"/>
    </row>
    <row r="1198" spans="1:38" ht="8.1" customHeight="1">
      <c r="C1198" s="1572" t="s">
        <v>1920</v>
      </c>
      <c r="D1198" s="1572"/>
      <c r="E1198" s="1572"/>
      <c r="F1198" s="1572"/>
      <c r="G1198" s="1572"/>
      <c r="H1198" s="1572"/>
      <c r="I1198" s="1572"/>
      <c r="J1198" s="1572"/>
      <c r="K1198" s="1573"/>
      <c r="L1198" s="1573"/>
      <c r="M1198" s="1573"/>
      <c r="N1198" s="1573"/>
      <c r="O1198" s="1573"/>
      <c r="P1198" s="1573"/>
      <c r="Q1198" s="1573"/>
      <c r="R1198" s="1573"/>
      <c r="S1198" s="1573"/>
      <c r="T1198" s="1573"/>
      <c r="U1198" s="1573"/>
      <c r="V1198" s="1573"/>
      <c r="W1198" s="1573"/>
      <c r="X1198" s="1573"/>
      <c r="Y1198" s="1574" t="s">
        <v>5920</v>
      </c>
      <c r="Z1198" s="1574"/>
      <c r="AA1198" s="1574"/>
      <c r="AB1198" s="1574"/>
      <c r="AC1198" s="1574"/>
      <c r="AD1198" s="1574"/>
      <c r="AE1198" s="1574"/>
      <c r="AF1198" s="1574"/>
      <c r="AG1198" s="1574"/>
      <c r="AH1198" s="1575" t="s">
        <v>6761</v>
      </c>
      <c r="AI1198" s="1575"/>
      <c r="AJ1198" s="1575"/>
      <c r="AK1198" s="1575"/>
      <c r="AL1198" s="1575"/>
    </row>
    <row r="1199" spans="1:38" ht="6" customHeight="1">
      <c r="C1199" s="1572"/>
      <c r="D1199" s="1572"/>
      <c r="E1199" s="1572"/>
      <c r="F1199" s="1572"/>
      <c r="G1199" s="1572"/>
      <c r="H1199" s="1572"/>
      <c r="I1199" s="1572"/>
      <c r="J1199" s="1572"/>
      <c r="K1199" s="1576" t="s">
        <v>1999</v>
      </c>
      <c r="L1199" s="1576"/>
      <c r="M1199" s="1576"/>
      <c r="N1199" s="1576"/>
      <c r="O1199" s="1576"/>
      <c r="P1199" s="1576"/>
      <c r="Q1199" s="1576"/>
      <c r="R1199" s="1576"/>
      <c r="S1199" s="1576"/>
      <c r="T1199" s="1576"/>
      <c r="U1199" s="1576"/>
      <c r="V1199" s="1576"/>
      <c r="W1199" s="1576"/>
      <c r="X1199" s="1576"/>
      <c r="Y1199" s="1574"/>
      <c r="Z1199" s="1574"/>
      <c r="AA1199" s="1574"/>
      <c r="AB1199" s="1574"/>
      <c r="AC1199" s="1574"/>
      <c r="AD1199" s="1574"/>
      <c r="AE1199" s="1574"/>
      <c r="AF1199" s="1574"/>
      <c r="AG1199" s="1574"/>
      <c r="AH1199" s="1575"/>
      <c r="AI1199" s="1575"/>
      <c r="AJ1199" s="1575"/>
      <c r="AK1199" s="1575"/>
      <c r="AL1199" s="1575"/>
    </row>
    <row r="1200" spans="1:38" ht="7.35" customHeight="1">
      <c r="C1200" s="1572" t="s">
        <v>1998</v>
      </c>
      <c r="D1200" s="1572"/>
      <c r="E1200" s="1572"/>
      <c r="F1200" s="1572"/>
      <c r="G1200" s="1577"/>
      <c r="H1200" s="1577"/>
      <c r="I1200" s="1577"/>
      <c r="J1200" s="1577"/>
      <c r="K1200" s="1577"/>
      <c r="L1200" s="1577"/>
      <c r="M1200" s="1577"/>
      <c r="N1200" s="1577"/>
      <c r="O1200" s="1577"/>
      <c r="P1200" s="1577"/>
      <c r="Q1200" s="1577"/>
      <c r="R1200" s="1577"/>
      <c r="S1200" s="1577"/>
      <c r="T1200" s="1577"/>
      <c r="U1200" s="1577"/>
      <c r="V1200" s="1577"/>
      <c r="W1200" s="1577"/>
      <c r="X1200" s="1577"/>
      <c r="Y1200" s="1577"/>
      <c r="Z1200" s="1577"/>
      <c r="AA1200" s="1577"/>
      <c r="AB1200" s="1577"/>
      <c r="AC1200" s="1577"/>
      <c r="AD1200" s="1577"/>
      <c r="AE1200" s="1577"/>
      <c r="AF1200" s="1574"/>
      <c r="AG1200" s="1574"/>
      <c r="AH1200" s="1574" t="s">
        <v>6762</v>
      </c>
      <c r="AI1200" s="1574"/>
    </row>
    <row r="1201" spans="2:37" ht="6.75" customHeight="1">
      <c r="G1201" s="1577"/>
      <c r="H1201" s="1577"/>
      <c r="I1201" s="1577"/>
      <c r="J1201" s="1577"/>
      <c r="K1201" s="1577"/>
      <c r="L1201" s="1577"/>
      <c r="M1201" s="1577"/>
      <c r="N1201" s="1577"/>
      <c r="O1201" s="1577"/>
      <c r="P1201" s="1577"/>
      <c r="Q1201" s="1577"/>
      <c r="R1201" s="1577"/>
      <c r="S1201" s="1577"/>
      <c r="T1201" s="1577"/>
      <c r="U1201" s="1577"/>
      <c r="V1201" s="1577"/>
      <c r="W1201" s="1577"/>
      <c r="X1201" s="1577"/>
      <c r="Y1201" s="1577"/>
      <c r="Z1201" s="1577"/>
      <c r="AA1201" s="1577"/>
      <c r="AB1201" s="1577"/>
      <c r="AC1201" s="1577"/>
      <c r="AD1201" s="1577"/>
      <c r="AE1201" s="1577"/>
      <c r="AF1201" s="1574"/>
      <c r="AG1201" s="1574"/>
      <c r="AH1201" s="1574"/>
      <c r="AI1201" s="1574"/>
    </row>
    <row r="1202" spans="2:37" ht="11.25" customHeight="1">
      <c r="O1202" s="1570" t="s">
        <v>1318</v>
      </c>
      <c r="P1202" s="1570"/>
      <c r="Q1202" s="1570"/>
      <c r="V1202" s="1570" t="s">
        <v>1319</v>
      </c>
      <c r="W1202" s="1570"/>
      <c r="X1202" s="1570"/>
      <c r="Y1202" s="1570"/>
      <c r="AD1202" s="1570" t="s">
        <v>1320</v>
      </c>
      <c r="AE1202" s="1570"/>
      <c r="AF1202" s="1570"/>
      <c r="AG1202" s="1570"/>
      <c r="AH1202" s="1570"/>
      <c r="AI1202" s="1570"/>
      <c r="AJ1202" s="1570"/>
    </row>
    <row r="1203" spans="2:37" ht="8.4499999999999993" customHeight="1">
      <c r="B1203" s="1571" t="s">
        <v>1321</v>
      </c>
      <c r="C1203" s="1571"/>
      <c r="D1203" s="1571"/>
      <c r="E1203" s="1571" t="s">
        <v>1322</v>
      </c>
      <c r="F1203" s="1571"/>
      <c r="G1203" s="1571"/>
      <c r="J1203" s="1571" t="s">
        <v>1323</v>
      </c>
      <c r="K1203" s="1571"/>
      <c r="L1203" s="1571"/>
      <c r="M1203" s="1571"/>
      <c r="N1203" s="1571"/>
      <c r="O1203" s="1402" t="s">
        <v>1324</v>
      </c>
      <c r="Q1203" s="1569" t="s">
        <v>1325</v>
      </c>
      <c r="R1203" s="1569"/>
      <c r="U1203" s="1569" t="s">
        <v>1324</v>
      </c>
      <c r="V1203" s="1569"/>
      <c r="X1203" s="1569" t="s">
        <v>1325</v>
      </c>
      <c r="Y1203" s="1569"/>
      <c r="Z1203" s="1569"/>
      <c r="AC1203" s="1569" t="s">
        <v>1324</v>
      </c>
      <c r="AD1203" s="1569"/>
      <c r="AE1203" s="1569"/>
      <c r="AF1203" s="1569"/>
      <c r="AH1203" s="1569" t="s">
        <v>1325</v>
      </c>
      <c r="AI1203" s="1569"/>
      <c r="AJ1203" s="1569"/>
      <c r="AK1203" s="1569"/>
    </row>
    <row r="1204" spans="2:37" ht="9.9499999999999993" customHeight="1">
      <c r="B1204" s="1568" t="s">
        <v>345</v>
      </c>
      <c r="C1204" s="1568"/>
      <c r="D1204" s="1568"/>
      <c r="E1204" s="1568" t="s">
        <v>2478</v>
      </c>
      <c r="F1204" s="1568"/>
      <c r="G1204" s="1568"/>
      <c r="H1204" s="1568"/>
      <c r="J1204" s="1568" t="s">
        <v>2479</v>
      </c>
      <c r="K1204" s="1568"/>
      <c r="L1204" s="1568"/>
      <c r="M1204" s="1566">
        <v>0</v>
      </c>
      <c r="N1204" s="1566"/>
      <c r="O1204" s="1566"/>
      <c r="P1204" s="1566">
        <v>25000</v>
      </c>
      <c r="Q1204" s="1566"/>
      <c r="R1204" s="1566"/>
      <c r="S1204" s="1566">
        <v>0</v>
      </c>
      <c r="T1204" s="1566"/>
      <c r="U1204" s="1566"/>
      <c r="V1204" s="1566"/>
      <c r="W1204" s="1566">
        <v>0</v>
      </c>
      <c r="X1204" s="1566"/>
      <c r="Y1204" s="1566"/>
      <c r="Z1204" s="1566"/>
      <c r="AA1204" s="1566">
        <v>0</v>
      </c>
      <c r="AB1204" s="1566"/>
      <c r="AC1204" s="1566"/>
      <c r="AD1204" s="1566"/>
      <c r="AE1204" s="1566"/>
      <c r="AF1204" s="1566"/>
      <c r="AG1204" s="1566">
        <v>25000</v>
      </c>
      <c r="AH1204" s="1566"/>
      <c r="AI1204" s="1566"/>
      <c r="AJ1204" s="1566"/>
      <c r="AK1204" s="1566"/>
    </row>
    <row r="1205" spans="2:37" ht="9.4" customHeight="1">
      <c r="B1205" s="1568" t="s">
        <v>345</v>
      </c>
      <c r="C1205" s="1568"/>
      <c r="D1205" s="1568"/>
      <c r="E1205" s="1568" t="s">
        <v>2480</v>
      </c>
      <c r="F1205" s="1568"/>
      <c r="G1205" s="1568"/>
      <c r="H1205" s="1568"/>
      <c r="J1205" s="1568" t="s">
        <v>2481</v>
      </c>
      <c r="K1205" s="1568"/>
      <c r="L1205" s="1568"/>
      <c r="M1205" s="1566">
        <v>0</v>
      </c>
      <c r="N1205" s="1566"/>
      <c r="O1205" s="1566"/>
      <c r="P1205" s="1566">
        <v>350000</v>
      </c>
      <c r="Q1205" s="1566"/>
      <c r="R1205" s="1566"/>
      <c r="S1205" s="1566">
        <v>0</v>
      </c>
      <c r="T1205" s="1566"/>
      <c r="U1205" s="1566"/>
      <c r="V1205" s="1566"/>
      <c r="W1205" s="1566">
        <v>0</v>
      </c>
      <c r="X1205" s="1566"/>
      <c r="Y1205" s="1566"/>
      <c r="Z1205" s="1566"/>
      <c r="AA1205" s="1566">
        <v>0</v>
      </c>
      <c r="AB1205" s="1566"/>
      <c r="AC1205" s="1566"/>
      <c r="AD1205" s="1566"/>
      <c r="AE1205" s="1566"/>
      <c r="AF1205" s="1566"/>
      <c r="AG1205" s="1566">
        <v>350000</v>
      </c>
      <c r="AH1205" s="1566"/>
      <c r="AI1205" s="1566"/>
      <c r="AJ1205" s="1566"/>
      <c r="AK1205" s="1566"/>
    </row>
    <row r="1206" spans="2:37" ht="9.4" customHeight="1">
      <c r="B1206" s="1568" t="s">
        <v>345</v>
      </c>
      <c r="C1206" s="1568"/>
      <c r="D1206" s="1568"/>
      <c r="E1206" s="1568" t="s">
        <v>2482</v>
      </c>
      <c r="F1206" s="1568"/>
      <c r="G1206" s="1568"/>
      <c r="H1206" s="1568"/>
      <c r="J1206" s="1568" t="s">
        <v>2483</v>
      </c>
      <c r="K1206" s="1568"/>
      <c r="L1206" s="1568"/>
      <c r="M1206" s="1566">
        <v>0</v>
      </c>
      <c r="N1206" s="1566"/>
      <c r="O1206" s="1566"/>
      <c r="P1206" s="1566">
        <v>30000</v>
      </c>
      <c r="Q1206" s="1566"/>
      <c r="R1206" s="1566"/>
      <c r="S1206" s="1566">
        <v>0</v>
      </c>
      <c r="T1206" s="1566"/>
      <c r="U1206" s="1566"/>
      <c r="V1206" s="1566"/>
      <c r="W1206" s="1566">
        <v>0</v>
      </c>
      <c r="X1206" s="1566"/>
      <c r="Y1206" s="1566"/>
      <c r="Z1206" s="1566"/>
      <c r="AA1206" s="1566">
        <v>0</v>
      </c>
      <c r="AB1206" s="1566"/>
      <c r="AC1206" s="1566"/>
      <c r="AD1206" s="1566"/>
      <c r="AE1206" s="1566"/>
      <c r="AF1206" s="1566"/>
      <c r="AG1206" s="1566">
        <v>30000</v>
      </c>
      <c r="AH1206" s="1566"/>
      <c r="AI1206" s="1566"/>
      <c r="AJ1206" s="1566"/>
      <c r="AK1206" s="1566"/>
    </row>
    <row r="1207" spans="2:37" ht="9.4" customHeight="1">
      <c r="B1207" s="1568" t="s">
        <v>345</v>
      </c>
      <c r="C1207" s="1568"/>
      <c r="D1207" s="1568"/>
      <c r="E1207" s="1568" t="s">
        <v>2484</v>
      </c>
      <c r="F1207" s="1568"/>
      <c r="G1207" s="1568"/>
      <c r="H1207" s="1568"/>
      <c r="J1207" s="1568" t="s">
        <v>2485</v>
      </c>
      <c r="K1207" s="1568"/>
      <c r="L1207" s="1568"/>
      <c r="M1207" s="1566">
        <v>0</v>
      </c>
      <c r="N1207" s="1566"/>
      <c r="O1207" s="1566"/>
      <c r="P1207" s="1566">
        <v>13000</v>
      </c>
      <c r="Q1207" s="1566"/>
      <c r="R1207" s="1566"/>
      <c r="S1207" s="1566">
        <v>0</v>
      </c>
      <c r="T1207" s="1566"/>
      <c r="U1207" s="1566"/>
      <c r="V1207" s="1566"/>
      <c r="W1207" s="1566">
        <v>0</v>
      </c>
      <c r="X1207" s="1566"/>
      <c r="Y1207" s="1566"/>
      <c r="Z1207" s="1566"/>
      <c r="AA1207" s="1566">
        <v>0</v>
      </c>
      <c r="AB1207" s="1566"/>
      <c r="AC1207" s="1566"/>
      <c r="AD1207" s="1566"/>
      <c r="AE1207" s="1566"/>
      <c r="AF1207" s="1566"/>
      <c r="AG1207" s="1566">
        <v>13000</v>
      </c>
      <c r="AH1207" s="1566"/>
      <c r="AI1207" s="1566"/>
      <c r="AJ1207" s="1566"/>
      <c r="AK1207" s="1566"/>
    </row>
    <row r="1208" spans="2:37" ht="9.4" customHeight="1">
      <c r="B1208" s="1568" t="s">
        <v>345</v>
      </c>
      <c r="C1208" s="1568"/>
      <c r="D1208" s="1568"/>
      <c r="E1208" s="1568" t="s">
        <v>2486</v>
      </c>
      <c r="F1208" s="1568"/>
      <c r="G1208" s="1568"/>
      <c r="H1208" s="1568"/>
      <c r="J1208" s="1568" t="s">
        <v>2487</v>
      </c>
      <c r="K1208" s="1568"/>
      <c r="L1208" s="1568"/>
      <c r="M1208" s="1566">
        <v>0</v>
      </c>
      <c r="N1208" s="1566"/>
      <c r="O1208" s="1566"/>
      <c r="P1208" s="1566">
        <v>39600</v>
      </c>
      <c r="Q1208" s="1566"/>
      <c r="R1208" s="1566"/>
      <c r="S1208" s="1566">
        <v>0</v>
      </c>
      <c r="T1208" s="1566"/>
      <c r="U1208" s="1566"/>
      <c r="V1208" s="1566"/>
      <c r="W1208" s="1566">
        <v>0</v>
      </c>
      <c r="X1208" s="1566"/>
      <c r="Y1208" s="1566"/>
      <c r="Z1208" s="1566"/>
      <c r="AA1208" s="1566">
        <v>0</v>
      </c>
      <c r="AB1208" s="1566"/>
      <c r="AC1208" s="1566"/>
      <c r="AD1208" s="1566"/>
      <c r="AE1208" s="1566"/>
      <c r="AF1208" s="1566"/>
      <c r="AG1208" s="1566">
        <v>39600</v>
      </c>
      <c r="AH1208" s="1566"/>
      <c r="AI1208" s="1566"/>
      <c r="AJ1208" s="1566"/>
      <c r="AK1208" s="1566"/>
    </row>
    <row r="1209" spans="2:37" ht="9.4" customHeight="1">
      <c r="B1209" s="1568" t="s">
        <v>345</v>
      </c>
      <c r="C1209" s="1568"/>
      <c r="D1209" s="1568"/>
      <c r="E1209" s="1568" t="s">
        <v>2488</v>
      </c>
      <c r="F1209" s="1568"/>
      <c r="G1209" s="1568"/>
      <c r="H1209" s="1568"/>
      <c r="J1209" s="1568" t="s">
        <v>2489</v>
      </c>
      <c r="K1209" s="1568"/>
      <c r="L1209" s="1568"/>
      <c r="M1209" s="1566">
        <v>0</v>
      </c>
      <c r="N1209" s="1566"/>
      <c r="O1209" s="1566"/>
      <c r="P1209" s="1566">
        <v>400000</v>
      </c>
      <c r="Q1209" s="1566"/>
      <c r="R1209" s="1566"/>
      <c r="S1209" s="1566">
        <v>0</v>
      </c>
      <c r="T1209" s="1566"/>
      <c r="U1209" s="1566"/>
      <c r="V1209" s="1566"/>
      <c r="W1209" s="1566">
        <v>0</v>
      </c>
      <c r="X1209" s="1566"/>
      <c r="Y1209" s="1566"/>
      <c r="Z1209" s="1566"/>
      <c r="AA1209" s="1566">
        <v>0</v>
      </c>
      <c r="AB1209" s="1566"/>
      <c r="AC1209" s="1566"/>
      <c r="AD1209" s="1566"/>
      <c r="AE1209" s="1566"/>
      <c r="AF1209" s="1566"/>
      <c r="AG1209" s="1566">
        <v>400000</v>
      </c>
      <c r="AH1209" s="1566"/>
      <c r="AI1209" s="1566"/>
      <c r="AJ1209" s="1566"/>
      <c r="AK1209" s="1566"/>
    </row>
    <row r="1210" spans="2:37" ht="9.4" customHeight="1">
      <c r="B1210" s="1568" t="s">
        <v>345</v>
      </c>
      <c r="C1210" s="1568"/>
      <c r="D1210" s="1568"/>
      <c r="E1210" s="1568" t="s">
        <v>2490</v>
      </c>
      <c r="F1210" s="1568"/>
      <c r="G1210" s="1568"/>
      <c r="H1210" s="1568"/>
      <c r="J1210" s="1568" t="s">
        <v>2491</v>
      </c>
      <c r="K1210" s="1568"/>
      <c r="L1210" s="1568"/>
      <c r="M1210" s="1566">
        <v>0</v>
      </c>
      <c r="N1210" s="1566"/>
      <c r="O1210" s="1566"/>
      <c r="P1210" s="1566">
        <v>250000</v>
      </c>
      <c r="Q1210" s="1566"/>
      <c r="R1210" s="1566"/>
      <c r="S1210" s="1566">
        <v>0</v>
      </c>
      <c r="T1210" s="1566"/>
      <c r="U1210" s="1566"/>
      <c r="V1210" s="1566"/>
      <c r="W1210" s="1566">
        <v>0</v>
      </c>
      <c r="X1210" s="1566"/>
      <c r="Y1210" s="1566"/>
      <c r="Z1210" s="1566"/>
      <c r="AA1210" s="1566">
        <v>0</v>
      </c>
      <c r="AB1210" s="1566"/>
      <c r="AC1210" s="1566"/>
      <c r="AD1210" s="1566"/>
      <c r="AE1210" s="1566"/>
      <c r="AF1210" s="1566"/>
      <c r="AG1210" s="1566">
        <v>250000</v>
      </c>
      <c r="AH1210" s="1566"/>
      <c r="AI1210" s="1566"/>
      <c r="AJ1210" s="1566"/>
      <c r="AK1210" s="1566"/>
    </row>
    <row r="1211" spans="2:37" ht="9.4" customHeight="1">
      <c r="B1211" s="1568" t="s">
        <v>345</v>
      </c>
      <c r="C1211" s="1568"/>
      <c r="D1211" s="1568"/>
      <c r="E1211" s="1568" t="s">
        <v>2492</v>
      </c>
      <c r="F1211" s="1568"/>
      <c r="G1211" s="1568"/>
      <c r="H1211" s="1568"/>
      <c r="J1211" s="1568" t="s">
        <v>2493</v>
      </c>
      <c r="K1211" s="1568"/>
      <c r="L1211" s="1568"/>
      <c r="M1211" s="1566">
        <v>0</v>
      </c>
      <c r="N1211" s="1566"/>
      <c r="O1211" s="1566"/>
      <c r="P1211" s="1566">
        <v>140000</v>
      </c>
      <c r="Q1211" s="1566"/>
      <c r="R1211" s="1566"/>
      <c r="S1211" s="1566">
        <v>0</v>
      </c>
      <c r="T1211" s="1566"/>
      <c r="U1211" s="1566"/>
      <c r="V1211" s="1566"/>
      <c r="W1211" s="1566">
        <v>0</v>
      </c>
      <c r="X1211" s="1566"/>
      <c r="Y1211" s="1566"/>
      <c r="Z1211" s="1566"/>
      <c r="AA1211" s="1566">
        <v>0</v>
      </c>
      <c r="AB1211" s="1566"/>
      <c r="AC1211" s="1566"/>
      <c r="AD1211" s="1566"/>
      <c r="AE1211" s="1566"/>
      <c r="AF1211" s="1566"/>
      <c r="AG1211" s="1566">
        <v>140000</v>
      </c>
      <c r="AH1211" s="1566"/>
      <c r="AI1211" s="1566"/>
      <c r="AJ1211" s="1566"/>
      <c r="AK1211" s="1566"/>
    </row>
    <row r="1212" spans="2:37" ht="9.4" customHeight="1">
      <c r="B1212" s="1568" t="s">
        <v>345</v>
      </c>
      <c r="C1212" s="1568"/>
      <c r="D1212" s="1568"/>
      <c r="E1212" s="1568" t="s">
        <v>2494</v>
      </c>
      <c r="F1212" s="1568"/>
      <c r="G1212" s="1568"/>
      <c r="H1212" s="1568"/>
      <c r="J1212" s="1568" t="s">
        <v>2495</v>
      </c>
      <c r="K1212" s="1568"/>
      <c r="L1212" s="1568"/>
      <c r="M1212" s="1566">
        <v>0</v>
      </c>
      <c r="N1212" s="1566"/>
      <c r="O1212" s="1566"/>
      <c r="P1212" s="1566">
        <v>50000</v>
      </c>
      <c r="Q1212" s="1566"/>
      <c r="R1212" s="1566"/>
      <c r="S1212" s="1566">
        <v>0</v>
      </c>
      <c r="T1212" s="1566"/>
      <c r="U1212" s="1566"/>
      <c r="V1212" s="1566"/>
      <c r="W1212" s="1566">
        <v>0</v>
      </c>
      <c r="X1212" s="1566"/>
      <c r="Y1212" s="1566"/>
      <c r="Z1212" s="1566"/>
      <c r="AA1212" s="1566">
        <v>0</v>
      </c>
      <c r="AB1212" s="1566"/>
      <c r="AC1212" s="1566"/>
      <c r="AD1212" s="1566"/>
      <c r="AE1212" s="1566"/>
      <c r="AF1212" s="1566"/>
      <c r="AG1212" s="1566">
        <v>50000</v>
      </c>
      <c r="AH1212" s="1566"/>
      <c r="AI1212" s="1566"/>
      <c r="AJ1212" s="1566"/>
      <c r="AK1212" s="1566"/>
    </row>
    <row r="1213" spans="2:37" ht="9.4" customHeight="1">
      <c r="B1213" s="1568" t="s">
        <v>345</v>
      </c>
      <c r="C1213" s="1568"/>
      <c r="D1213" s="1568"/>
      <c r="E1213" s="1568" t="s">
        <v>2496</v>
      </c>
      <c r="F1213" s="1568"/>
      <c r="G1213" s="1568"/>
      <c r="H1213" s="1568"/>
      <c r="J1213" s="1568" t="s">
        <v>2426</v>
      </c>
      <c r="K1213" s="1568"/>
      <c r="L1213" s="1568"/>
      <c r="M1213" s="1566">
        <v>0</v>
      </c>
      <c r="N1213" s="1566"/>
      <c r="O1213" s="1566"/>
      <c r="P1213" s="1566">
        <v>200000</v>
      </c>
      <c r="Q1213" s="1566"/>
      <c r="R1213" s="1566"/>
      <c r="S1213" s="1566">
        <v>0</v>
      </c>
      <c r="T1213" s="1566"/>
      <c r="U1213" s="1566"/>
      <c r="V1213" s="1566"/>
      <c r="W1213" s="1566">
        <v>0</v>
      </c>
      <c r="X1213" s="1566"/>
      <c r="Y1213" s="1566"/>
      <c r="Z1213" s="1566"/>
      <c r="AA1213" s="1566">
        <v>0</v>
      </c>
      <c r="AB1213" s="1566"/>
      <c r="AC1213" s="1566"/>
      <c r="AD1213" s="1566"/>
      <c r="AE1213" s="1566"/>
      <c r="AF1213" s="1566"/>
      <c r="AG1213" s="1566">
        <v>200000</v>
      </c>
      <c r="AH1213" s="1566"/>
      <c r="AI1213" s="1566"/>
      <c r="AJ1213" s="1566"/>
      <c r="AK1213" s="1566"/>
    </row>
    <row r="1214" spans="2:37" ht="9.4" customHeight="1">
      <c r="B1214" s="1568" t="s">
        <v>345</v>
      </c>
      <c r="C1214" s="1568"/>
      <c r="D1214" s="1568"/>
      <c r="E1214" s="1568" t="s">
        <v>2497</v>
      </c>
      <c r="F1214" s="1568"/>
      <c r="G1214" s="1568"/>
      <c r="H1214" s="1568"/>
      <c r="J1214" s="1568" t="s">
        <v>2498</v>
      </c>
      <c r="K1214" s="1568"/>
      <c r="L1214" s="1568"/>
      <c r="M1214" s="1566">
        <v>0</v>
      </c>
      <c r="N1214" s="1566"/>
      <c r="O1214" s="1566"/>
      <c r="P1214" s="1566">
        <v>20388</v>
      </c>
      <c r="Q1214" s="1566"/>
      <c r="R1214" s="1566"/>
      <c r="S1214" s="1566">
        <v>0</v>
      </c>
      <c r="T1214" s="1566"/>
      <c r="U1214" s="1566"/>
      <c r="V1214" s="1566"/>
      <c r="W1214" s="1566">
        <v>0</v>
      </c>
      <c r="X1214" s="1566"/>
      <c r="Y1214" s="1566"/>
      <c r="Z1214" s="1566"/>
      <c r="AA1214" s="1566">
        <v>0</v>
      </c>
      <c r="AB1214" s="1566"/>
      <c r="AC1214" s="1566"/>
      <c r="AD1214" s="1566"/>
      <c r="AE1214" s="1566"/>
      <c r="AF1214" s="1566"/>
      <c r="AG1214" s="1566">
        <v>20388</v>
      </c>
      <c r="AH1214" s="1566"/>
      <c r="AI1214" s="1566"/>
      <c r="AJ1214" s="1566"/>
      <c r="AK1214" s="1566"/>
    </row>
    <row r="1215" spans="2:37" ht="9.4" customHeight="1">
      <c r="B1215" s="1568" t="s">
        <v>345</v>
      </c>
      <c r="C1215" s="1568"/>
      <c r="D1215" s="1568"/>
      <c r="E1215" s="1568" t="s">
        <v>2499</v>
      </c>
      <c r="F1215" s="1568"/>
      <c r="G1215" s="1568"/>
      <c r="H1215" s="1568"/>
      <c r="J1215" s="1568" t="s">
        <v>2428</v>
      </c>
      <c r="K1215" s="1568"/>
      <c r="L1215" s="1568"/>
      <c r="M1215" s="1566">
        <v>0</v>
      </c>
      <c r="N1215" s="1566"/>
      <c r="O1215" s="1566"/>
      <c r="P1215" s="1566">
        <v>800000</v>
      </c>
      <c r="Q1215" s="1566"/>
      <c r="R1215" s="1566"/>
      <c r="S1215" s="1566">
        <v>0</v>
      </c>
      <c r="T1215" s="1566"/>
      <c r="U1215" s="1566"/>
      <c r="V1215" s="1566"/>
      <c r="W1215" s="1566">
        <v>0</v>
      </c>
      <c r="X1215" s="1566"/>
      <c r="Y1215" s="1566"/>
      <c r="Z1215" s="1566"/>
      <c r="AA1215" s="1566">
        <v>0</v>
      </c>
      <c r="AB1215" s="1566"/>
      <c r="AC1215" s="1566"/>
      <c r="AD1215" s="1566"/>
      <c r="AE1215" s="1566"/>
      <c r="AF1215" s="1566"/>
      <c r="AG1215" s="1566">
        <v>800000</v>
      </c>
      <c r="AH1215" s="1566"/>
      <c r="AI1215" s="1566"/>
      <c r="AJ1215" s="1566"/>
      <c r="AK1215" s="1566"/>
    </row>
    <row r="1216" spans="2:37" ht="9.1999999999999993" customHeight="1">
      <c r="J1216" s="1568"/>
      <c r="K1216" s="1568"/>
      <c r="L1216" s="1568"/>
    </row>
    <row r="1217" spans="2:37" ht="8.4499999999999993" customHeight="1">
      <c r="B1217" s="1568" t="s">
        <v>345</v>
      </c>
      <c r="C1217" s="1568"/>
      <c r="D1217" s="1568"/>
      <c r="E1217" s="1568" t="s">
        <v>2500</v>
      </c>
      <c r="F1217" s="1568"/>
      <c r="G1217" s="1568"/>
      <c r="H1217" s="1568"/>
      <c r="J1217" s="1568" t="s">
        <v>2501</v>
      </c>
      <c r="K1217" s="1568"/>
      <c r="L1217" s="1568"/>
      <c r="M1217" s="1566">
        <v>0</v>
      </c>
      <c r="N1217" s="1566"/>
      <c r="O1217" s="1566"/>
      <c r="P1217" s="1566">
        <v>60000</v>
      </c>
      <c r="Q1217" s="1566"/>
      <c r="R1217" s="1566"/>
      <c r="S1217" s="1566">
        <v>0</v>
      </c>
      <c r="T1217" s="1566"/>
      <c r="U1217" s="1566"/>
      <c r="V1217" s="1566"/>
      <c r="W1217" s="1566">
        <v>0</v>
      </c>
      <c r="X1217" s="1566"/>
      <c r="Y1217" s="1566"/>
      <c r="Z1217" s="1566"/>
      <c r="AA1217" s="1566">
        <v>0</v>
      </c>
      <c r="AB1217" s="1566"/>
      <c r="AC1217" s="1566"/>
      <c r="AD1217" s="1566"/>
      <c r="AE1217" s="1566"/>
      <c r="AF1217" s="1566"/>
      <c r="AG1217" s="1566">
        <v>60000</v>
      </c>
      <c r="AH1217" s="1566"/>
      <c r="AI1217" s="1566"/>
      <c r="AJ1217" s="1566"/>
      <c r="AK1217" s="1566"/>
    </row>
    <row r="1218" spans="2:37" ht="9.4" customHeight="1">
      <c r="B1218" s="1568" t="s">
        <v>345</v>
      </c>
      <c r="C1218" s="1568"/>
      <c r="D1218" s="1568"/>
      <c r="E1218" s="1568" t="s">
        <v>2502</v>
      </c>
      <c r="F1218" s="1568"/>
      <c r="G1218" s="1568"/>
      <c r="H1218" s="1568"/>
      <c r="J1218" s="1568" t="s">
        <v>2503</v>
      </c>
      <c r="K1218" s="1568"/>
      <c r="L1218" s="1568"/>
      <c r="M1218" s="1566">
        <v>0</v>
      </c>
      <c r="N1218" s="1566"/>
      <c r="O1218" s="1566"/>
      <c r="P1218" s="1566">
        <v>300000</v>
      </c>
      <c r="Q1218" s="1566"/>
      <c r="R1218" s="1566"/>
      <c r="S1218" s="1566">
        <v>0</v>
      </c>
      <c r="T1218" s="1566"/>
      <c r="U1218" s="1566"/>
      <c r="V1218" s="1566"/>
      <c r="W1218" s="1566">
        <v>0</v>
      </c>
      <c r="X1218" s="1566"/>
      <c r="Y1218" s="1566"/>
      <c r="Z1218" s="1566"/>
      <c r="AA1218" s="1566">
        <v>0</v>
      </c>
      <c r="AB1218" s="1566"/>
      <c r="AC1218" s="1566"/>
      <c r="AD1218" s="1566"/>
      <c r="AE1218" s="1566"/>
      <c r="AF1218" s="1566"/>
      <c r="AG1218" s="1566">
        <v>300000</v>
      </c>
      <c r="AH1218" s="1566"/>
      <c r="AI1218" s="1566"/>
      <c r="AJ1218" s="1566"/>
      <c r="AK1218" s="1566"/>
    </row>
    <row r="1219" spans="2:37" ht="9.4" customHeight="1">
      <c r="B1219" s="1568" t="s">
        <v>345</v>
      </c>
      <c r="C1219" s="1568"/>
      <c r="D1219" s="1568"/>
      <c r="E1219" s="1568" t="s">
        <v>2504</v>
      </c>
      <c r="F1219" s="1568"/>
      <c r="G1219" s="1568"/>
      <c r="H1219" s="1568"/>
      <c r="J1219" s="1568" t="s">
        <v>2505</v>
      </c>
      <c r="K1219" s="1568"/>
      <c r="L1219" s="1568"/>
      <c r="M1219" s="1566">
        <v>0</v>
      </c>
      <c r="N1219" s="1566"/>
      <c r="O1219" s="1566"/>
      <c r="P1219" s="1566">
        <v>162837</v>
      </c>
      <c r="Q1219" s="1566"/>
      <c r="R1219" s="1566"/>
      <c r="S1219" s="1566">
        <v>0</v>
      </c>
      <c r="T1219" s="1566"/>
      <c r="U1219" s="1566"/>
      <c r="V1219" s="1566"/>
      <c r="W1219" s="1566">
        <v>0</v>
      </c>
      <c r="X1219" s="1566"/>
      <c r="Y1219" s="1566"/>
      <c r="Z1219" s="1566"/>
      <c r="AA1219" s="1566">
        <v>0</v>
      </c>
      <c r="AB1219" s="1566"/>
      <c r="AC1219" s="1566"/>
      <c r="AD1219" s="1566"/>
      <c r="AE1219" s="1566"/>
      <c r="AF1219" s="1566"/>
      <c r="AG1219" s="1566">
        <v>162837</v>
      </c>
      <c r="AH1219" s="1566"/>
      <c r="AI1219" s="1566"/>
      <c r="AJ1219" s="1566"/>
      <c r="AK1219" s="1566"/>
    </row>
    <row r="1220" spans="2:37" ht="9.1999999999999993" customHeight="1">
      <c r="J1220" s="1568"/>
      <c r="K1220" s="1568"/>
      <c r="L1220" s="1568"/>
    </row>
    <row r="1221" spans="2:37" ht="8.4499999999999993" customHeight="1">
      <c r="B1221" s="1568" t="s">
        <v>345</v>
      </c>
      <c r="C1221" s="1568"/>
      <c r="D1221" s="1568"/>
      <c r="E1221" s="1568" t="s">
        <v>2506</v>
      </c>
      <c r="F1221" s="1568"/>
      <c r="G1221" s="1568"/>
      <c r="H1221" s="1568"/>
      <c r="J1221" s="1568" t="s">
        <v>2507</v>
      </c>
      <c r="K1221" s="1568"/>
      <c r="L1221" s="1568"/>
      <c r="M1221" s="1566">
        <v>0</v>
      </c>
      <c r="N1221" s="1566"/>
      <c r="O1221" s="1566"/>
      <c r="P1221" s="1566">
        <v>5869462</v>
      </c>
      <c r="Q1221" s="1566"/>
      <c r="R1221" s="1566"/>
      <c r="S1221" s="1566">
        <v>0</v>
      </c>
      <c r="T1221" s="1566"/>
      <c r="U1221" s="1566"/>
      <c r="V1221" s="1566"/>
      <c r="W1221" s="1566">
        <v>0</v>
      </c>
      <c r="X1221" s="1566"/>
      <c r="Y1221" s="1566"/>
      <c r="Z1221" s="1566"/>
      <c r="AA1221" s="1566">
        <v>0</v>
      </c>
      <c r="AB1221" s="1566"/>
      <c r="AC1221" s="1566"/>
      <c r="AD1221" s="1566"/>
      <c r="AE1221" s="1566"/>
      <c r="AF1221" s="1566"/>
      <c r="AG1221" s="1566">
        <v>5869462</v>
      </c>
      <c r="AH1221" s="1566"/>
      <c r="AI1221" s="1566"/>
      <c r="AJ1221" s="1566"/>
      <c r="AK1221" s="1566"/>
    </row>
    <row r="1222" spans="2:37" ht="9.4" customHeight="1">
      <c r="B1222" s="1568" t="s">
        <v>345</v>
      </c>
      <c r="C1222" s="1568"/>
      <c r="D1222" s="1568"/>
      <c r="E1222" s="1568" t="s">
        <v>2508</v>
      </c>
      <c r="F1222" s="1568"/>
      <c r="G1222" s="1568"/>
      <c r="H1222" s="1568"/>
      <c r="J1222" s="1568" t="s">
        <v>2509</v>
      </c>
      <c r="K1222" s="1568"/>
      <c r="L1222" s="1568"/>
      <c r="M1222" s="1566">
        <v>0</v>
      </c>
      <c r="N1222" s="1566"/>
      <c r="O1222" s="1566"/>
      <c r="P1222" s="1566">
        <v>420000</v>
      </c>
      <c r="Q1222" s="1566"/>
      <c r="R1222" s="1566"/>
      <c r="S1222" s="1566">
        <v>0</v>
      </c>
      <c r="T1222" s="1566"/>
      <c r="U1222" s="1566"/>
      <c r="V1222" s="1566"/>
      <c r="W1222" s="1566">
        <v>0</v>
      </c>
      <c r="X1222" s="1566"/>
      <c r="Y1222" s="1566"/>
      <c r="Z1222" s="1566"/>
      <c r="AA1222" s="1566">
        <v>0</v>
      </c>
      <c r="AB1222" s="1566"/>
      <c r="AC1222" s="1566"/>
      <c r="AD1222" s="1566"/>
      <c r="AE1222" s="1566"/>
      <c r="AF1222" s="1566"/>
      <c r="AG1222" s="1566">
        <v>420000</v>
      </c>
      <c r="AH1222" s="1566"/>
      <c r="AI1222" s="1566"/>
      <c r="AJ1222" s="1566"/>
      <c r="AK1222" s="1566"/>
    </row>
    <row r="1223" spans="2:37" ht="9.4" customHeight="1">
      <c r="B1223" s="1568" t="s">
        <v>345</v>
      </c>
      <c r="C1223" s="1568"/>
      <c r="D1223" s="1568"/>
      <c r="E1223" s="1568" t="s">
        <v>2511</v>
      </c>
      <c r="F1223" s="1568"/>
      <c r="G1223" s="1568"/>
      <c r="H1223" s="1568"/>
      <c r="J1223" s="1568" t="s">
        <v>2512</v>
      </c>
      <c r="K1223" s="1568"/>
      <c r="L1223" s="1568"/>
      <c r="M1223" s="1566">
        <v>0</v>
      </c>
      <c r="N1223" s="1566"/>
      <c r="O1223" s="1566"/>
      <c r="P1223" s="1566">
        <v>10000</v>
      </c>
      <c r="Q1223" s="1566"/>
      <c r="R1223" s="1566"/>
      <c r="S1223" s="1566">
        <v>0</v>
      </c>
      <c r="T1223" s="1566"/>
      <c r="U1223" s="1566"/>
      <c r="V1223" s="1566"/>
      <c r="W1223" s="1566">
        <v>0</v>
      </c>
      <c r="X1223" s="1566"/>
      <c r="Y1223" s="1566"/>
      <c r="Z1223" s="1566"/>
      <c r="AA1223" s="1566">
        <v>0</v>
      </c>
      <c r="AB1223" s="1566"/>
      <c r="AC1223" s="1566"/>
      <c r="AD1223" s="1566"/>
      <c r="AE1223" s="1566"/>
      <c r="AF1223" s="1566"/>
      <c r="AG1223" s="1566">
        <v>10000</v>
      </c>
      <c r="AH1223" s="1566"/>
      <c r="AI1223" s="1566"/>
      <c r="AJ1223" s="1566"/>
      <c r="AK1223" s="1566"/>
    </row>
    <row r="1224" spans="2:37" ht="9.4" customHeight="1">
      <c r="B1224" s="1568" t="s">
        <v>345</v>
      </c>
      <c r="C1224" s="1568"/>
      <c r="D1224" s="1568"/>
      <c r="E1224" s="1568" t="s">
        <v>2513</v>
      </c>
      <c r="F1224" s="1568"/>
      <c r="G1224" s="1568"/>
      <c r="H1224" s="1568"/>
      <c r="J1224" s="1568" t="s">
        <v>2514</v>
      </c>
      <c r="K1224" s="1568"/>
      <c r="L1224" s="1568"/>
      <c r="M1224" s="1566">
        <v>0</v>
      </c>
      <c r="N1224" s="1566"/>
      <c r="O1224" s="1566"/>
      <c r="P1224" s="1566">
        <v>240000</v>
      </c>
      <c r="Q1224" s="1566"/>
      <c r="R1224" s="1566"/>
      <c r="S1224" s="1566">
        <v>0</v>
      </c>
      <c r="T1224" s="1566"/>
      <c r="U1224" s="1566"/>
      <c r="V1224" s="1566"/>
      <c r="W1224" s="1566">
        <v>0</v>
      </c>
      <c r="X1224" s="1566"/>
      <c r="Y1224" s="1566"/>
      <c r="Z1224" s="1566"/>
      <c r="AA1224" s="1566">
        <v>0</v>
      </c>
      <c r="AB1224" s="1566"/>
      <c r="AC1224" s="1566"/>
      <c r="AD1224" s="1566"/>
      <c r="AE1224" s="1566"/>
      <c r="AF1224" s="1566"/>
      <c r="AG1224" s="1566">
        <v>240000</v>
      </c>
      <c r="AH1224" s="1566"/>
      <c r="AI1224" s="1566"/>
      <c r="AJ1224" s="1566"/>
      <c r="AK1224" s="1566"/>
    </row>
    <row r="1225" spans="2:37" ht="9.4" customHeight="1">
      <c r="B1225" s="1568" t="s">
        <v>345</v>
      </c>
      <c r="C1225" s="1568"/>
      <c r="D1225" s="1568"/>
      <c r="E1225" s="1568" t="s">
        <v>2515</v>
      </c>
      <c r="F1225" s="1568"/>
      <c r="G1225" s="1568"/>
      <c r="H1225" s="1568"/>
      <c r="J1225" s="1568" t="s">
        <v>2516</v>
      </c>
      <c r="K1225" s="1568"/>
      <c r="L1225" s="1568"/>
      <c r="M1225" s="1566">
        <v>0</v>
      </c>
      <c r="N1225" s="1566"/>
      <c r="O1225" s="1566"/>
      <c r="P1225" s="1566">
        <v>446471</v>
      </c>
      <c r="Q1225" s="1566"/>
      <c r="R1225" s="1566"/>
      <c r="S1225" s="1566">
        <v>0</v>
      </c>
      <c r="T1225" s="1566"/>
      <c r="U1225" s="1566"/>
      <c r="V1225" s="1566"/>
      <c r="W1225" s="1566">
        <v>0</v>
      </c>
      <c r="X1225" s="1566"/>
      <c r="Y1225" s="1566"/>
      <c r="Z1225" s="1566"/>
      <c r="AA1225" s="1566">
        <v>0</v>
      </c>
      <c r="AB1225" s="1566"/>
      <c r="AC1225" s="1566"/>
      <c r="AD1225" s="1566"/>
      <c r="AE1225" s="1566"/>
      <c r="AF1225" s="1566"/>
      <c r="AG1225" s="1566">
        <v>446471</v>
      </c>
      <c r="AH1225" s="1566"/>
      <c r="AI1225" s="1566"/>
      <c r="AJ1225" s="1566"/>
      <c r="AK1225" s="1566"/>
    </row>
    <row r="1226" spans="2:37" ht="9.4" customHeight="1">
      <c r="B1226" s="1568" t="s">
        <v>345</v>
      </c>
      <c r="C1226" s="1568"/>
      <c r="D1226" s="1568"/>
      <c r="E1226" s="1568" t="s">
        <v>2517</v>
      </c>
      <c r="F1226" s="1568"/>
      <c r="G1226" s="1568"/>
      <c r="H1226" s="1568"/>
      <c r="J1226" s="1568" t="s">
        <v>2518</v>
      </c>
      <c r="K1226" s="1568"/>
      <c r="L1226" s="1568"/>
      <c r="M1226" s="1566">
        <v>0</v>
      </c>
      <c r="N1226" s="1566"/>
      <c r="O1226" s="1566"/>
      <c r="P1226" s="1566">
        <v>330523</v>
      </c>
      <c r="Q1226" s="1566"/>
      <c r="R1226" s="1566"/>
      <c r="S1226" s="1566">
        <v>0</v>
      </c>
      <c r="T1226" s="1566"/>
      <c r="U1226" s="1566"/>
      <c r="V1226" s="1566"/>
      <c r="W1226" s="1566">
        <v>0</v>
      </c>
      <c r="X1226" s="1566"/>
      <c r="Y1226" s="1566"/>
      <c r="Z1226" s="1566"/>
      <c r="AA1226" s="1566">
        <v>0</v>
      </c>
      <c r="AB1226" s="1566"/>
      <c r="AC1226" s="1566"/>
      <c r="AD1226" s="1566"/>
      <c r="AE1226" s="1566"/>
      <c r="AF1226" s="1566"/>
      <c r="AG1226" s="1566">
        <v>330523</v>
      </c>
      <c r="AH1226" s="1566"/>
      <c r="AI1226" s="1566"/>
      <c r="AJ1226" s="1566"/>
      <c r="AK1226" s="1566"/>
    </row>
    <row r="1227" spans="2:37" ht="9.4" customHeight="1">
      <c r="B1227" s="1568" t="s">
        <v>345</v>
      </c>
      <c r="C1227" s="1568"/>
      <c r="D1227" s="1568"/>
      <c r="E1227" s="1568" t="s">
        <v>2519</v>
      </c>
      <c r="F1227" s="1568"/>
      <c r="G1227" s="1568"/>
      <c r="H1227" s="1568"/>
      <c r="J1227" s="1568" t="s">
        <v>2392</v>
      </c>
      <c r="K1227" s="1568"/>
      <c r="L1227" s="1568"/>
      <c r="M1227" s="1566">
        <v>0</v>
      </c>
      <c r="N1227" s="1566"/>
      <c r="O1227" s="1566"/>
      <c r="P1227" s="1566">
        <v>3414890</v>
      </c>
      <c r="Q1227" s="1566"/>
      <c r="R1227" s="1566"/>
      <c r="S1227" s="1566">
        <v>0</v>
      </c>
      <c r="T1227" s="1566"/>
      <c r="U1227" s="1566"/>
      <c r="V1227" s="1566"/>
      <c r="W1227" s="1566">
        <v>0</v>
      </c>
      <c r="X1227" s="1566"/>
      <c r="Y1227" s="1566"/>
      <c r="Z1227" s="1566"/>
      <c r="AA1227" s="1566">
        <v>0</v>
      </c>
      <c r="AB1227" s="1566"/>
      <c r="AC1227" s="1566"/>
      <c r="AD1227" s="1566"/>
      <c r="AE1227" s="1566"/>
      <c r="AF1227" s="1566"/>
      <c r="AG1227" s="1566">
        <v>3414890</v>
      </c>
      <c r="AH1227" s="1566"/>
      <c r="AI1227" s="1566"/>
      <c r="AJ1227" s="1566"/>
      <c r="AK1227" s="1566"/>
    </row>
    <row r="1228" spans="2:37" ht="9.4" customHeight="1">
      <c r="B1228" s="1568" t="s">
        <v>345</v>
      </c>
      <c r="C1228" s="1568"/>
      <c r="D1228" s="1568"/>
      <c r="E1228" s="1568" t="s">
        <v>2520</v>
      </c>
      <c r="F1228" s="1568"/>
      <c r="G1228" s="1568"/>
      <c r="H1228" s="1568"/>
      <c r="J1228" s="1568" t="s">
        <v>2395</v>
      </c>
      <c r="K1228" s="1568"/>
      <c r="L1228" s="1568"/>
      <c r="M1228" s="1566">
        <v>0</v>
      </c>
      <c r="N1228" s="1566"/>
      <c r="O1228" s="1566"/>
      <c r="P1228" s="1566">
        <v>479982</v>
      </c>
      <c r="Q1228" s="1566"/>
      <c r="R1228" s="1566"/>
      <c r="S1228" s="1566">
        <v>0</v>
      </c>
      <c r="T1228" s="1566"/>
      <c r="U1228" s="1566"/>
      <c r="V1228" s="1566"/>
      <c r="W1228" s="1566">
        <v>0</v>
      </c>
      <c r="X1228" s="1566"/>
      <c r="Y1228" s="1566"/>
      <c r="Z1228" s="1566"/>
      <c r="AA1228" s="1566">
        <v>0</v>
      </c>
      <c r="AB1228" s="1566"/>
      <c r="AC1228" s="1566"/>
      <c r="AD1228" s="1566"/>
      <c r="AE1228" s="1566"/>
      <c r="AF1228" s="1566"/>
      <c r="AG1228" s="1566">
        <v>479982</v>
      </c>
      <c r="AH1228" s="1566"/>
      <c r="AI1228" s="1566"/>
      <c r="AJ1228" s="1566"/>
      <c r="AK1228" s="1566"/>
    </row>
    <row r="1229" spans="2:37" ht="9.4" customHeight="1">
      <c r="B1229" s="1568" t="s">
        <v>345</v>
      </c>
      <c r="C1229" s="1568"/>
      <c r="D1229" s="1568"/>
      <c r="E1229" s="1568" t="s">
        <v>2521</v>
      </c>
      <c r="F1229" s="1568"/>
      <c r="G1229" s="1568"/>
      <c r="H1229" s="1568"/>
      <c r="J1229" s="1568" t="s">
        <v>2397</v>
      </c>
      <c r="K1229" s="1568"/>
      <c r="L1229" s="1568"/>
      <c r="M1229" s="1566">
        <v>0</v>
      </c>
      <c r="N1229" s="1566"/>
      <c r="O1229" s="1566"/>
      <c r="P1229" s="1566">
        <v>47429</v>
      </c>
      <c r="Q1229" s="1566"/>
      <c r="R1229" s="1566"/>
      <c r="S1229" s="1566">
        <v>0</v>
      </c>
      <c r="T1229" s="1566"/>
      <c r="U1229" s="1566"/>
      <c r="V1229" s="1566"/>
      <c r="W1229" s="1566">
        <v>0</v>
      </c>
      <c r="X1229" s="1566"/>
      <c r="Y1229" s="1566"/>
      <c r="Z1229" s="1566"/>
      <c r="AA1229" s="1566">
        <v>0</v>
      </c>
      <c r="AB1229" s="1566"/>
      <c r="AC1229" s="1566"/>
      <c r="AD1229" s="1566"/>
      <c r="AE1229" s="1566"/>
      <c r="AF1229" s="1566"/>
      <c r="AG1229" s="1566">
        <v>47429</v>
      </c>
      <c r="AH1229" s="1566"/>
      <c r="AI1229" s="1566"/>
      <c r="AJ1229" s="1566"/>
      <c r="AK1229" s="1566"/>
    </row>
    <row r="1230" spans="2:37" ht="9.4" customHeight="1">
      <c r="B1230" s="1568" t="s">
        <v>345</v>
      </c>
      <c r="C1230" s="1568"/>
      <c r="D1230" s="1568"/>
      <c r="E1230" s="1568" t="s">
        <v>2522</v>
      </c>
      <c r="F1230" s="1568"/>
      <c r="G1230" s="1568"/>
      <c r="H1230" s="1568"/>
      <c r="J1230" s="1568" t="s">
        <v>2399</v>
      </c>
      <c r="K1230" s="1568"/>
      <c r="L1230" s="1568"/>
      <c r="M1230" s="1566">
        <v>0</v>
      </c>
      <c r="N1230" s="1566"/>
      <c r="O1230" s="1566"/>
      <c r="P1230" s="1566">
        <v>60000</v>
      </c>
      <c r="Q1230" s="1566"/>
      <c r="R1230" s="1566"/>
      <c r="S1230" s="1566">
        <v>0</v>
      </c>
      <c r="T1230" s="1566"/>
      <c r="U1230" s="1566"/>
      <c r="V1230" s="1566"/>
      <c r="W1230" s="1566">
        <v>0</v>
      </c>
      <c r="X1230" s="1566"/>
      <c r="Y1230" s="1566"/>
      <c r="Z1230" s="1566"/>
      <c r="AA1230" s="1566">
        <v>0</v>
      </c>
      <c r="AB1230" s="1566"/>
      <c r="AC1230" s="1566"/>
      <c r="AD1230" s="1566"/>
      <c r="AE1230" s="1566"/>
      <c r="AF1230" s="1566"/>
      <c r="AG1230" s="1566">
        <v>60000</v>
      </c>
      <c r="AH1230" s="1566"/>
      <c r="AI1230" s="1566"/>
      <c r="AJ1230" s="1566"/>
      <c r="AK1230" s="1566"/>
    </row>
    <row r="1231" spans="2:37" ht="9.4" customHeight="1">
      <c r="B1231" s="1568" t="s">
        <v>345</v>
      </c>
      <c r="C1231" s="1568"/>
      <c r="D1231" s="1568"/>
      <c r="E1231" s="1568" t="s">
        <v>2523</v>
      </c>
      <c r="F1231" s="1568"/>
      <c r="G1231" s="1568"/>
      <c r="H1231" s="1568"/>
      <c r="J1231" s="1568" t="s">
        <v>2401</v>
      </c>
      <c r="K1231" s="1568"/>
      <c r="L1231" s="1568"/>
      <c r="M1231" s="1566">
        <v>0</v>
      </c>
      <c r="N1231" s="1566"/>
      <c r="O1231" s="1566"/>
      <c r="P1231" s="1566">
        <v>580531</v>
      </c>
      <c r="Q1231" s="1566"/>
      <c r="R1231" s="1566"/>
      <c r="S1231" s="1566">
        <v>0</v>
      </c>
      <c r="T1231" s="1566"/>
      <c r="U1231" s="1566"/>
      <c r="V1231" s="1566"/>
      <c r="W1231" s="1566">
        <v>0</v>
      </c>
      <c r="X1231" s="1566"/>
      <c r="Y1231" s="1566"/>
      <c r="Z1231" s="1566"/>
      <c r="AA1231" s="1566">
        <v>0</v>
      </c>
      <c r="AB1231" s="1566"/>
      <c r="AC1231" s="1566"/>
      <c r="AD1231" s="1566"/>
      <c r="AE1231" s="1566"/>
      <c r="AF1231" s="1566"/>
      <c r="AG1231" s="1566">
        <v>580531</v>
      </c>
      <c r="AH1231" s="1566"/>
      <c r="AI1231" s="1566"/>
      <c r="AJ1231" s="1566"/>
      <c r="AK1231" s="1566"/>
    </row>
    <row r="1232" spans="2:37" ht="9.4" customHeight="1">
      <c r="B1232" s="1568" t="s">
        <v>345</v>
      </c>
      <c r="C1232" s="1568"/>
      <c r="D1232" s="1568"/>
      <c r="E1232" s="1568" t="s">
        <v>2524</v>
      </c>
      <c r="F1232" s="1568"/>
      <c r="G1232" s="1568"/>
      <c r="H1232" s="1568"/>
      <c r="J1232" s="1568" t="s">
        <v>2403</v>
      </c>
      <c r="K1232" s="1568"/>
      <c r="L1232" s="1568"/>
      <c r="M1232" s="1566">
        <v>0</v>
      </c>
      <c r="N1232" s="1566"/>
      <c r="O1232" s="1566"/>
      <c r="P1232" s="1566">
        <v>12650</v>
      </c>
      <c r="Q1232" s="1566"/>
      <c r="R1232" s="1566"/>
      <c r="S1232" s="1566">
        <v>0</v>
      </c>
      <c r="T1232" s="1566"/>
      <c r="U1232" s="1566"/>
      <c r="V1232" s="1566"/>
      <c r="W1232" s="1566">
        <v>0</v>
      </c>
      <c r="X1232" s="1566"/>
      <c r="Y1232" s="1566"/>
      <c r="Z1232" s="1566"/>
      <c r="AA1232" s="1566">
        <v>0</v>
      </c>
      <c r="AB1232" s="1566"/>
      <c r="AC1232" s="1566"/>
      <c r="AD1232" s="1566"/>
      <c r="AE1232" s="1566"/>
      <c r="AF1232" s="1566"/>
      <c r="AG1232" s="1566">
        <v>12650</v>
      </c>
      <c r="AH1232" s="1566"/>
      <c r="AI1232" s="1566"/>
      <c r="AJ1232" s="1566"/>
      <c r="AK1232" s="1566"/>
    </row>
    <row r="1233" spans="2:37" ht="9.4" customHeight="1">
      <c r="B1233" s="1568" t="s">
        <v>345</v>
      </c>
      <c r="C1233" s="1568"/>
      <c r="D1233" s="1568"/>
      <c r="E1233" s="1568" t="s">
        <v>2525</v>
      </c>
      <c r="F1233" s="1568"/>
      <c r="G1233" s="1568"/>
      <c r="H1233" s="1568"/>
      <c r="J1233" s="1568" t="s">
        <v>2405</v>
      </c>
      <c r="K1233" s="1568"/>
      <c r="L1233" s="1568"/>
      <c r="M1233" s="1566">
        <v>0</v>
      </c>
      <c r="N1233" s="1566"/>
      <c r="O1233" s="1566"/>
      <c r="P1233" s="1566">
        <v>194503</v>
      </c>
      <c r="Q1233" s="1566"/>
      <c r="R1233" s="1566"/>
      <c r="S1233" s="1566">
        <v>0</v>
      </c>
      <c r="T1233" s="1566"/>
      <c r="U1233" s="1566"/>
      <c r="V1233" s="1566"/>
      <c r="W1233" s="1566">
        <v>0</v>
      </c>
      <c r="X1233" s="1566"/>
      <c r="Y1233" s="1566"/>
      <c r="Z1233" s="1566"/>
      <c r="AA1233" s="1566">
        <v>0</v>
      </c>
      <c r="AB1233" s="1566"/>
      <c r="AC1233" s="1566"/>
      <c r="AD1233" s="1566"/>
      <c r="AE1233" s="1566"/>
      <c r="AF1233" s="1566"/>
      <c r="AG1233" s="1566">
        <v>194503</v>
      </c>
      <c r="AH1233" s="1566"/>
      <c r="AI1233" s="1566"/>
      <c r="AJ1233" s="1566"/>
      <c r="AK1233" s="1566"/>
    </row>
    <row r="1234" spans="2:37" ht="9.4" customHeight="1">
      <c r="B1234" s="1568" t="s">
        <v>345</v>
      </c>
      <c r="C1234" s="1568"/>
      <c r="D1234" s="1568"/>
      <c r="E1234" s="1568" t="s">
        <v>2526</v>
      </c>
      <c r="F1234" s="1568"/>
      <c r="G1234" s="1568"/>
      <c r="H1234" s="1568"/>
      <c r="J1234" s="1568" t="s">
        <v>2407</v>
      </c>
      <c r="K1234" s="1568"/>
      <c r="L1234" s="1568"/>
      <c r="M1234" s="1566">
        <v>0</v>
      </c>
      <c r="N1234" s="1566"/>
      <c r="O1234" s="1566"/>
      <c r="P1234" s="1566">
        <v>158547</v>
      </c>
      <c r="Q1234" s="1566"/>
      <c r="R1234" s="1566"/>
      <c r="S1234" s="1566">
        <v>0</v>
      </c>
      <c r="T1234" s="1566"/>
      <c r="U1234" s="1566"/>
      <c r="V1234" s="1566"/>
      <c r="W1234" s="1566">
        <v>0</v>
      </c>
      <c r="X1234" s="1566"/>
      <c r="Y1234" s="1566"/>
      <c r="Z1234" s="1566"/>
      <c r="AA1234" s="1566">
        <v>0</v>
      </c>
      <c r="AB1234" s="1566"/>
      <c r="AC1234" s="1566"/>
      <c r="AD1234" s="1566"/>
      <c r="AE1234" s="1566"/>
      <c r="AF1234" s="1566"/>
      <c r="AG1234" s="1566">
        <v>158547</v>
      </c>
      <c r="AH1234" s="1566"/>
      <c r="AI1234" s="1566"/>
      <c r="AJ1234" s="1566"/>
      <c r="AK1234" s="1566"/>
    </row>
    <row r="1235" spans="2:37" ht="9.4" customHeight="1">
      <c r="B1235" s="1568" t="s">
        <v>345</v>
      </c>
      <c r="C1235" s="1568"/>
      <c r="D1235" s="1568"/>
      <c r="E1235" s="1568" t="s">
        <v>2527</v>
      </c>
      <c r="F1235" s="1568"/>
      <c r="G1235" s="1568"/>
      <c r="H1235" s="1568"/>
      <c r="J1235" s="1568" t="s">
        <v>2424</v>
      </c>
      <c r="K1235" s="1568"/>
      <c r="L1235" s="1568"/>
      <c r="M1235" s="1566">
        <v>0</v>
      </c>
      <c r="N1235" s="1566"/>
      <c r="O1235" s="1566"/>
      <c r="P1235" s="1566">
        <v>7430600</v>
      </c>
      <c r="Q1235" s="1566"/>
      <c r="R1235" s="1566"/>
      <c r="S1235" s="1566">
        <v>0</v>
      </c>
      <c r="T1235" s="1566"/>
      <c r="U1235" s="1566"/>
      <c r="V1235" s="1566"/>
      <c r="W1235" s="1566">
        <v>0</v>
      </c>
      <c r="X1235" s="1566"/>
      <c r="Y1235" s="1566"/>
      <c r="Z1235" s="1566"/>
      <c r="AA1235" s="1566">
        <v>0</v>
      </c>
      <c r="AB1235" s="1566"/>
      <c r="AC1235" s="1566"/>
      <c r="AD1235" s="1566"/>
      <c r="AE1235" s="1566"/>
      <c r="AF1235" s="1566"/>
      <c r="AG1235" s="1566">
        <v>7430600</v>
      </c>
      <c r="AH1235" s="1566"/>
      <c r="AI1235" s="1566"/>
      <c r="AJ1235" s="1566"/>
      <c r="AK1235" s="1566"/>
    </row>
    <row r="1236" spans="2:37" ht="9.1999999999999993" customHeight="1">
      <c r="J1236" s="1568"/>
      <c r="K1236" s="1568"/>
      <c r="L1236" s="1568"/>
    </row>
    <row r="1237" spans="2:37" ht="8.4499999999999993" customHeight="1">
      <c r="B1237" s="1568" t="s">
        <v>345</v>
      </c>
      <c r="C1237" s="1568"/>
      <c r="D1237" s="1568"/>
      <c r="E1237" s="1568" t="s">
        <v>2528</v>
      </c>
      <c r="F1237" s="1568"/>
      <c r="G1237" s="1568"/>
      <c r="H1237" s="1568"/>
      <c r="J1237" s="1568" t="s">
        <v>2529</v>
      </c>
      <c r="K1237" s="1568"/>
      <c r="L1237" s="1568"/>
      <c r="M1237" s="1566">
        <v>0</v>
      </c>
      <c r="N1237" s="1566"/>
      <c r="O1237" s="1566"/>
      <c r="P1237" s="1566">
        <v>720000</v>
      </c>
      <c r="Q1237" s="1566"/>
      <c r="R1237" s="1566"/>
      <c r="S1237" s="1566">
        <v>0</v>
      </c>
      <c r="T1237" s="1566"/>
      <c r="U1237" s="1566"/>
      <c r="V1237" s="1566"/>
      <c r="W1237" s="1566">
        <v>0</v>
      </c>
      <c r="X1237" s="1566"/>
      <c r="Y1237" s="1566"/>
      <c r="Z1237" s="1566"/>
      <c r="AA1237" s="1566">
        <v>0</v>
      </c>
      <c r="AB1237" s="1566"/>
      <c r="AC1237" s="1566"/>
      <c r="AD1237" s="1566"/>
      <c r="AE1237" s="1566"/>
      <c r="AF1237" s="1566"/>
      <c r="AG1237" s="1566">
        <v>720000</v>
      </c>
      <c r="AH1237" s="1566"/>
      <c r="AI1237" s="1566"/>
      <c r="AJ1237" s="1566"/>
      <c r="AK1237" s="1566"/>
    </row>
    <row r="1238" spans="2:37" ht="9.4" customHeight="1">
      <c r="B1238" s="1568" t="s">
        <v>345</v>
      </c>
      <c r="C1238" s="1568"/>
      <c r="D1238" s="1568"/>
      <c r="E1238" s="1568" t="s">
        <v>2530</v>
      </c>
      <c r="F1238" s="1568"/>
      <c r="G1238" s="1568"/>
      <c r="H1238" s="1568"/>
      <c r="J1238" s="1568" t="s">
        <v>2531</v>
      </c>
      <c r="K1238" s="1568"/>
      <c r="L1238" s="1568"/>
      <c r="M1238" s="1566">
        <v>0</v>
      </c>
      <c r="N1238" s="1566"/>
      <c r="O1238" s="1566"/>
      <c r="P1238" s="1566">
        <v>1408000</v>
      </c>
      <c r="Q1238" s="1566"/>
      <c r="R1238" s="1566"/>
      <c r="S1238" s="1566">
        <v>0</v>
      </c>
      <c r="T1238" s="1566"/>
      <c r="U1238" s="1566"/>
      <c r="V1238" s="1566"/>
      <c r="W1238" s="1566">
        <v>0</v>
      </c>
      <c r="X1238" s="1566"/>
      <c r="Y1238" s="1566"/>
      <c r="Z1238" s="1566"/>
      <c r="AA1238" s="1566">
        <v>0</v>
      </c>
      <c r="AB1238" s="1566"/>
      <c r="AC1238" s="1566"/>
      <c r="AD1238" s="1566"/>
      <c r="AE1238" s="1566"/>
      <c r="AF1238" s="1566"/>
      <c r="AG1238" s="1566">
        <v>1408000</v>
      </c>
      <c r="AH1238" s="1566"/>
      <c r="AI1238" s="1566"/>
      <c r="AJ1238" s="1566"/>
      <c r="AK1238" s="1566"/>
    </row>
    <row r="1239" spans="2:37" ht="9.4" customHeight="1">
      <c r="B1239" s="1568" t="s">
        <v>345</v>
      </c>
      <c r="C1239" s="1568"/>
      <c r="D1239" s="1568"/>
      <c r="E1239" s="1568" t="s">
        <v>2532</v>
      </c>
      <c r="F1239" s="1568"/>
      <c r="G1239" s="1568"/>
      <c r="H1239" s="1568"/>
      <c r="J1239" s="1568" t="s">
        <v>2533</v>
      </c>
      <c r="K1239" s="1568"/>
      <c r="L1239" s="1568"/>
      <c r="M1239" s="1566">
        <v>0</v>
      </c>
      <c r="N1239" s="1566"/>
      <c r="O1239" s="1566"/>
      <c r="P1239" s="1566">
        <v>2049000</v>
      </c>
      <c r="Q1239" s="1566"/>
      <c r="R1239" s="1566"/>
      <c r="S1239" s="1566">
        <v>0</v>
      </c>
      <c r="T1239" s="1566"/>
      <c r="U1239" s="1566"/>
      <c r="V1239" s="1566"/>
      <c r="W1239" s="1566">
        <v>0</v>
      </c>
      <c r="X1239" s="1566"/>
      <c r="Y1239" s="1566"/>
      <c r="Z1239" s="1566"/>
      <c r="AA1239" s="1566">
        <v>0</v>
      </c>
      <c r="AB1239" s="1566"/>
      <c r="AC1239" s="1566"/>
      <c r="AD1239" s="1566"/>
      <c r="AE1239" s="1566"/>
      <c r="AF1239" s="1566"/>
      <c r="AG1239" s="1566">
        <v>2049000</v>
      </c>
      <c r="AH1239" s="1566"/>
      <c r="AI1239" s="1566"/>
      <c r="AJ1239" s="1566"/>
      <c r="AK1239" s="1566"/>
    </row>
    <row r="1240" spans="2:37" ht="9.4" customHeight="1">
      <c r="B1240" s="1568" t="s">
        <v>345</v>
      </c>
      <c r="C1240" s="1568"/>
      <c r="D1240" s="1568"/>
      <c r="E1240" s="1568" t="s">
        <v>2534</v>
      </c>
      <c r="F1240" s="1568"/>
      <c r="G1240" s="1568"/>
      <c r="H1240" s="1568"/>
      <c r="J1240" s="1568" t="s">
        <v>2535</v>
      </c>
      <c r="K1240" s="1568"/>
      <c r="L1240" s="1568"/>
      <c r="M1240" s="1566">
        <v>0</v>
      </c>
      <c r="N1240" s="1566"/>
      <c r="O1240" s="1566"/>
      <c r="P1240" s="1566">
        <v>360000</v>
      </c>
      <c r="Q1240" s="1566"/>
      <c r="R1240" s="1566"/>
      <c r="S1240" s="1566">
        <v>0</v>
      </c>
      <c r="T1240" s="1566"/>
      <c r="U1240" s="1566"/>
      <c r="V1240" s="1566"/>
      <c r="W1240" s="1566">
        <v>0</v>
      </c>
      <c r="X1240" s="1566"/>
      <c r="Y1240" s="1566"/>
      <c r="Z1240" s="1566"/>
      <c r="AA1240" s="1566">
        <v>0</v>
      </c>
      <c r="AB1240" s="1566"/>
      <c r="AC1240" s="1566"/>
      <c r="AD1240" s="1566"/>
      <c r="AE1240" s="1566"/>
      <c r="AF1240" s="1566"/>
      <c r="AG1240" s="1566">
        <v>360000</v>
      </c>
      <c r="AH1240" s="1566"/>
      <c r="AI1240" s="1566"/>
      <c r="AJ1240" s="1566"/>
      <c r="AK1240" s="1566"/>
    </row>
    <row r="1241" spans="2:37" ht="9.4" customHeight="1">
      <c r="B1241" s="1568" t="s">
        <v>1326</v>
      </c>
      <c r="C1241" s="1568"/>
      <c r="D1241" s="1568"/>
      <c r="E1241" s="1568" t="s">
        <v>1695</v>
      </c>
      <c r="F1241" s="1568"/>
      <c r="G1241" s="1568"/>
      <c r="H1241" s="1568"/>
      <c r="J1241" s="1568" t="s">
        <v>1696</v>
      </c>
      <c r="K1241" s="1568"/>
      <c r="L1241" s="1568"/>
      <c r="M1241" s="1566">
        <v>126976497.93000001</v>
      </c>
      <c r="N1241" s="1566"/>
      <c r="O1241" s="1566"/>
      <c r="P1241" s="1566">
        <v>0</v>
      </c>
      <c r="Q1241" s="1566"/>
      <c r="R1241" s="1566"/>
      <c r="S1241" s="1566">
        <v>0</v>
      </c>
      <c r="T1241" s="1566"/>
      <c r="U1241" s="1566"/>
      <c r="V1241" s="1566"/>
      <c r="W1241" s="1566">
        <v>3736719.24</v>
      </c>
      <c r="X1241" s="1566"/>
      <c r="Y1241" s="1566"/>
      <c r="Z1241" s="1566"/>
      <c r="AA1241" s="1566">
        <v>123239778.69</v>
      </c>
      <c r="AB1241" s="1566"/>
      <c r="AC1241" s="1566"/>
      <c r="AD1241" s="1566"/>
      <c r="AE1241" s="1566"/>
      <c r="AF1241" s="1566"/>
      <c r="AG1241" s="1566">
        <v>0</v>
      </c>
      <c r="AH1241" s="1566"/>
      <c r="AI1241" s="1566"/>
      <c r="AJ1241" s="1566"/>
      <c r="AK1241" s="1566"/>
    </row>
    <row r="1242" spans="2:37" ht="9.4" customHeight="1">
      <c r="B1242" s="1568" t="s">
        <v>1326</v>
      </c>
      <c r="C1242" s="1568"/>
      <c r="D1242" s="1568"/>
      <c r="E1242" s="1568" t="s">
        <v>2536</v>
      </c>
      <c r="F1242" s="1568"/>
      <c r="G1242" s="1568"/>
      <c r="H1242" s="1568"/>
      <c r="J1242" s="1568" t="s">
        <v>2392</v>
      </c>
      <c r="K1242" s="1568"/>
      <c r="L1242" s="1568"/>
      <c r="M1242" s="1566">
        <v>698863.5</v>
      </c>
      <c r="N1242" s="1566"/>
      <c r="O1242" s="1566"/>
      <c r="P1242" s="1566">
        <v>0</v>
      </c>
      <c r="Q1242" s="1566"/>
      <c r="R1242" s="1566"/>
      <c r="S1242" s="1566">
        <v>0</v>
      </c>
      <c r="T1242" s="1566"/>
      <c r="U1242" s="1566"/>
      <c r="V1242" s="1566"/>
      <c r="W1242" s="1566">
        <v>42271.5</v>
      </c>
      <c r="X1242" s="1566"/>
      <c r="Y1242" s="1566"/>
      <c r="Z1242" s="1566"/>
      <c r="AA1242" s="1566">
        <v>656592</v>
      </c>
      <c r="AB1242" s="1566"/>
      <c r="AC1242" s="1566"/>
      <c r="AD1242" s="1566"/>
      <c r="AE1242" s="1566"/>
      <c r="AF1242" s="1566"/>
      <c r="AG1242" s="1566">
        <v>0</v>
      </c>
      <c r="AH1242" s="1566"/>
      <c r="AI1242" s="1566"/>
      <c r="AJ1242" s="1566"/>
      <c r="AK1242" s="1566"/>
    </row>
    <row r="1243" spans="2:37" ht="9.4" customHeight="1">
      <c r="B1243" s="1568" t="s">
        <v>1326</v>
      </c>
      <c r="C1243" s="1568"/>
      <c r="D1243" s="1568"/>
      <c r="E1243" s="1568" t="s">
        <v>2537</v>
      </c>
      <c r="F1243" s="1568"/>
      <c r="G1243" s="1568"/>
      <c r="H1243" s="1568"/>
      <c r="J1243" s="1568" t="s">
        <v>2395</v>
      </c>
      <c r="K1243" s="1568"/>
      <c r="L1243" s="1568"/>
      <c r="M1243" s="1566">
        <v>116054</v>
      </c>
      <c r="N1243" s="1566"/>
      <c r="O1243" s="1566"/>
      <c r="P1243" s="1566">
        <v>0</v>
      </c>
      <c r="Q1243" s="1566"/>
      <c r="R1243" s="1566"/>
      <c r="S1243" s="1566">
        <v>0</v>
      </c>
      <c r="T1243" s="1566"/>
      <c r="U1243" s="1566"/>
      <c r="V1243" s="1566"/>
      <c r="W1243" s="1566">
        <v>0</v>
      </c>
      <c r="X1243" s="1566"/>
      <c r="Y1243" s="1566"/>
      <c r="Z1243" s="1566"/>
      <c r="AA1243" s="1566">
        <v>116054</v>
      </c>
      <c r="AB1243" s="1566"/>
      <c r="AC1243" s="1566"/>
      <c r="AD1243" s="1566"/>
      <c r="AE1243" s="1566"/>
      <c r="AF1243" s="1566"/>
      <c r="AG1243" s="1566">
        <v>0</v>
      </c>
      <c r="AH1243" s="1566"/>
      <c r="AI1243" s="1566"/>
      <c r="AJ1243" s="1566"/>
      <c r="AK1243" s="1566"/>
    </row>
    <row r="1244" spans="2:37" ht="9.4" customHeight="1">
      <c r="B1244" s="1568" t="s">
        <v>1326</v>
      </c>
      <c r="C1244" s="1568"/>
      <c r="D1244" s="1568"/>
      <c r="E1244" s="1568" t="s">
        <v>2538</v>
      </c>
      <c r="F1244" s="1568"/>
      <c r="G1244" s="1568"/>
      <c r="H1244" s="1568"/>
      <c r="J1244" s="1568" t="s">
        <v>2397</v>
      </c>
      <c r="K1244" s="1568"/>
      <c r="L1244" s="1568"/>
      <c r="M1244" s="1566">
        <v>11468</v>
      </c>
      <c r="N1244" s="1566"/>
      <c r="O1244" s="1566"/>
      <c r="P1244" s="1566">
        <v>0</v>
      </c>
      <c r="Q1244" s="1566"/>
      <c r="R1244" s="1566"/>
      <c r="S1244" s="1566">
        <v>0</v>
      </c>
      <c r="T1244" s="1566"/>
      <c r="U1244" s="1566"/>
      <c r="V1244" s="1566"/>
      <c r="W1244" s="1566">
        <v>0</v>
      </c>
      <c r="X1244" s="1566"/>
      <c r="Y1244" s="1566"/>
      <c r="Z1244" s="1566"/>
      <c r="AA1244" s="1566">
        <v>11468</v>
      </c>
      <c r="AB1244" s="1566"/>
      <c r="AC1244" s="1566"/>
      <c r="AD1244" s="1566"/>
      <c r="AE1244" s="1566"/>
      <c r="AF1244" s="1566"/>
      <c r="AG1244" s="1566">
        <v>0</v>
      </c>
      <c r="AH1244" s="1566"/>
      <c r="AI1244" s="1566"/>
      <c r="AJ1244" s="1566"/>
      <c r="AK1244" s="1566"/>
    </row>
    <row r="1245" spans="2:37" ht="9.4" customHeight="1">
      <c r="B1245" s="1568" t="s">
        <v>1326</v>
      </c>
      <c r="C1245" s="1568"/>
      <c r="D1245" s="1568"/>
      <c r="E1245" s="1568" t="s">
        <v>2539</v>
      </c>
      <c r="F1245" s="1568"/>
      <c r="G1245" s="1568"/>
      <c r="H1245" s="1568"/>
      <c r="J1245" s="1568" t="s">
        <v>2399</v>
      </c>
      <c r="K1245" s="1568"/>
      <c r="L1245" s="1568"/>
      <c r="M1245" s="1566">
        <v>24000</v>
      </c>
      <c r="N1245" s="1566"/>
      <c r="O1245" s="1566"/>
      <c r="P1245" s="1566">
        <v>0</v>
      </c>
      <c r="Q1245" s="1566"/>
      <c r="R1245" s="1566"/>
      <c r="S1245" s="1566">
        <v>0</v>
      </c>
      <c r="T1245" s="1566"/>
      <c r="U1245" s="1566"/>
      <c r="V1245" s="1566"/>
      <c r="W1245" s="1566">
        <v>0</v>
      </c>
      <c r="X1245" s="1566"/>
      <c r="Y1245" s="1566"/>
      <c r="Z1245" s="1566"/>
      <c r="AA1245" s="1566">
        <v>24000</v>
      </c>
      <c r="AB1245" s="1566"/>
      <c r="AC1245" s="1566"/>
      <c r="AD1245" s="1566"/>
      <c r="AE1245" s="1566"/>
      <c r="AF1245" s="1566"/>
      <c r="AG1245" s="1566">
        <v>0</v>
      </c>
      <c r="AH1245" s="1566"/>
      <c r="AI1245" s="1566"/>
      <c r="AJ1245" s="1566"/>
      <c r="AK1245" s="1566"/>
    </row>
    <row r="1246" spans="2:37" ht="9.4" customHeight="1">
      <c r="B1246" s="1568" t="s">
        <v>1326</v>
      </c>
      <c r="C1246" s="1568"/>
      <c r="D1246" s="1568"/>
      <c r="E1246" s="1568" t="s">
        <v>2540</v>
      </c>
      <c r="F1246" s="1568"/>
      <c r="G1246" s="1568"/>
      <c r="H1246" s="1568"/>
      <c r="J1246" s="1568" t="s">
        <v>2401</v>
      </c>
      <c r="K1246" s="1568"/>
      <c r="L1246" s="1568"/>
      <c r="M1246" s="1566">
        <v>122399.6</v>
      </c>
      <c r="N1246" s="1566"/>
      <c r="O1246" s="1566"/>
      <c r="P1246" s="1566">
        <v>0</v>
      </c>
      <c r="Q1246" s="1566"/>
      <c r="R1246" s="1566"/>
      <c r="S1246" s="1566">
        <v>0</v>
      </c>
      <c r="T1246" s="1566"/>
      <c r="U1246" s="1566"/>
      <c r="V1246" s="1566"/>
      <c r="W1246" s="1566">
        <v>7186.16</v>
      </c>
      <c r="X1246" s="1566"/>
      <c r="Y1246" s="1566"/>
      <c r="Z1246" s="1566"/>
      <c r="AA1246" s="1566">
        <v>115213.44</v>
      </c>
      <c r="AB1246" s="1566"/>
      <c r="AC1246" s="1566"/>
      <c r="AD1246" s="1566"/>
      <c r="AE1246" s="1566"/>
      <c r="AF1246" s="1566"/>
      <c r="AG1246" s="1566">
        <v>0</v>
      </c>
      <c r="AH1246" s="1566"/>
      <c r="AI1246" s="1566"/>
      <c r="AJ1246" s="1566"/>
      <c r="AK1246" s="1566"/>
    </row>
    <row r="1247" spans="2:37" ht="9.4" customHeight="1">
      <c r="B1247" s="1568" t="s">
        <v>1326</v>
      </c>
      <c r="C1247" s="1568"/>
      <c r="D1247" s="1568"/>
      <c r="E1247" s="1568" t="s">
        <v>2541</v>
      </c>
      <c r="F1247" s="1568"/>
      <c r="G1247" s="1568"/>
      <c r="H1247" s="1568"/>
      <c r="J1247" s="1568" t="s">
        <v>2403</v>
      </c>
      <c r="K1247" s="1568"/>
      <c r="L1247" s="1568"/>
      <c r="M1247" s="1566">
        <v>2134.73</v>
      </c>
      <c r="N1247" s="1566"/>
      <c r="O1247" s="1566"/>
      <c r="P1247" s="1566">
        <v>0</v>
      </c>
      <c r="Q1247" s="1566"/>
      <c r="R1247" s="1566"/>
      <c r="S1247" s="1566">
        <v>0</v>
      </c>
      <c r="T1247" s="1566"/>
      <c r="U1247" s="1566"/>
      <c r="V1247" s="1566"/>
      <c r="W1247" s="1566">
        <v>205.09</v>
      </c>
      <c r="X1247" s="1566"/>
      <c r="Y1247" s="1566"/>
      <c r="Z1247" s="1566"/>
      <c r="AA1247" s="1566">
        <v>1929.64</v>
      </c>
      <c r="AB1247" s="1566"/>
      <c r="AC1247" s="1566"/>
      <c r="AD1247" s="1566"/>
      <c r="AE1247" s="1566"/>
      <c r="AF1247" s="1566"/>
      <c r="AG1247" s="1566">
        <v>0</v>
      </c>
      <c r="AH1247" s="1566"/>
      <c r="AI1247" s="1566"/>
      <c r="AJ1247" s="1566"/>
      <c r="AK1247" s="1566"/>
    </row>
    <row r="1248" spans="2:37" ht="9.4" customHeight="1">
      <c r="B1248" s="1568" t="s">
        <v>1326</v>
      </c>
      <c r="C1248" s="1568"/>
      <c r="D1248" s="1568"/>
      <c r="E1248" s="1568" t="s">
        <v>2542</v>
      </c>
      <c r="F1248" s="1568"/>
      <c r="G1248" s="1568"/>
      <c r="H1248" s="1568"/>
      <c r="J1248" s="1568" t="s">
        <v>2405</v>
      </c>
      <c r="K1248" s="1568"/>
      <c r="L1248" s="1568"/>
      <c r="M1248" s="1566">
        <v>56840.32</v>
      </c>
      <c r="N1248" s="1566"/>
      <c r="O1248" s="1566"/>
      <c r="P1248" s="1566">
        <v>0</v>
      </c>
      <c r="Q1248" s="1566"/>
      <c r="R1248" s="1566"/>
      <c r="S1248" s="1566">
        <v>0</v>
      </c>
      <c r="T1248" s="1566"/>
      <c r="U1248" s="1566"/>
      <c r="V1248" s="1566"/>
      <c r="W1248" s="1566">
        <v>3495.18</v>
      </c>
      <c r="X1248" s="1566"/>
      <c r="Y1248" s="1566"/>
      <c r="Z1248" s="1566"/>
      <c r="AA1248" s="1566">
        <v>53345.14</v>
      </c>
      <c r="AB1248" s="1566"/>
      <c r="AC1248" s="1566"/>
      <c r="AD1248" s="1566"/>
      <c r="AE1248" s="1566"/>
      <c r="AF1248" s="1566"/>
      <c r="AG1248" s="1566">
        <v>0</v>
      </c>
      <c r="AH1248" s="1566"/>
      <c r="AI1248" s="1566"/>
      <c r="AJ1248" s="1566"/>
      <c r="AK1248" s="1566"/>
    </row>
    <row r="1249" spans="1:38" ht="9.4" customHeight="1">
      <c r="B1249" s="1568" t="s">
        <v>1326</v>
      </c>
      <c r="C1249" s="1568"/>
      <c r="D1249" s="1568"/>
      <c r="E1249" s="1568" t="s">
        <v>2543</v>
      </c>
      <c r="F1249" s="1568"/>
      <c r="G1249" s="1568"/>
      <c r="H1249" s="1568"/>
      <c r="J1249" s="1568" t="s">
        <v>2407</v>
      </c>
      <c r="K1249" s="1568"/>
      <c r="L1249" s="1568"/>
      <c r="M1249" s="1566">
        <v>53074.400000000001</v>
      </c>
      <c r="N1249" s="1566"/>
      <c r="O1249" s="1566"/>
      <c r="P1249" s="1566">
        <v>0</v>
      </c>
      <c r="Q1249" s="1566"/>
      <c r="R1249" s="1566"/>
      <c r="S1249" s="1566">
        <v>0</v>
      </c>
      <c r="T1249" s="1566"/>
      <c r="U1249" s="1566"/>
      <c r="V1249" s="1566"/>
      <c r="W1249" s="1566">
        <v>2688.6</v>
      </c>
      <c r="X1249" s="1566"/>
      <c r="Y1249" s="1566"/>
      <c r="Z1249" s="1566"/>
      <c r="AA1249" s="1566">
        <v>50385.8</v>
      </c>
      <c r="AB1249" s="1566"/>
      <c r="AC1249" s="1566"/>
      <c r="AD1249" s="1566"/>
      <c r="AE1249" s="1566"/>
      <c r="AF1249" s="1566"/>
      <c r="AG1249" s="1566">
        <v>0</v>
      </c>
      <c r="AH1249" s="1566"/>
      <c r="AI1249" s="1566"/>
      <c r="AJ1249" s="1566"/>
      <c r="AK1249" s="1566"/>
    </row>
    <row r="1250" spans="1:38" ht="9.4" customHeight="1">
      <c r="B1250" s="1568" t="s">
        <v>1326</v>
      </c>
      <c r="C1250" s="1568"/>
      <c r="D1250" s="1568"/>
      <c r="E1250" s="1568" t="s">
        <v>2544</v>
      </c>
      <c r="F1250" s="1568"/>
      <c r="G1250" s="1568"/>
      <c r="H1250" s="1568"/>
      <c r="J1250" s="1568" t="s">
        <v>2409</v>
      </c>
      <c r="K1250" s="1568"/>
      <c r="L1250" s="1568"/>
      <c r="M1250" s="1566">
        <v>3071287.96</v>
      </c>
      <c r="N1250" s="1566"/>
      <c r="O1250" s="1566"/>
      <c r="P1250" s="1566">
        <v>0</v>
      </c>
      <c r="Q1250" s="1566"/>
      <c r="R1250" s="1566"/>
      <c r="S1250" s="1566">
        <v>0</v>
      </c>
      <c r="T1250" s="1566"/>
      <c r="U1250" s="1566"/>
      <c r="V1250" s="1566"/>
      <c r="W1250" s="1566">
        <v>309570.68</v>
      </c>
      <c r="X1250" s="1566"/>
      <c r="Y1250" s="1566"/>
      <c r="Z1250" s="1566"/>
      <c r="AA1250" s="1566">
        <v>2761717.28</v>
      </c>
      <c r="AB1250" s="1566"/>
      <c r="AC1250" s="1566"/>
      <c r="AD1250" s="1566"/>
      <c r="AE1250" s="1566"/>
      <c r="AF1250" s="1566"/>
      <c r="AG1250" s="1566">
        <v>0</v>
      </c>
      <c r="AH1250" s="1566"/>
      <c r="AI1250" s="1566"/>
      <c r="AJ1250" s="1566"/>
      <c r="AK1250" s="1566"/>
    </row>
    <row r="1251" spans="1:38" ht="9.4" customHeight="1">
      <c r="B1251" s="1568" t="s">
        <v>1326</v>
      </c>
      <c r="C1251" s="1568"/>
      <c r="D1251" s="1568"/>
      <c r="E1251" s="1568" t="s">
        <v>2545</v>
      </c>
      <c r="F1251" s="1568"/>
      <c r="G1251" s="1568"/>
      <c r="H1251" s="1568"/>
      <c r="J1251" s="1568" t="s">
        <v>2409</v>
      </c>
      <c r="K1251" s="1568"/>
      <c r="L1251" s="1568"/>
      <c r="M1251" s="1566">
        <v>943636.26</v>
      </c>
      <c r="N1251" s="1566"/>
      <c r="O1251" s="1566"/>
      <c r="P1251" s="1566">
        <v>0</v>
      </c>
      <c r="Q1251" s="1566"/>
      <c r="R1251" s="1566"/>
      <c r="S1251" s="1566">
        <v>0</v>
      </c>
      <c r="T1251" s="1566"/>
      <c r="U1251" s="1566"/>
      <c r="V1251" s="1566"/>
      <c r="W1251" s="1566">
        <v>105454.58</v>
      </c>
      <c r="X1251" s="1566"/>
      <c r="Y1251" s="1566"/>
      <c r="Z1251" s="1566"/>
      <c r="AA1251" s="1566">
        <v>838181.68</v>
      </c>
      <c r="AB1251" s="1566"/>
      <c r="AC1251" s="1566"/>
      <c r="AD1251" s="1566"/>
      <c r="AE1251" s="1566"/>
      <c r="AF1251" s="1566"/>
      <c r="AG1251" s="1566">
        <v>0</v>
      </c>
      <c r="AH1251" s="1566"/>
      <c r="AI1251" s="1566"/>
      <c r="AJ1251" s="1566"/>
      <c r="AK1251" s="1566"/>
    </row>
    <row r="1252" spans="1:38" ht="7.35" customHeight="1"/>
    <row r="1253" spans="1:38" ht="14.1" customHeight="1">
      <c r="AG1253" s="1565" t="s">
        <v>2643</v>
      </c>
      <c r="AH1253" s="1565"/>
      <c r="AI1253" s="1565"/>
      <c r="AJ1253" s="1565"/>
      <c r="AK1253" s="1565"/>
      <c r="AL1253" s="1565"/>
    </row>
    <row r="1254" spans="1:38" ht="7.15" customHeight="1">
      <c r="D1254" s="1578" t="s">
        <v>2992</v>
      </c>
      <c r="E1254" s="1578"/>
      <c r="F1254" s="1578"/>
      <c r="G1254" s="1578"/>
      <c r="H1254" s="1578"/>
      <c r="I1254" s="1578"/>
      <c r="J1254" s="1578"/>
      <c r="K1254" s="1578"/>
      <c r="L1254" s="1578"/>
      <c r="M1254" s="1578"/>
      <c r="N1254" s="1578"/>
      <c r="O1254" s="1578"/>
      <c r="P1254" s="1578"/>
      <c r="Q1254" s="1578"/>
      <c r="R1254" s="1578"/>
      <c r="S1254" s="1578"/>
      <c r="T1254" s="1578"/>
      <c r="U1254" s="1578"/>
      <c r="V1254" s="1578"/>
      <c r="W1254" s="1578"/>
      <c r="X1254" s="1578"/>
      <c r="Y1254" s="1578"/>
      <c r="Z1254" s="1578"/>
      <c r="AA1254" s="1578"/>
      <c r="AB1254" s="1578"/>
      <c r="AC1254" s="1578"/>
      <c r="AD1254" s="1578"/>
      <c r="AE1254" s="1578"/>
      <c r="AF1254" s="1578"/>
      <c r="AG1254" s="1578"/>
      <c r="AH1254" s="1578"/>
    </row>
    <row r="1255" spans="1:38" ht="9.6" customHeight="1">
      <c r="A1255" s="1579"/>
      <c r="B1255" s="1579"/>
      <c r="C1255" s="1579"/>
      <c r="D1255" s="1579"/>
      <c r="E1255" s="1579"/>
      <c r="F1255" s="1579"/>
      <c r="G1255" s="1579"/>
      <c r="H1255" s="1579"/>
      <c r="I1255" s="1579"/>
      <c r="J1255" s="1578"/>
      <c r="K1255" s="1578"/>
      <c r="L1255" s="1578"/>
      <c r="M1255" s="1578"/>
      <c r="N1255" s="1578"/>
      <c r="O1255" s="1578"/>
      <c r="P1255" s="1578"/>
      <c r="Q1255" s="1578"/>
      <c r="R1255" s="1578"/>
      <c r="S1255" s="1578"/>
      <c r="T1255" s="1578"/>
      <c r="U1255" s="1578"/>
      <c r="V1255" s="1578"/>
      <c r="W1255" s="1578"/>
      <c r="X1255" s="1578"/>
      <c r="Y1255" s="1578"/>
      <c r="Z1255" s="1578"/>
      <c r="AA1255" s="1578"/>
      <c r="AB1255" s="1578"/>
      <c r="AC1255" s="1578"/>
      <c r="AD1255" s="1578"/>
      <c r="AE1255" s="1578"/>
      <c r="AF1255" s="1578"/>
      <c r="AG1255" s="1578"/>
      <c r="AH1255" s="1578"/>
    </row>
    <row r="1256" spans="1:38" ht="13.35" customHeight="1">
      <c r="A1256" s="1579"/>
      <c r="B1256" s="1579"/>
      <c r="C1256" s="1579"/>
      <c r="D1256" s="1579"/>
      <c r="E1256" s="1579"/>
      <c r="F1256" s="1579"/>
      <c r="G1256" s="1579"/>
      <c r="H1256" s="1579"/>
      <c r="I1256" s="1579"/>
      <c r="J1256" s="1580" t="s">
        <v>79</v>
      </c>
      <c r="K1256" s="1580"/>
      <c r="L1256" s="1580"/>
      <c r="M1256" s="1580"/>
      <c r="N1256" s="1580"/>
      <c r="O1256" s="1580"/>
      <c r="P1256" s="1580"/>
      <c r="Q1256" s="1580"/>
      <c r="R1256" s="1580"/>
      <c r="S1256" s="1580"/>
      <c r="T1256" s="1580"/>
      <c r="U1256" s="1580"/>
      <c r="V1256" s="1580"/>
      <c r="W1256" s="1580"/>
      <c r="X1256" s="1580"/>
      <c r="Y1256" s="1580"/>
      <c r="Z1256" s="1580"/>
      <c r="AA1256" s="1580"/>
      <c r="AB1256" s="1580"/>
      <c r="AC1256" s="1580"/>
      <c r="AD1256" s="1580"/>
      <c r="AE1256" s="1580"/>
      <c r="AF1256" s="1580"/>
    </row>
    <row r="1257" spans="1:38" ht="5.25" customHeight="1">
      <c r="A1257" s="1579"/>
      <c r="B1257" s="1579"/>
      <c r="C1257" s="1579"/>
      <c r="D1257" s="1579"/>
      <c r="E1257" s="1579"/>
      <c r="F1257" s="1579"/>
      <c r="G1257" s="1579"/>
      <c r="H1257" s="1579"/>
      <c r="I1257" s="1579"/>
      <c r="J1257" s="1573" t="s">
        <v>6760</v>
      </c>
      <c r="K1257" s="1573"/>
      <c r="L1257" s="1573"/>
      <c r="M1257" s="1573"/>
      <c r="N1257" s="1573"/>
      <c r="O1257" s="1573"/>
      <c r="P1257" s="1573"/>
      <c r="Q1257" s="1573"/>
      <c r="R1257" s="1573"/>
      <c r="S1257" s="1573"/>
      <c r="T1257" s="1573"/>
      <c r="U1257" s="1573"/>
      <c r="V1257" s="1573"/>
      <c r="W1257" s="1573"/>
      <c r="X1257" s="1573"/>
      <c r="Y1257" s="1573"/>
      <c r="Z1257" s="1573"/>
      <c r="AA1257" s="1573"/>
      <c r="AB1257" s="1573"/>
      <c r="AC1257" s="1573"/>
      <c r="AD1257" s="1573"/>
      <c r="AE1257" s="1573"/>
    </row>
    <row r="1258" spans="1:38" ht="8.1" customHeight="1">
      <c r="C1258" s="1572" t="s">
        <v>1920</v>
      </c>
      <c r="D1258" s="1572"/>
      <c r="E1258" s="1572"/>
      <c r="F1258" s="1572"/>
      <c r="G1258" s="1572"/>
      <c r="H1258" s="1572"/>
      <c r="I1258" s="1572"/>
      <c r="J1258" s="1572"/>
      <c r="K1258" s="1573"/>
      <c r="L1258" s="1573"/>
      <c r="M1258" s="1573"/>
      <c r="N1258" s="1573"/>
      <c r="O1258" s="1573"/>
      <c r="P1258" s="1573"/>
      <c r="Q1258" s="1573"/>
      <c r="R1258" s="1573"/>
      <c r="S1258" s="1573"/>
      <c r="T1258" s="1573"/>
      <c r="U1258" s="1573"/>
      <c r="V1258" s="1573"/>
      <c r="W1258" s="1573"/>
      <c r="X1258" s="1573"/>
      <c r="Y1258" s="1574" t="s">
        <v>5920</v>
      </c>
      <c r="Z1258" s="1574"/>
      <c r="AA1258" s="1574"/>
      <c r="AB1258" s="1574"/>
      <c r="AC1258" s="1574"/>
      <c r="AD1258" s="1574"/>
      <c r="AE1258" s="1574"/>
      <c r="AF1258" s="1574"/>
      <c r="AG1258" s="1574"/>
      <c r="AH1258" s="1575" t="s">
        <v>6761</v>
      </c>
      <c r="AI1258" s="1575"/>
      <c r="AJ1258" s="1575"/>
      <c r="AK1258" s="1575"/>
      <c r="AL1258" s="1575"/>
    </row>
    <row r="1259" spans="1:38" ht="6" customHeight="1">
      <c r="C1259" s="1572"/>
      <c r="D1259" s="1572"/>
      <c r="E1259" s="1572"/>
      <c r="F1259" s="1572"/>
      <c r="G1259" s="1572"/>
      <c r="H1259" s="1572"/>
      <c r="I1259" s="1572"/>
      <c r="J1259" s="1572"/>
      <c r="K1259" s="1576" t="s">
        <v>1999</v>
      </c>
      <c r="L1259" s="1576"/>
      <c r="M1259" s="1576"/>
      <c r="N1259" s="1576"/>
      <c r="O1259" s="1576"/>
      <c r="P1259" s="1576"/>
      <c r="Q1259" s="1576"/>
      <c r="R1259" s="1576"/>
      <c r="S1259" s="1576"/>
      <c r="T1259" s="1576"/>
      <c r="U1259" s="1576"/>
      <c r="V1259" s="1576"/>
      <c r="W1259" s="1576"/>
      <c r="X1259" s="1576"/>
      <c r="Y1259" s="1574"/>
      <c r="Z1259" s="1574"/>
      <c r="AA1259" s="1574"/>
      <c r="AB1259" s="1574"/>
      <c r="AC1259" s="1574"/>
      <c r="AD1259" s="1574"/>
      <c r="AE1259" s="1574"/>
      <c r="AF1259" s="1574"/>
      <c r="AG1259" s="1574"/>
      <c r="AH1259" s="1575"/>
      <c r="AI1259" s="1575"/>
      <c r="AJ1259" s="1575"/>
      <c r="AK1259" s="1575"/>
      <c r="AL1259" s="1575"/>
    </row>
    <row r="1260" spans="1:38" ht="7.35" customHeight="1">
      <c r="C1260" s="1572" t="s">
        <v>1998</v>
      </c>
      <c r="D1260" s="1572"/>
      <c r="E1260" s="1572"/>
      <c r="F1260" s="1572"/>
      <c r="G1260" s="1577"/>
      <c r="H1260" s="1577"/>
      <c r="I1260" s="1577"/>
      <c r="J1260" s="1577"/>
      <c r="K1260" s="1577"/>
      <c r="L1260" s="1577"/>
      <c r="M1260" s="1577"/>
      <c r="N1260" s="1577"/>
      <c r="O1260" s="1577"/>
      <c r="P1260" s="1577"/>
      <c r="Q1260" s="1577"/>
      <c r="R1260" s="1577"/>
      <c r="S1260" s="1577"/>
      <c r="T1260" s="1577"/>
      <c r="U1260" s="1577"/>
      <c r="V1260" s="1577"/>
      <c r="W1260" s="1577"/>
      <c r="X1260" s="1577"/>
      <c r="Y1260" s="1577"/>
      <c r="Z1260" s="1577"/>
      <c r="AA1260" s="1577"/>
      <c r="AB1260" s="1577"/>
      <c r="AC1260" s="1577"/>
      <c r="AD1260" s="1577"/>
      <c r="AE1260" s="1577"/>
      <c r="AF1260" s="1574"/>
      <c r="AG1260" s="1574"/>
      <c r="AH1260" s="1574" t="s">
        <v>6762</v>
      </c>
      <c r="AI1260" s="1574"/>
    </row>
    <row r="1261" spans="1:38" ht="6.75" customHeight="1">
      <c r="G1261" s="1577"/>
      <c r="H1261" s="1577"/>
      <c r="I1261" s="1577"/>
      <c r="J1261" s="1577"/>
      <c r="K1261" s="1577"/>
      <c r="L1261" s="1577"/>
      <c r="M1261" s="1577"/>
      <c r="N1261" s="1577"/>
      <c r="O1261" s="1577"/>
      <c r="P1261" s="1577"/>
      <c r="Q1261" s="1577"/>
      <c r="R1261" s="1577"/>
      <c r="S1261" s="1577"/>
      <c r="T1261" s="1577"/>
      <c r="U1261" s="1577"/>
      <c r="V1261" s="1577"/>
      <c r="W1261" s="1577"/>
      <c r="X1261" s="1577"/>
      <c r="Y1261" s="1577"/>
      <c r="Z1261" s="1577"/>
      <c r="AA1261" s="1577"/>
      <c r="AB1261" s="1577"/>
      <c r="AC1261" s="1577"/>
      <c r="AD1261" s="1577"/>
      <c r="AE1261" s="1577"/>
      <c r="AF1261" s="1574"/>
      <c r="AG1261" s="1574"/>
      <c r="AH1261" s="1574"/>
      <c r="AI1261" s="1574"/>
    </row>
    <row r="1262" spans="1:38" ht="11.25" customHeight="1">
      <c r="O1262" s="1570" t="s">
        <v>1318</v>
      </c>
      <c r="P1262" s="1570"/>
      <c r="Q1262" s="1570"/>
      <c r="V1262" s="1570" t="s">
        <v>1319</v>
      </c>
      <c r="W1262" s="1570"/>
      <c r="X1262" s="1570"/>
      <c r="Y1262" s="1570"/>
      <c r="AD1262" s="1570" t="s">
        <v>1320</v>
      </c>
      <c r="AE1262" s="1570"/>
      <c r="AF1262" s="1570"/>
      <c r="AG1262" s="1570"/>
      <c r="AH1262" s="1570"/>
      <c r="AI1262" s="1570"/>
      <c r="AJ1262" s="1570"/>
    </row>
    <row r="1263" spans="1:38" ht="8.4499999999999993" customHeight="1">
      <c r="B1263" s="1571" t="s">
        <v>1321</v>
      </c>
      <c r="C1263" s="1571"/>
      <c r="D1263" s="1571"/>
      <c r="E1263" s="1571" t="s">
        <v>1322</v>
      </c>
      <c r="F1263" s="1571"/>
      <c r="G1263" s="1571"/>
      <c r="J1263" s="1571" t="s">
        <v>1323</v>
      </c>
      <c r="K1263" s="1571"/>
      <c r="L1263" s="1571"/>
      <c r="M1263" s="1571"/>
      <c r="N1263" s="1571"/>
      <c r="O1263" s="1402" t="s">
        <v>1324</v>
      </c>
      <c r="Q1263" s="1569" t="s">
        <v>1325</v>
      </c>
      <c r="R1263" s="1569"/>
      <c r="U1263" s="1569" t="s">
        <v>1324</v>
      </c>
      <c r="V1263" s="1569"/>
      <c r="X1263" s="1569" t="s">
        <v>1325</v>
      </c>
      <c r="Y1263" s="1569"/>
      <c r="Z1263" s="1569"/>
      <c r="AC1263" s="1569" t="s">
        <v>1324</v>
      </c>
      <c r="AD1263" s="1569"/>
      <c r="AE1263" s="1569"/>
      <c r="AF1263" s="1569"/>
      <c r="AH1263" s="1569" t="s">
        <v>1325</v>
      </c>
      <c r="AI1263" s="1569"/>
      <c r="AJ1263" s="1569"/>
      <c r="AK1263" s="1569"/>
    </row>
    <row r="1264" spans="1:38" ht="9.9499999999999993" customHeight="1">
      <c r="B1264" s="1568" t="s">
        <v>1326</v>
      </c>
      <c r="C1264" s="1568"/>
      <c r="D1264" s="1568"/>
      <c r="E1264" s="1568" t="s">
        <v>2546</v>
      </c>
      <c r="F1264" s="1568"/>
      <c r="G1264" s="1568"/>
      <c r="H1264" s="1568"/>
      <c r="J1264" s="1568" t="s">
        <v>2409</v>
      </c>
      <c r="K1264" s="1568"/>
      <c r="L1264" s="1568"/>
      <c r="M1264" s="1566">
        <v>788000</v>
      </c>
      <c r="N1264" s="1566"/>
      <c r="O1264" s="1566"/>
      <c r="P1264" s="1566">
        <v>0</v>
      </c>
      <c r="Q1264" s="1566"/>
      <c r="R1264" s="1566"/>
      <c r="S1264" s="1566">
        <v>0</v>
      </c>
      <c r="T1264" s="1566"/>
      <c r="U1264" s="1566"/>
      <c r="V1264" s="1566"/>
      <c r="W1264" s="1566">
        <v>78500</v>
      </c>
      <c r="X1264" s="1566"/>
      <c r="Y1264" s="1566"/>
      <c r="Z1264" s="1566"/>
      <c r="AA1264" s="1566">
        <v>709500</v>
      </c>
      <c r="AB1264" s="1566"/>
      <c r="AC1264" s="1566"/>
      <c r="AD1264" s="1566"/>
      <c r="AE1264" s="1566"/>
      <c r="AF1264" s="1566"/>
      <c r="AG1264" s="1566">
        <v>0</v>
      </c>
      <c r="AH1264" s="1566"/>
      <c r="AI1264" s="1566"/>
      <c r="AJ1264" s="1566"/>
      <c r="AK1264" s="1566"/>
    </row>
    <row r="1265" spans="2:37" ht="9.4" customHeight="1">
      <c r="B1265" s="1568" t="s">
        <v>1326</v>
      </c>
      <c r="C1265" s="1568"/>
      <c r="D1265" s="1568"/>
      <c r="E1265" s="1568" t="s">
        <v>2547</v>
      </c>
      <c r="F1265" s="1568"/>
      <c r="G1265" s="1568"/>
      <c r="H1265" s="1568"/>
      <c r="J1265" s="1568" t="s">
        <v>2392</v>
      </c>
      <c r="K1265" s="1568"/>
      <c r="L1265" s="1568"/>
      <c r="M1265" s="1566">
        <v>2375211.4</v>
      </c>
      <c r="N1265" s="1566"/>
      <c r="O1265" s="1566"/>
      <c r="P1265" s="1566">
        <v>0</v>
      </c>
      <c r="Q1265" s="1566"/>
      <c r="R1265" s="1566"/>
      <c r="S1265" s="1566">
        <v>0</v>
      </c>
      <c r="T1265" s="1566"/>
      <c r="U1265" s="1566"/>
      <c r="V1265" s="1566"/>
      <c r="W1265" s="1566">
        <v>213436.2</v>
      </c>
      <c r="X1265" s="1566"/>
      <c r="Y1265" s="1566"/>
      <c r="Z1265" s="1566"/>
      <c r="AA1265" s="1566">
        <v>2161775.2000000002</v>
      </c>
      <c r="AB1265" s="1566"/>
      <c r="AC1265" s="1566"/>
      <c r="AD1265" s="1566"/>
      <c r="AE1265" s="1566"/>
      <c r="AF1265" s="1566"/>
      <c r="AG1265" s="1566">
        <v>0</v>
      </c>
      <c r="AH1265" s="1566"/>
      <c r="AI1265" s="1566"/>
      <c r="AJ1265" s="1566"/>
      <c r="AK1265" s="1566"/>
    </row>
    <row r="1266" spans="2:37" ht="9.4" customHeight="1">
      <c r="B1266" s="1568" t="s">
        <v>1326</v>
      </c>
      <c r="C1266" s="1568"/>
      <c r="D1266" s="1568"/>
      <c r="E1266" s="1568" t="s">
        <v>2548</v>
      </c>
      <c r="F1266" s="1568"/>
      <c r="G1266" s="1568"/>
      <c r="H1266" s="1568"/>
      <c r="J1266" s="1568" t="s">
        <v>2395</v>
      </c>
      <c r="K1266" s="1568"/>
      <c r="L1266" s="1568"/>
      <c r="M1266" s="1566">
        <v>423848</v>
      </c>
      <c r="N1266" s="1566"/>
      <c r="O1266" s="1566"/>
      <c r="P1266" s="1566">
        <v>0</v>
      </c>
      <c r="Q1266" s="1566"/>
      <c r="R1266" s="1566"/>
      <c r="S1266" s="1566">
        <v>0</v>
      </c>
      <c r="T1266" s="1566"/>
      <c r="U1266" s="1566"/>
      <c r="V1266" s="1566"/>
      <c r="W1266" s="1566">
        <v>0</v>
      </c>
      <c r="X1266" s="1566"/>
      <c r="Y1266" s="1566"/>
      <c r="Z1266" s="1566"/>
      <c r="AA1266" s="1566">
        <v>423848</v>
      </c>
      <c r="AB1266" s="1566"/>
      <c r="AC1266" s="1566"/>
      <c r="AD1266" s="1566"/>
      <c r="AE1266" s="1566"/>
      <c r="AF1266" s="1566"/>
      <c r="AG1266" s="1566">
        <v>0</v>
      </c>
      <c r="AH1266" s="1566"/>
      <c r="AI1266" s="1566"/>
      <c r="AJ1266" s="1566"/>
      <c r="AK1266" s="1566"/>
    </row>
    <row r="1267" spans="2:37" ht="9.4" customHeight="1">
      <c r="B1267" s="1568" t="s">
        <v>1326</v>
      </c>
      <c r="C1267" s="1568"/>
      <c r="D1267" s="1568"/>
      <c r="E1267" s="1568" t="s">
        <v>2549</v>
      </c>
      <c r="F1267" s="1568"/>
      <c r="G1267" s="1568"/>
      <c r="H1267" s="1568"/>
      <c r="J1267" s="1568" t="s">
        <v>2397</v>
      </c>
      <c r="K1267" s="1568"/>
      <c r="L1267" s="1568"/>
      <c r="M1267" s="1566">
        <v>41882</v>
      </c>
      <c r="N1267" s="1566"/>
      <c r="O1267" s="1566"/>
      <c r="P1267" s="1566">
        <v>0</v>
      </c>
      <c r="Q1267" s="1566"/>
      <c r="R1267" s="1566"/>
      <c r="S1267" s="1566">
        <v>0</v>
      </c>
      <c r="T1267" s="1566"/>
      <c r="U1267" s="1566"/>
      <c r="V1267" s="1566"/>
      <c r="W1267" s="1566">
        <v>0</v>
      </c>
      <c r="X1267" s="1566"/>
      <c r="Y1267" s="1566"/>
      <c r="Z1267" s="1566"/>
      <c r="AA1267" s="1566">
        <v>41882</v>
      </c>
      <c r="AB1267" s="1566"/>
      <c r="AC1267" s="1566"/>
      <c r="AD1267" s="1566"/>
      <c r="AE1267" s="1566"/>
      <c r="AF1267" s="1566"/>
      <c r="AG1267" s="1566">
        <v>0</v>
      </c>
      <c r="AH1267" s="1566"/>
      <c r="AI1267" s="1566"/>
      <c r="AJ1267" s="1566"/>
      <c r="AK1267" s="1566"/>
    </row>
    <row r="1268" spans="2:37" ht="9.4" customHeight="1">
      <c r="B1268" s="1568" t="s">
        <v>1326</v>
      </c>
      <c r="C1268" s="1568"/>
      <c r="D1268" s="1568"/>
      <c r="E1268" s="1568" t="s">
        <v>2550</v>
      </c>
      <c r="F1268" s="1568"/>
      <c r="G1268" s="1568"/>
      <c r="H1268" s="1568"/>
      <c r="J1268" s="1568" t="s">
        <v>2399</v>
      </c>
      <c r="K1268" s="1568"/>
      <c r="L1268" s="1568"/>
      <c r="M1268" s="1566">
        <v>84000</v>
      </c>
      <c r="N1268" s="1566"/>
      <c r="O1268" s="1566"/>
      <c r="P1268" s="1566">
        <v>0</v>
      </c>
      <c r="Q1268" s="1566"/>
      <c r="R1268" s="1566"/>
      <c r="S1268" s="1566">
        <v>0</v>
      </c>
      <c r="T1268" s="1566"/>
      <c r="U1268" s="1566"/>
      <c r="V1268" s="1566"/>
      <c r="W1268" s="1566">
        <v>0</v>
      </c>
      <c r="X1268" s="1566"/>
      <c r="Y1268" s="1566"/>
      <c r="Z1268" s="1566"/>
      <c r="AA1268" s="1566">
        <v>84000</v>
      </c>
      <c r="AB1268" s="1566"/>
      <c r="AC1268" s="1566"/>
      <c r="AD1268" s="1566"/>
      <c r="AE1268" s="1566"/>
      <c r="AF1268" s="1566"/>
      <c r="AG1268" s="1566">
        <v>0</v>
      </c>
      <c r="AH1268" s="1566"/>
      <c r="AI1268" s="1566"/>
      <c r="AJ1268" s="1566"/>
      <c r="AK1268" s="1566"/>
    </row>
    <row r="1269" spans="2:37" ht="9.4" customHeight="1">
      <c r="B1269" s="1568" t="s">
        <v>1326</v>
      </c>
      <c r="C1269" s="1568"/>
      <c r="D1269" s="1568"/>
      <c r="E1269" s="1568" t="s">
        <v>2551</v>
      </c>
      <c r="F1269" s="1568"/>
      <c r="G1269" s="1568"/>
      <c r="H1269" s="1568"/>
      <c r="J1269" s="1568" t="s">
        <v>2401</v>
      </c>
      <c r="K1269" s="1568"/>
      <c r="L1269" s="1568"/>
      <c r="M1269" s="1566">
        <v>421927.5</v>
      </c>
      <c r="N1269" s="1566"/>
      <c r="O1269" s="1566"/>
      <c r="P1269" s="1566">
        <v>0</v>
      </c>
      <c r="Q1269" s="1566"/>
      <c r="R1269" s="1566"/>
      <c r="S1269" s="1566">
        <v>0</v>
      </c>
      <c r="T1269" s="1566"/>
      <c r="U1269" s="1566"/>
      <c r="V1269" s="1566"/>
      <c r="W1269" s="1566">
        <v>36284.199999999997</v>
      </c>
      <c r="X1269" s="1566"/>
      <c r="Y1269" s="1566"/>
      <c r="Z1269" s="1566"/>
      <c r="AA1269" s="1566">
        <v>385643.3</v>
      </c>
      <c r="AB1269" s="1566"/>
      <c r="AC1269" s="1566"/>
      <c r="AD1269" s="1566"/>
      <c r="AE1269" s="1566"/>
      <c r="AF1269" s="1566"/>
      <c r="AG1269" s="1566">
        <v>0</v>
      </c>
      <c r="AH1269" s="1566"/>
      <c r="AI1269" s="1566"/>
      <c r="AJ1269" s="1566"/>
      <c r="AK1269" s="1566"/>
    </row>
    <row r="1270" spans="2:37" ht="9.4" customHeight="1">
      <c r="B1270" s="1568" t="s">
        <v>1326</v>
      </c>
      <c r="C1270" s="1568"/>
      <c r="D1270" s="1568"/>
      <c r="E1270" s="1568" t="s">
        <v>2552</v>
      </c>
      <c r="F1270" s="1568"/>
      <c r="G1270" s="1568"/>
      <c r="H1270" s="1568"/>
      <c r="J1270" s="1568" t="s">
        <v>2403</v>
      </c>
      <c r="K1270" s="1568"/>
      <c r="L1270" s="1568"/>
      <c r="M1270" s="1566">
        <v>18411.099999999999</v>
      </c>
      <c r="N1270" s="1566"/>
      <c r="O1270" s="1566"/>
      <c r="P1270" s="1566">
        <v>0</v>
      </c>
      <c r="Q1270" s="1566"/>
      <c r="R1270" s="1566"/>
      <c r="S1270" s="1566">
        <v>0</v>
      </c>
      <c r="T1270" s="1566"/>
      <c r="U1270" s="1566"/>
      <c r="V1270" s="1566"/>
      <c r="W1270" s="1566">
        <v>656.3</v>
      </c>
      <c r="X1270" s="1566"/>
      <c r="Y1270" s="1566"/>
      <c r="Z1270" s="1566"/>
      <c r="AA1270" s="1566">
        <v>17754.8</v>
      </c>
      <c r="AB1270" s="1566"/>
      <c r="AC1270" s="1566"/>
      <c r="AD1270" s="1566"/>
      <c r="AE1270" s="1566"/>
      <c r="AF1270" s="1566"/>
      <c r="AG1270" s="1566">
        <v>0</v>
      </c>
      <c r="AH1270" s="1566"/>
      <c r="AI1270" s="1566"/>
      <c r="AJ1270" s="1566"/>
      <c r="AK1270" s="1566"/>
    </row>
    <row r="1271" spans="2:37" ht="9.4" customHeight="1">
      <c r="B1271" s="1568" t="s">
        <v>1326</v>
      </c>
      <c r="C1271" s="1568"/>
      <c r="D1271" s="1568"/>
      <c r="E1271" s="1568" t="s">
        <v>2553</v>
      </c>
      <c r="F1271" s="1568"/>
      <c r="G1271" s="1568"/>
      <c r="H1271" s="1568"/>
      <c r="J1271" s="1568" t="s">
        <v>2405</v>
      </c>
      <c r="K1271" s="1568"/>
      <c r="L1271" s="1568"/>
      <c r="M1271" s="1566">
        <v>212521.92</v>
      </c>
      <c r="N1271" s="1566"/>
      <c r="O1271" s="1566"/>
      <c r="P1271" s="1566">
        <v>0</v>
      </c>
      <c r="Q1271" s="1566"/>
      <c r="R1271" s="1566"/>
      <c r="S1271" s="1566">
        <v>0</v>
      </c>
      <c r="T1271" s="1566"/>
      <c r="U1271" s="1566"/>
      <c r="V1271" s="1566"/>
      <c r="W1271" s="1566">
        <v>20971.080000000002</v>
      </c>
      <c r="X1271" s="1566"/>
      <c r="Y1271" s="1566"/>
      <c r="Z1271" s="1566"/>
      <c r="AA1271" s="1566">
        <v>191550.84</v>
      </c>
      <c r="AB1271" s="1566"/>
      <c r="AC1271" s="1566"/>
      <c r="AD1271" s="1566"/>
      <c r="AE1271" s="1566"/>
      <c r="AF1271" s="1566"/>
      <c r="AG1271" s="1566">
        <v>0</v>
      </c>
      <c r="AH1271" s="1566"/>
      <c r="AI1271" s="1566"/>
      <c r="AJ1271" s="1566"/>
      <c r="AK1271" s="1566"/>
    </row>
    <row r="1272" spans="2:37" ht="9.4" customHeight="1">
      <c r="B1272" s="1568" t="s">
        <v>1326</v>
      </c>
      <c r="C1272" s="1568"/>
      <c r="D1272" s="1568"/>
      <c r="E1272" s="1568" t="s">
        <v>2554</v>
      </c>
      <c r="F1272" s="1568"/>
      <c r="G1272" s="1568"/>
      <c r="H1272" s="1568"/>
      <c r="J1272" s="1568" t="s">
        <v>2407</v>
      </c>
      <c r="K1272" s="1568"/>
      <c r="L1272" s="1568"/>
      <c r="M1272" s="1566">
        <v>170348.4</v>
      </c>
      <c r="N1272" s="1566"/>
      <c r="O1272" s="1566"/>
      <c r="P1272" s="1566">
        <v>0</v>
      </c>
      <c r="Q1272" s="1566"/>
      <c r="R1272" s="1566"/>
      <c r="S1272" s="1566">
        <v>0</v>
      </c>
      <c r="T1272" s="1566"/>
      <c r="U1272" s="1566"/>
      <c r="V1272" s="1566"/>
      <c r="W1272" s="1566">
        <v>16131.6</v>
      </c>
      <c r="X1272" s="1566"/>
      <c r="Y1272" s="1566"/>
      <c r="Z1272" s="1566"/>
      <c r="AA1272" s="1566">
        <v>154216.79999999999</v>
      </c>
      <c r="AB1272" s="1566"/>
      <c r="AC1272" s="1566"/>
      <c r="AD1272" s="1566"/>
      <c r="AE1272" s="1566"/>
      <c r="AF1272" s="1566"/>
      <c r="AG1272" s="1566">
        <v>0</v>
      </c>
      <c r="AH1272" s="1566"/>
      <c r="AI1272" s="1566"/>
      <c r="AJ1272" s="1566"/>
      <c r="AK1272" s="1566"/>
    </row>
    <row r="1273" spans="2:37" ht="9.4" customHeight="1">
      <c r="B1273" s="1568" t="s">
        <v>1326</v>
      </c>
      <c r="C1273" s="1568"/>
      <c r="D1273" s="1568"/>
      <c r="E1273" s="1568" t="s">
        <v>2555</v>
      </c>
      <c r="F1273" s="1568"/>
      <c r="G1273" s="1568"/>
      <c r="H1273" s="1568"/>
      <c r="J1273" s="1568" t="s">
        <v>2421</v>
      </c>
      <c r="K1273" s="1568"/>
      <c r="L1273" s="1568"/>
      <c r="M1273" s="1566">
        <v>969877.24</v>
      </c>
      <c r="N1273" s="1566"/>
      <c r="O1273" s="1566"/>
      <c r="P1273" s="1566">
        <v>0</v>
      </c>
      <c r="Q1273" s="1566"/>
      <c r="R1273" s="1566"/>
      <c r="S1273" s="1566">
        <v>0</v>
      </c>
      <c r="T1273" s="1566"/>
      <c r="U1273" s="1566"/>
      <c r="V1273" s="1566"/>
      <c r="W1273" s="1566">
        <v>24245.5</v>
      </c>
      <c r="X1273" s="1566"/>
      <c r="Y1273" s="1566"/>
      <c r="Z1273" s="1566"/>
      <c r="AA1273" s="1566">
        <v>945631.74</v>
      </c>
      <c r="AB1273" s="1566"/>
      <c r="AC1273" s="1566"/>
      <c r="AD1273" s="1566"/>
      <c r="AE1273" s="1566"/>
      <c r="AF1273" s="1566"/>
      <c r="AG1273" s="1566">
        <v>0</v>
      </c>
      <c r="AH1273" s="1566"/>
      <c r="AI1273" s="1566"/>
      <c r="AJ1273" s="1566"/>
      <c r="AK1273" s="1566"/>
    </row>
    <row r="1274" spans="2:37" ht="9.4" customHeight="1">
      <c r="B1274" s="1568" t="s">
        <v>1326</v>
      </c>
      <c r="C1274" s="1568"/>
      <c r="D1274" s="1568"/>
      <c r="E1274" s="1568" t="s">
        <v>2556</v>
      </c>
      <c r="F1274" s="1568"/>
      <c r="G1274" s="1568"/>
      <c r="H1274" s="1568"/>
      <c r="J1274" s="1568" t="s">
        <v>2423</v>
      </c>
      <c r="K1274" s="1568"/>
      <c r="L1274" s="1568"/>
      <c r="M1274" s="1566">
        <v>5213991.2699999996</v>
      </c>
      <c r="N1274" s="1566"/>
      <c r="O1274" s="1566"/>
      <c r="P1274" s="1566">
        <v>0</v>
      </c>
      <c r="Q1274" s="1566"/>
      <c r="R1274" s="1566"/>
      <c r="S1274" s="1566">
        <v>0</v>
      </c>
      <c r="T1274" s="1566"/>
      <c r="U1274" s="1566"/>
      <c r="V1274" s="1566"/>
      <c r="W1274" s="1566">
        <v>351664.54</v>
      </c>
      <c r="X1274" s="1566"/>
      <c r="Y1274" s="1566"/>
      <c r="Z1274" s="1566"/>
      <c r="AA1274" s="1566">
        <v>4862326.7300000004</v>
      </c>
      <c r="AB1274" s="1566"/>
      <c r="AC1274" s="1566"/>
      <c r="AD1274" s="1566"/>
      <c r="AE1274" s="1566"/>
      <c r="AF1274" s="1566"/>
      <c r="AG1274" s="1566">
        <v>0</v>
      </c>
      <c r="AH1274" s="1566"/>
      <c r="AI1274" s="1566"/>
      <c r="AJ1274" s="1566"/>
      <c r="AK1274" s="1566"/>
    </row>
    <row r="1275" spans="2:37" ht="9.4" customHeight="1">
      <c r="B1275" s="1568" t="s">
        <v>1326</v>
      </c>
      <c r="C1275" s="1568"/>
      <c r="D1275" s="1568"/>
      <c r="E1275" s="1568" t="s">
        <v>2557</v>
      </c>
      <c r="F1275" s="1568"/>
      <c r="G1275" s="1568"/>
      <c r="H1275" s="1568"/>
      <c r="J1275" s="1568" t="s">
        <v>2426</v>
      </c>
      <c r="K1275" s="1568"/>
      <c r="L1275" s="1568"/>
      <c r="M1275" s="1566">
        <v>253807.56</v>
      </c>
      <c r="N1275" s="1566"/>
      <c r="O1275" s="1566"/>
      <c r="P1275" s="1566">
        <v>0</v>
      </c>
      <c r="Q1275" s="1566"/>
      <c r="R1275" s="1566"/>
      <c r="S1275" s="1566">
        <v>0</v>
      </c>
      <c r="T1275" s="1566"/>
      <c r="U1275" s="1566"/>
      <c r="V1275" s="1566"/>
      <c r="W1275" s="1566">
        <v>15656.85</v>
      </c>
      <c r="X1275" s="1566"/>
      <c r="Y1275" s="1566"/>
      <c r="Z1275" s="1566"/>
      <c r="AA1275" s="1566">
        <v>238150.71</v>
      </c>
      <c r="AB1275" s="1566"/>
      <c r="AC1275" s="1566"/>
      <c r="AD1275" s="1566"/>
      <c r="AE1275" s="1566"/>
      <c r="AF1275" s="1566"/>
      <c r="AG1275" s="1566">
        <v>0</v>
      </c>
      <c r="AH1275" s="1566"/>
      <c r="AI1275" s="1566"/>
      <c r="AJ1275" s="1566"/>
      <c r="AK1275" s="1566"/>
    </row>
    <row r="1276" spans="2:37" ht="9.4" customHeight="1">
      <c r="B1276" s="1568" t="s">
        <v>1326</v>
      </c>
      <c r="C1276" s="1568"/>
      <c r="D1276" s="1568"/>
      <c r="E1276" s="1568" t="s">
        <v>2558</v>
      </c>
      <c r="F1276" s="1568"/>
      <c r="G1276" s="1568"/>
      <c r="H1276" s="1568"/>
      <c r="J1276" s="1568" t="s">
        <v>2428</v>
      </c>
      <c r="K1276" s="1568"/>
      <c r="L1276" s="1568"/>
      <c r="M1276" s="1566">
        <v>3742177.53</v>
      </c>
      <c r="N1276" s="1566"/>
      <c r="O1276" s="1566"/>
      <c r="P1276" s="1566">
        <v>0</v>
      </c>
      <c r="Q1276" s="1566"/>
      <c r="R1276" s="1566"/>
      <c r="S1276" s="1566">
        <v>0</v>
      </c>
      <c r="T1276" s="1566"/>
      <c r="U1276" s="1566"/>
      <c r="V1276" s="1566"/>
      <c r="W1276" s="1566">
        <v>401511.32</v>
      </c>
      <c r="X1276" s="1566"/>
      <c r="Y1276" s="1566"/>
      <c r="Z1276" s="1566"/>
      <c r="AA1276" s="1566">
        <v>3340666.21</v>
      </c>
      <c r="AB1276" s="1566"/>
      <c r="AC1276" s="1566"/>
      <c r="AD1276" s="1566"/>
      <c r="AE1276" s="1566"/>
      <c r="AF1276" s="1566"/>
      <c r="AG1276" s="1566">
        <v>0</v>
      </c>
      <c r="AH1276" s="1566"/>
      <c r="AI1276" s="1566"/>
      <c r="AJ1276" s="1566"/>
      <c r="AK1276" s="1566"/>
    </row>
    <row r="1277" spans="2:37" ht="9.1999999999999993" customHeight="1">
      <c r="J1277" s="1568"/>
      <c r="K1277" s="1568"/>
      <c r="L1277" s="1568"/>
    </row>
    <row r="1278" spans="2:37" ht="8.4499999999999993" customHeight="1">
      <c r="B1278" s="1568" t="s">
        <v>1326</v>
      </c>
      <c r="C1278" s="1568"/>
      <c r="D1278" s="1568"/>
      <c r="E1278" s="1568" t="s">
        <v>3289</v>
      </c>
      <c r="F1278" s="1568"/>
      <c r="G1278" s="1568"/>
      <c r="H1278" s="1568"/>
      <c r="J1278" s="1568" t="s">
        <v>2421</v>
      </c>
      <c r="K1278" s="1568"/>
      <c r="L1278" s="1568"/>
      <c r="M1278" s="1566">
        <v>63674</v>
      </c>
      <c r="N1278" s="1566"/>
      <c r="O1278" s="1566"/>
      <c r="P1278" s="1566">
        <v>0</v>
      </c>
      <c r="Q1278" s="1566"/>
      <c r="R1278" s="1566"/>
      <c r="S1278" s="1566">
        <v>0</v>
      </c>
      <c r="T1278" s="1566"/>
      <c r="U1278" s="1566"/>
      <c r="V1278" s="1566"/>
      <c r="W1278" s="1566">
        <v>7400</v>
      </c>
      <c r="X1278" s="1566"/>
      <c r="Y1278" s="1566"/>
      <c r="Z1278" s="1566"/>
      <c r="AA1278" s="1566">
        <v>56274</v>
      </c>
      <c r="AB1278" s="1566"/>
      <c r="AC1278" s="1566"/>
      <c r="AD1278" s="1566"/>
      <c r="AE1278" s="1566"/>
      <c r="AF1278" s="1566"/>
      <c r="AG1278" s="1566">
        <v>0</v>
      </c>
      <c r="AH1278" s="1566"/>
      <c r="AI1278" s="1566"/>
      <c r="AJ1278" s="1566"/>
      <c r="AK1278" s="1566"/>
    </row>
    <row r="1279" spans="2:37" ht="9.4" customHeight="1">
      <c r="B1279" s="1568" t="s">
        <v>1326</v>
      </c>
      <c r="C1279" s="1568"/>
      <c r="D1279" s="1568"/>
      <c r="E1279" s="1568" t="s">
        <v>2559</v>
      </c>
      <c r="F1279" s="1568"/>
      <c r="G1279" s="1568"/>
      <c r="H1279" s="1568"/>
      <c r="J1279" s="1568" t="s">
        <v>2423</v>
      </c>
      <c r="K1279" s="1568"/>
      <c r="L1279" s="1568"/>
      <c r="M1279" s="1566">
        <v>1156692.33</v>
      </c>
      <c r="N1279" s="1566"/>
      <c r="O1279" s="1566"/>
      <c r="P1279" s="1566">
        <v>0</v>
      </c>
      <c r="Q1279" s="1566"/>
      <c r="R1279" s="1566"/>
      <c r="S1279" s="1566">
        <v>0</v>
      </c>
      <c r="T1279" s="1566"/>
      <c r="U1279" s="1566"/>
      <c r="V1279" s="1566"/>
      <c r="W1279" s="1566">
        <v>139859.34</v>
      </c>
      <c r="X1279" s="1566"/>
      <c r="Y1279" s="1566"/>
      <c r="Z1279" s="1566"/>
      <c r="AA1279" s="1566">
        <v>1016832.99</v>
      </c>
      <c r="AB1279" s="1566"/>
      <c r="AC1279" s="1566"/>
      <c r="AD1279" s="1566"/>
      <c r="AE1279" s="1566"/>
      <c r="AF1279" s="1566"/>
      <c r="AG1279" s="1566">
        <v>0</v>
      </c>
      <c r="AH1279" s="1566"/>
      <c r="AI1279" s="1566"/>
      <c r="AJ1279" s="1566"/>
      <c r="AK1279" s="1566"/>
    </row>
    <row r="1280" spans="2:37" ht="9.4" customHeight="1">
      <c r="B1280" s="1568" t="s">
        <v>1326</v>
      </c>
      <c r="C1280" s="1568"/>
      <c r="D1280" s="1568"/>
      <c r="E1280" s="1568" t="s">
        <v>2561</v>
      </c>
      <c r="F1280" s="1568"/>
      <c r="G1280" s="1568"/>
      <c r="H1280" s="1568"/>
      <c r="J1280" s="1568" t="s">
        <v>2428</v>
      </c>
      <c r="K1280" s="1568"/>
      <c r="L1280" s="1568"/>
      <c r="M1280" s="1566">
        <v>2040637.25</v>
      </c>
      <c r="N1280" s="1566"/>
      <c r="O1280" s="1566"/>
      <c r="P1280" s="1566">
        <v>0</v>
      </c>
      <c r="Q1280" s="1566"/>
      <c r="R1280" s="1566"/>
      <c r="S1280" s="1566">
        <v>0</v>
      </c>
      <c r="T1280" s="1566"/>
      <c r="U1280" s="1566"/>
      <c r="V1280" s="1566"/>
      <c r="W1280" s="1566">
        <v>87698.1</v>
      </c>
      <c r="X1280" s="1566"/>
      <c r="Y1280" s="1566"/>
      <c r="Z1280" s="1566"/>
      <c r="AA1280" s="1566">
        <v>1952939.15</v>
      </c>
      <c r="AB1280" s="1566"/>
      <c r="AC1280" s="1566"/>
      <c r="AD1280" s="1566"/>
      <c r="AE1280" s="1566"/>
      <c r="AF1280" s="1566"/>
      <c r="AG1280" s="1566">
        <v>0</v>
      </c>
      <c r="AH1280" s="1566"/>
      <c r="AI1280" s="1566"/>
      <c r="AJ1280" s="1566"/>
      <c r="AK1280" s="1566"/>
    </row>
    <row r="1281" spans="2:37" ht="9.1999999999999993" customHeight="1">
      <c r="J1281" s="1568"/>
      <c r="K1281" s="1568"/>
      <c r="L1281" s="1568"/>
    </row>
    <row r="1282" spans="2:37" ht="8.4499999999999993" customHeight="1">
      <c r="B1282" s="1568" t="s">
        <v>1326</v>
      </c>
      <c r="C1282" s="1568"/>
      <c r="D1282" s="1568"/>
      <c r="E1282" s="1568" t="s">
        <v>3290</v>
      </c>
      <c r="F1282" s="1568"/>
      <c r="G1282" s="1568"/>
      <c r="H1282" s="1568"/>
      <c r="J1282" s="1568" t="s">
        <v>2421</v>
      </c>
      <c r="K1282" s="1568"/>
      <c r="L1282" s="1568"/>
      <c r="M1282" s="1566">
        <v>97846</v>
      </c>
      <c r="N1282" s="1566"/>
      <c r="O1282" s="1566"/>
      <c r="P1282" s="1566">
        <v>0</v>
      </c>
      <c r="Q1282" s="1566"/>
      <c r="R1282" s="1566"/>
      <c r="S1282" s="1566">
        <v>0</v>
      </c>
      <c r="T1282" s="1566"/>
      <c r="U1282" s="1566"/>
      <c r="V1282" s="1566"/>
      <c r="W1282" s="1566">
        <v>2200</v>
      </c>
      <c r="X1282" s="1566"/>
      <c r="Y1282" s="1566"/>
      <c r="Z1282" s="1566"/>
      <c r="AA1282" s="1566">
        <v>95646</v>
      </c>
      <c r="AB1282" s="1566"/>
      <c r="AC1282" s="1566"/>
      <c r="AD1282" s="1566"/>
      <c r="AE1282" s="1566"/>
      <c r="AF1282" s="1566"/>
      <c r="AG1282" s="1566">
        <v>0</v>
      </c>
      <c r="AH1282" s="1566"/>
      <c r="AI1282" s="1566"/>
      <c r="AJ1282" s="1566"/>
      <c r="AK1282" s="1566"/>
    </row>
    <row r="1283" spans="2:37" ht="9.4" customHeight="1">
      <c r="B1283" s="1568" t="s">
        <v>1326</v>
      </c>
      <c r="C1283" s="1568"/>
      <c r="D1283" s="1568"/>
      <c r="E1283" s="1568" t="s">
        <v>2562</v>
      </c>
      <c r="F1283" s="1568"/>
      <c r="G1283" s="1568"/>
      <c r="H1283" s="1568"/>
      <c r="J1283" s="1568" t="s">
        <v>2423</v>
      </c>
      <c r="K1283" s="1568"/>
      <c r="L1283" s="1568"/>
      <c r="M1283" s="1566">
        <v>902058.32</v>
      </c>
      <c r="N1283" s="1566"/>
      <c r="O1283" s="1566"/>
      <c r="P1283" s="1566">
        <v>0</v>
      </c>
      <c r="Q1283" s="1566"/>
      <c r="R1283" s="1566"/>
      <c r="S1283" s="1566">
        <v>0</v>
      </c>
      <c r="T1283" s="1566"/>
      <c r="U1283" s="1566"/>
      <c r="V1283" s="1566"/>
      <c r="W1283" s="1566">
        <v>31411.18</v>
      </c>
      <c r="X1283" s="1566"/>
      <c r="Y1283" s="1566"/>
      <c r="Z1283" s="1566"/>
      <c r="AA1283" s="1566">
        <v>870647.14</v>
      </c>
      <c r="AB1283" s="1566"/>
      <c r="AC1283" s="1566"/>
      <c r="AD1283" s="1566"/>
      <c r="AE1283" s="1566"/>
      <c r="AF1283" s="1566"/>
      <c r="AG1283" s="1566">
        <v>0</v>
      </c>
      <c r="AH1283" s="1566"/>
      <c r="AI1283" s="1566"/>
      <c r="AJ1283" s="1566"/>
      <c r="AK1283" s="1566"/>
    </row>
    <row r="1284" spans="2:37" ht="9.4" customHeight="1">
      <c r="B1284" s="1568" t="s">
        <v>1326</v>
      </c>
      <c r="C1284" s="1568"/>
      <c r="D1284" s="1568"/>
      <c r="E1284" s="1568" t="s">
        <v>2563</v>
      </c>
      <c r="F1284" s="1568"/>
      <c r="G1284" s="1568"/>
      <c r="H1284" s="1568"/>
      <c r="J1284" s="1568" t="s">
        <v>2428</v>
      </c>
      <c r="K1284" s="1568"/>
      <c r="L1284" s="1568"/>
      <c r="M1284" s="1566">
        <v>879612.44</v>
      </c>
      <c r="N1284" s="1566"/>
      <c r="O1284" s="1566"/>
      <c r="P1284" s="1566">
        <v>0</v>
      </c>
      <c r="Q1284" s="1566"/>
      <c r="R1284" s="1566"/>
      <c r="S1284" s="1566">
        <v>0</v>
      </c>
      <c r="T1284" s="1566"/>
      <c r="U1284" s="1566"/>
      <c r="V1284" s="1566"/>
      <c r="W1284" s="1566">
        <v>58210.37</v>
      </c>
      <c r="X1284" s="1566"/>
      <c r="Y1284" s="1566"/>
      <c r="Z1284" s="1566"/>
      <c r="AA1284" s="1566">
        <v>821402.07</v>
      </c>
      <c r="AB1284" s="1566"/>
      <c r="AC1284" s="1566"/>
      <c r="AD1284" s="1566"/>
      <c r="AE1284" s="1566"/>
      <c r="AF1284" s="1566"/>
      <c r="AG1284" s="1566">
        <v>0</v>
      </c>
      <c r="AH1284" s="1566"/>
      <c r="AI1284" s="1566"/>
      <c r="AJ1284" s="1566"/>
      <c r="AK1284" s="1566"/>
    </row>
    <row r="1285" spans="2:37" ht="9.1999999999999993" customHeight="1">
      <c r="J1285" s="1568"/>
      <c r="K1285" s="1568"/>
      <c r="L1285" s="1568"/>
    </row>
    <row r="1286" spans="2:37" ht="8.4499999999999993" customHeight="1">
      <c r="B1286" s="1568" t="s">
        <v>1326</v>
      </c>
      <c r="C1286" s="1568"/>
      <c r="D1286" s="1568"/>
      <c r="E1286" s="1568" t="s">
        <v>2564</v>
      </c>
      <c r="F1286" s="1568"/>
      <c r="G1286" s="1568"/>
      <c r="H1286" s="1568"/>
      <c r="J1286" s="1568" t="s">
        <v>2428</v>
      </c>
      <c r="K1286" s="1568"/>
      <c r="L1286" s="1568"/>
      <c r="M1286" s="1566">
        <v>300000</v>
      </c>
      <c r="N1286" s="1566"/>
      <c r="O1286" s="1566"/>
      <c r="P1286" s="1566">
        <v>0</v>
      </c>
      <c r="Q1286" s="1566"/>
      <c r="R1286" s="1566"/>
      <c r="S1286" s="1566">
        <v>0</v>
      </c>
      <c r="T1286" s="1566"/>
      <c r="U1286" s="1566"/>
      <c r="V1286" s="1566"/>
      <c r="W1286" s="1566">
        <v>0</v>
      </c>
      <c r="X1286" s="1566"/>
      <c r="Y1286" s="1566"/>
      <c r="Z1286" s="1566"/>
      <c r="AA1286" s="1566">
        <v>300000</v>
      </c>
      <c r="AB1286" s="1566"/>
      <c r="AC1286" s="1566"/>
      <c r="AD1286" s="1566"/>
      <c r="AE1286" s="1566"/>
      <c r="AF1286" s="1566"/>
      <c r="AG1286" s="1566">
        <v>0</v>
      </c>
      <c r="AH1286" s="1566"/>
      <c r="AI1286" s="1566"/>
      <c r="AJ1286" s="1566"/>
      <c r="AK1286" s="1566"/>
    </row>
    <row r="1287" spans="2:37" ht="9.1999999999999993" customHeight="1">
      <c r="J1287" s="1568"/>
      <c r="K1287" s="1568"/>
      <c r="L1287" s="1568"/>
    </row>
    <row r="1288" spans="2:37" ht="8.4499999999999993" customHeight="1">
      <c r="B1288" s="1568" t="s">
        <v>1326</v>
      </c>
      <c r="C1288" s="1568"/>
      <c r="D1288" s="1568"/>
      <c r="E1288" s="1568" t="s">
        <v>3291</v>
      </c>
      <c r="F1288" s="1568"/>
      <c r="G1288" s="1568"/>
      <c r="H1288" s="1568"/>
      <c r="J1288" s="1568" t="s">
        <v>2421</v>
      </c>
      <c r="K1288" s="1568"/>
      <c r="L1288" s="1568"/>
      <c r="M1288" s="1566">
        <v>53859</v>
      </c>
      <c r="N1288" s="1566"/>
      <c r="O1288" s="1566"/>
      <c r="P1288" s="1566">
        <v>0</v>
      </c>
      <c r="Q1288" s="1566"/>
      <c r="R1288" s="1566"/>
      <c r="S1288" s="1566">
        <v>0</v>
      </c>
      <c r="T1288" s="1566"/>
      <c r="U1288" s="1566"/>
      <c r="V1288" s="1566"/>
      <c r="W1288" s="1566">
        <v>1600</v>
      </c>
      <c r="X1288" s="1566"/>
      <c r="Y1288" s="1566"/>
      <c r="Z1288" s="1566"/>
      <c r="AA1288" s="1566">
        <v>52259</v>
      </c>
      <c r="AB1288" s="1566"/>
      <c r="AC1288" s="1566"/>
      <c r="AD1288" s="1566"/>
      <c r="AE1288" s="1566"/>
      <c r="AF1288" s="1566"/>
      <c r="AG1288" s="1566">
        <v>0</v>
      </c>
      <c r="AH1288" s="1566"/>
      <c r="AI1288" s="1566"/>
      <c r="AJ1288" s="1566"/>
      <c r="AK1288" s="1566"/>
    </row>
    <row r="1289" spans="2:37" ht="9.4" customHeight="1">
      <c r="B1289" s="1568" t="s">
        <v>1326</v>
      </c>
      <c r="C1289" s="1568"/>
      <c r="D1289" s="1568"/>
      <c r="E1289" s="1568" t="s">
        <v>2565</v>
      </c>
      <c r="F1289" s="1568"/>
      <c r="G1289" s="1568"/>
      <c r="H1289" s="1568"/>
      <c r="J1289" s="1568" t="s">
        <v>2423</v>
      </c>
      <c r="K1289" s="1568"/>
      <c r="L1289" s="1568"/>
      <c r="M1289" s="1566">
        <v>154473.13</v>
      </c>
      <c r="N1289" s="1566"/>
      <c r="O1289" s="1566"/>
      <c r="P1289" s="1566">
        <v>0</v>
      </c>
      <c r="Q1289" s="1566"/>
      <c r="R1289" s="1566"/>
      <c r="S1289" s="1566">
        <v>0</v>
      </c>
      <c r="T1289" s="1566"/>
      <c r="U1289" s="1566"/>
      <c r="V1289" s="1566"/>
      <c r="W1289" s="1566">
        <v>8571.5</v>
      </c>
      <c r="X1289" s="1566"/>
      <c r="Y1289" s="1566"/>
      <c r="Z1289" s="1566"/>
      <c r="AA1289" s="1566">
        <v>145901.63</v>
      </c>
      <c r="AB1289" s="1566"/>
      <c r="AC1289" s="1566"/>
      <c r="AD1289" s="1566"/>
      <c r="AE1289" s="1566"/>
      <c r="AF1289" s="1566"/>
      <c r="AG1289" s="1566">
        <v>0</v>
      </c>
      <c r="AH1289" s="1566"/>
      <c r="AI1289" s="1566"/>
      <c r="AJ1289" s="1566"/>
      <c r="AK1289" s="1566"/>
    </row>
    <row r="1290" spans="2:37" ht="9.4" customHeight="1">
      <c r="B1290" s="1568" t="s">
        <v>1326</v>
      </c>
      <c r="C1290" s="1568"/>
      <c r="D1290" s="1568"/>
      <c r="E1290" s="1568" t="s">
        <v>2566</v>
      </c>
      <c r="F1290" s="1568"/>
      <c r="G1290" s="1568"/>
      <c r="H1290" s="1568"/>
      <c r="J1290" s="1568" t="s">
        <v>2428</v>
      </c>
      <c r="K1290" s="1568"/>
      <c r="L1290" s="1568"/>
      <c r="M1290" s="1566">
        <v>1108428.93</v>
      </c>
      <c r="N1290" s="1566"/>
      <c r="O1290" s="1566"/>
      <c r="P1290" s="1566">
        <v>0</v>
      </c>
      <c r="Q1290" s="1566"/>
      <c r="R1290" s="1566"/>
      <c r="S1290" s="1566">
        <v>0</v>
      </c>
      <c r="T1290" s="1566"/>
      <c r="U1290" s="1566"/>
      <c r="V1290" s="1566"/>
      <c r="W1290" s="1566">
        <v>42002.35</v>
      </c>
      <c r="X1290" s="1566"/>
      <c r="Y1290" s="1566"/>
      <c r="Z1290" s="1566"/>
      <c r="AA1290" s="1566">
        <v>1066426.58</v>
      </c>
      <c r="AB1290" s="1566"/>
      <c r="AC1290" s="1566"/>
      <c r="AD1290" s="1566"/>
      <c r="AE1290" s="1566"/>
      <c r="AF1290" s="1566"/>
      <c r="AG1290" s="1566">
        <v>0</v>
      </c>
      <c r="AH1290" s="1566"/>
      <c r="AI1290" s="1566"/>
      <c r="AJ1290" s="1566"/>
      <c r="AK1290" s="1566"/>
    </row>
    <row r="1291" spans="2:37" ht="9.1999999999999993" customHeight="1">
      <c r="J1291" s="1568"/>
      <c r="K1291" s="1568"/>
      <c r="L1291" s="1568"/>
    </row>
    <row r="1292" spans="2:37" ht="8.4499999999999993" customHeight="1">
      <c r="B1292" s="1568" t="s">
        <v>1326</v>
      </c>
      <c r="C1292" s="1568"/>
      <c r="D1292" s="1568"/>
      <c r="E1292" s="1568" t="s">
        <v>3292</v>
      </c>
      <c r="F1292" s="1568"/>
      <c r="G1292" s="1568"/>
      <c r="H1292" s="1568"/>
      <c r="J1292" s="1568" t="s">
        <v>2421</v>
      </c>
      <c r="K1292" s="1568"/>
      <c r="L1292" s="1568"/>
      <c r="M1292" s="1566">
        <v>50260</v>
      </c>
      <c r="N1292" s="1566"/>
      <c r="O1292" s="1566"/>
      <c r="P1292" s="1566">
        <v>0</v>
      </c>
      <c r="Q1292" s="1566"/>
      <c r="R1292" s="1566"/>
      <c r="S1292" s="1566">
        <v>0</v>
      </c>
      <c r="T1292" s="1566"/>
      <c r="U1292" s="1566"/>
      <c r="V1292" s="1566"/>
      <c r="W1292" s="1566">
        <v>3800</v>
      </c>
      <c r="X1292" s="1566"/>
      <c r="Y1292" s="1566"/>
      <c r="Z1292" s="1566"/>
      <c r="AA1292" s="1566">
        <v>46460</v>
      </c>
      <c r="AB1292" s="1566"/>
      <c r="AC1292" s="1566"/>
      <c r="AD1292" s="1566"/>
      <c r="AE1292" s="1566"/>
      <c r="AF1292" s="1566"/>
      <c r="AG1292" s="1566">
        <v>0</v>
      </c>
      <c r="AH1292" s="1566"/>
      <c r="AI1292" s="1566"/>
      <c r="AJ1292" s="1566"/>
      <c r="AK1292" s="1566"/>
    </row>
    <row r="1293" spans="2:37" ht="9.4" customHeight="1">
      <c r="B1293" s="1568" t="s">
        <v>1326</v>
      </c>
      <c r="C1293" s="1568"/>
      <c r="D1293" s="1568"/>
      <c r="E1293" s="1568" t="s">
        <v>2567</v>
      </c>
      <c r="F1293" s="1568"/>
      <c r="G1293" s="1568"/>
      <c r="H1293" s="1568"/>
      <c r="J1293" s="1568" t="s">
        <v>2423</v>
      </c>
      <c r="K1293" s="1568"/>
      <c r="L1293" s="1568"/>
      <c r="M1293" s="1566">
        <v>531801.56000000006</v>
      </c>
      <c r="N1293" s="1566"/>
      <c r="O1293" s="1566"/>
      <c r="P1293" s="1566">
        <v>0</v>
      </c>
      <c r="Q1293" s="1566"/>
      <c r="R1293" s="1566"/>
      <c r="S1293" s="1566">
        <v>0</v>
      </c>
      <c r="T1293" s="1566"/>
      <c r="U1293" s="1566"/>
      <c r="V1293" s="1566"/>
      <c r="W1293" s="1566">
        <v>20630.86</v>
      </c>
      <c r="X1293" s="1566"/>
      <c r="Y1293" s="1566"/>
      <c r="Z1293" s="1566"/>
      <c r="AA1293" s="1566">
        <v>511170.7</v>
      </c>
      <c r="AB1293" s="1566"/>
      <c r="AC1293" s="1566"/>
      <c r="AD1293" s="1566"/>
      <c r="AE1293" s="1566"/>
      <c r="AF1293" s="1566"/>
      <c r="AG1293" s="1566">
        <v>0</v>
      </c>
      <c r="AH1293" s="1566"/>
      <c r="AI1293" s="1566"/>
      <c r="AJ1293" s="1566"/>
      <c r="AK1293" s="1566"/>
    </row>
    <row r="1294" spans="2:37" ht="9.4" customHeight="1">
      <c r="B1294" s="1568" t="s">
        <v>1326</v>
      </c>
      <c r="C1294" s="1568"/>
      <c r="D1294" s="1568"/>
      <c r="E1294" s="1568" t="s">
        <v>2568</v>
      </c>
      <c r="F1294" s="1568"/>
      <c r="G1294" s="1568"/>
      <c r="H1294" s="1568"/>
      <c r="J1294" s="1568" t="s">
        <v>2428</v>
      </c>
      <c r="K1294" s="1568"/>
      <c r="L1294" s="1568"/>
      <c r="M1294" s="1566">
        <v>633387.68000000005</v>
      </c>
      <c r="N1294" s="1566"/>
      <c r="O1294" s="1566"/>
      <c r="P1294" s="1566">
        <v>0</v>
      </c>
      <c r="Q1294" s="1566"/>
      <c r="R1294" s="1566"/>
      <c r="S1294" s="1566">
        <v>0</v>
      </c>
      <c r="T1294" s="1566"/>
      <c r="U1294" s="1566"/>
      <c r="V1294" s="1566"/>
      <c r="W1294" s="1566">
        <v>38325.379999999997</v>
      </c>
      <c r="X1294" s="1566"/>
      <c r="Y1294" s="1566"/>
      <c r="Z1294" s="1566"/>
      <c r="AA1294" s="1566">
        <v>595062.30000000005</v>
      </c>
      <c r="AB1294" s="1566"/>
      <c r="AC1294" s="1566"/>
      <c r="AD1294" s="1566"/>
      <c r="AE1294" s="1566"/>
      <c r="AF1294" s="1566"/>
      <c r="AG1294" s="1566">
        <v>0</v>
      </c>
      <c r="AH1294" s="1566"/>
      <c r="AI1294" s="1566"/>
      <c r="AJ1294" s="1566"/>
      <c r="AK1294" s="1566"/>
    </row>
    <row r="1295" spans="2:37" ht="9.1999999999999993" customHeight="1">
      <c r="J1295" s="1568"/>
      <c r="K1295" s="1568"/>
      <c r="L1295" s="1568"/>
    </row>
    <row r="1296" spans="2:37" ht="8.4499999999999993" customHeight="1">
      <c r="B1296" s="1568" t="s">
        <v>1326</v>
      </c>
      <c r="C1296" s="1568"/>
      <c r="D1296" s="1568"/>
      <c r="E1296" s="1568" t="s">
        <v>2569</v>
      </c>
      <c r="F1296" s="1568"/>
      <c r="G1296" s="1568"/>
      <c r="H1296" s="1568"/>
      <c r="J1296" s="1568" t="s">
        <v>2392</v>
      </c>
      <c r="K1296" s="1568"/>
      <c r="L1296" s="1568"/>
      <c r="M1296" s="1566">
        <v>620155.6</v>
      </c>
      <c r="N1296" s="1566"/>
      <c r="O1296" s="1566"/>
      <c r="P1296" s="1566">
        <v>0</v>
      </c>
      <c r="Q1296" s="1566"/>
      <c r="R1296" s="1566"/>
      <c r="S1296" s="1566">
        <v>0</v>
      </c>
      <c r="T1296" s="1566"/>
      <c r="U1296" s="1566"/>
      <c r="V1296" s="1566"/>
      <c r="W1296" s="1566">
        <v>42559.8</v>
      </c>
      <c r="X1296" s="1566"/>
      <c r="Y1296" s="1566"/>
      <c r="Z1296" s="1566"/>
      <c r="AA1296" s="1566">
        <v>577595.80000000005</v>
      </c>
      <c r="AB1296" s="1566"/>
      <c r="AC1296" s="1566"/>
      <c r="AD1296" s="1566"/>
      <c r="AE1296" s="1566"/>
      <c r="AF1296" s="1566"/>
      <c r="AG1296" s="1566">
        <v>0</v>
      </c>
      <c r="AH1296" s="1566"/>
      <c r="AI1296" s="1566"/>
      <c r="AJ1296" s="1566"/>
      <c r="AK1296" s="1566"/>
    </row>
    <row r="1297" spans="2:37" ht="9.4" customHeight="1">
      <c r="B1297" s="1568" t="s">
        <v>1326</v>
      </c>
      <c r="C1297" s="1568"/>
      <c r="D1297" s="1568"/>
      <c r="E1297" s="1568" t="s">
        <v>2570</v>
      </c>
      <c r="F1297" s="1568"/>
      <c r="G1297" s="1568"/>
      <c r="H1297" s="1568"/>
      <c r="J1297" s="1568" t="s">
        <v>2395</v>
      </c>
      <c r="K1297" s="1568"/>
      <c r="L1297" s="1568"/>
      <c r="M1297" s="1566">
        <v>105112</v>
      </c>
      <c r="N1297" s="1566"/>
      <c r="O1297" s="1566"/>
      <c r="P1297" s="1566">
        <v>0</v>
      </c>
      <c r="Q1297" s="1566"/>
      <c r="R1297" s="1566"/>
      <c r="S1297" s="1566">
        <v>0</v>
      </c>
      <c r="T1297" s="1566"/>
      <c r="U1297" s="1566"/>
      <c r="V1297" s="1566"/>
      <c r="W1297" s="1566">
        <v>0</v>
      </c>
      <c r="X1297" s="1566"/>
      <c r="Y1297" s="1566"/>
      <c r="Z1297" s="1566"/>
      <c r="AA1297" s="1566">
        <v>105112</v>
      </c>
      <c r="AB1297" s="1566"/>
      <c r="AC1297" s="1566"/>
      <c r="AD1297" s="1566"/>
      <c r="AE1297" s="1566"/>
      <c r="AF1297" s="1566"/>
      <c r="AG1297" s="1566">
        <v>0</v>
      </c>
      <c r="AH1297" s="1566"/>
      <c r="AI1297" s="1566"/>
      <c r="AJ1297" s="1566"/>
      <c r="AK1297" s="1566"/>
    </row>
    <row r="1298" spans="2:37" ht="9.4" customHeight="1">
      <c r="B1298" s="1568" t="s">
        <v>1326</v>
      </c>
      <c r="C1298" s="1568"/>
      <c r="D1298" s="1568"/>
      <c r="E1298" s="1568" t="s">
        <v>2571</v>
      </c>
      <c r="F1298" s="1568"/>
      <c r="G1298" s="1568"/>
      <c r="H1298" s="1568"/>
      <c r="J1298" s="1568" t="s">
        <v>2397</v>
      </c>
      <c r="K1298" s="1568"/>
      <c r="L1298" s="1568"/>
      <c r="M1298" s="1566">
        <v>10387</v>
      </c>
      <c r="N1298" s="1566"/>
      <c r="O1298" s="1566"/>
      <c r="P1298" s="1566">
        <v>0</v>
      </c>
      <c r="Q1298" s="1566"/>
      <c r="R1298" s="1566"/>
      <c r="S1298" s="1566">
        <v>0</v>
      </c>
      <c r="T1298" s="1566"/>
      <c r="U1298" s="1566"/>
      <c r="V1298" s="1566"/>
      <c r="W1298" s="1566">
        <v>0</v>
      </c>
      <c r="X1298" s="1566"/>
      <c r="Y1298" s="1566"/>
      <c r="Z1298" s="1566"/>
      <c r="AA1298" s="1566">
        <v>10387</v>
      </c>
      <c r="AB1298" s="1566"/>
      <c r="AC1298" s="1566"/>
      <c r="AD1298" s="1566"/>
      <c r="AE1298" s="1566"/>
      <c r="AF1298" s="1566"/>
      <c r="AG1298" s="1566">
        <v>0</v>
      </c>
      <c r="AH1298" s="1566"/>
      <c r="AI1298" s="1566"/>
      <c r="AJ1298" s="1566"/>
      <c r="AK1298" s="1566"/>
    </row>
    <row r="1299" spans="2:37" ht="9.4" customHeight="1">
      <c r="B1299" s="1568" t="s">
        <v>1326</v>
      </c>
      <c r="C1299" s="1568"/>
      <c r="D1299" s="1568"/>
      <c r="E1299" s="1568" t="s">
        <v>3293</v>
      </c>
      <c r="F1299" s="1568"/>
      <c r="G1299" s="1568"/>
      <c r="H1299" s="1568"/>
      <c r="J1299" s="1568" t="s">
        <v>2460</v>
      </c>
      <c r="K1299" s="1568"/>
      <c r="L1299" s="1568"/>
      <c r="M1299" s="1566">
        <v>97032.99</v>
      </c>
      <c r="N1299" s="1566"/>
      <c r="O1299" s="1566"/>
      <c r="P1299" s="1566">
        <v>0</v>
      </c>
      <c r="Q1299" s="1566"/>
      <c r="R1299" s="1566"/>
      <c r="S1299" s="1566">
        <v>0</v>
      </c>
      <c r="T1299" s="1566"/>
      <c r="U1299" s="1566"/>
      <c r="V1299" s="1566"/>
      <c r="W1299" s="1566">
        <v>2026.19</v>
      </c>
      <c r="X1299" s="1566"/>
      <c r="Y1299" s="1566"/>
      <c r="Z1299" s="1566"/>
      <c r="AA1299" s="1566">
        <v>95006.8</v>
      </c>
      <c r="AB1299" s="1566"/>
      <c r="AC1299" s="1566"/>
      <c r="AD1299" s="1566"/>
      <c r="AE1299" s="1566"/>
      <c r="AF1299" s="1566"/>
      <c r="AG1299" s="1566">
        <v>0</v>
      </c>
      <c r="AH1299" s="1566"/>
      <c r="AI1299" s="1566"/>
      <c r="AJ1299" s="1566"/>
      <c r="AK1299" s="1566"/>
    </row>
    <row r="1300" spans="2:37" ht="9.4" customHeight="1">
      <c r="B1300" s="1568" t="s">
        <v>1326</v>
      </c>
      <c r="C1300" s="1568"/>
      <c r="D1300" s="1568"/>
      <c r="E1300" s="1568" t="s">
        <v>2572</v>
      </c>
      <c r="F1300" s="1568"/>
      <c r="G1300" s="1568"/>
      <c r="H1300" s="1568"/>
      <c r="J1300" s="1568" t="s">
        <v>2399</v>
      </c>
      <c r="K1300" s="1568"/>
      <c r="L1300" s="1568"/>
      <c r="M1300" s="1566">
        <v>36000</v>
      </c>
      <c r="N1300" s="1566"/>
      <c r="O1300" s="1566"/>
      <c r="P1300" s="1566">
        <v>0</v>
      </c>
      <c r="Q1300" s="1566"/>
      <c r="R1300" s="1566"/>
      <c r="S1300" s="1566">
        <v>0</v>
      </c>
      <c r="T1300" s="1566"/>
      <c r="U1300" s="1566"/>
      <c r="V1300" s="1566"/>
      <c r="W1300" s="1566">
        <v>0</v>
      </c>
      <c r="X1300" s="1566"/>
      <c r="Y1300" s="1566"/>
      <c r="Z1300" s="1566"/>
      <c r="AA1300" s="1566">
        <v>36000</v>
      </c>
      <c r="AB1300" s="1566"/>
      <c r="AC1300" s="1566"/>
      <c r="AD1300" s="1566"/>
      <c r="AE1300" s="1566"/>
      <c r="AF1300" s="1566"/>
      <c r="AG1300" s="1566">
        <v>0</v>
      </c>
      <c r="AH1300" s="1566"/>
      <c r="AI1300" s="1566"/>
      <c r="AJ1300" s="1566"/>
      <c r="AK1300" s="1566"/>
    </row>
    <row r="1301" spans="2:37" ht="9.4" customHeight="1">
      <c r="B1301" s="1568" t="s">
        <v>1326</v>
      </c>
      <c r="C1301" s="1568"/>
      <c r="D1301" s="1568"/>
      <c r="E1301" s="1568" t="s">
        <v>2573</v>
      </c>
      <c r="F1301" s="1568"/>
      <c r="G1301" s="1568"/>
      <c r="H1301" s="1568"/>
      <c r="J1301" s="1568" t="s">
        <v>2401</v>
      </c>
      <c r="K1301" s="1568"/>
      <c r="L1301" s="1568"/>
      <c r="M1301" s="1566">
        <v>109044.05</v>
      </c>
      <c r="N1301" s="1566"/>
      <c r="O1301" s="1566"/>
      <c r="P1301" s="1566">
        <v>0</v>
      </c>
      <c r="Q1301" s="1566"/>
      <c r="R1301" s="1566"/>
      <c r="S1301" s="1566">
        <v>0</v>
      </c>
      <c r="T1301" s="1566"/>
      <c r="U1301" s="1566"/>
      <c r="V1301" s="1566"/>
      <c r="W1301" s="1566">
        <v>7235.18</v>
      </c>
      <c r="X1301" s="1566"/>
      <c r="Y1301" s="1566"/>
      <c r="Z1301" s="1566"/>
      <c r="AA1301" s="1566">
        <v>101808.87</v>
      </c>
      <c r="AB1301" s="1566"/>
      <c r="AC1301" s="1566"/>
      <c r="AD1301" s="1566"/>
      <c r="AE1301" s="1566"/>
      <c r="AF1301" s="1566"/>
      <c r="AG1301" s="1566">
        <v>0</v>
      </c>
      <c r="AH1301" s="1566"/>
      <c r="AI1301" s="1566"/>
      <c r="AJ1301" s="1566"/>
      <c r="AK1301" s="1566"/>
    </row>
    <row r="1302" spans="2:37" ht="9.4" customHeight="1">
      <c r="B1302" s="1568" t="s">
        <v>1326</v>
      </c>
      <c r="C1302" s="1568"/>
      <c r="D1302" s="1568"/>
      <c r="E1302" s="1568" t="s">
        <v>2574</v>
      </c>
      <c r="F1302" s="1568"/>
      <c r="G1302" s="1568"/>
      <c r="H1302" s="1568"/>
      <c r="J1302" s="1568" t="s">
        <v>2403</v>
      </c>
      <c r="K1302" s="1568"/>
      <c r="L1302" s="1568"/>
      <c r="M1302" s="1566">
        <v>4625.55</v>
      </c>
      <c r="N1302" s="1566"/>
      <c r="O1302" s="1566"/>
      <c r="P1302" s="1566">
        <v>0</v>
      </c>
      <c r="Q1302" s="1566"/>
      <c r="R1302" s="1566"/>
      <c r="S1302" s="1566">
        <v>0</v>
      </c>
      <c r="T1302" s="1566"/>
      <c r="U1302" s="1566"/>
      <c r="V1302" s="1566"/>
      <c r="W1302" s="1566">
        <v>328.15</v>
      </c>
      <c r="X1302" s="1566"/>
      <c r="Y1302" s="1566"/>
      <c r="Z1302" s="1566"/>
      <c r="AA1302" s="1566">
        <v>4297.3999999999996</v>
      </c>
      <c r="AB1302" s="1566"/>
      <c r="AC1302" s="1566"/>
      <c r="AD1302" s="1566"/>
      <c r="AE1302" s="1566"/>
      <c r="AF1302" s="1566"/>
      <c r="AG1302" s="1566">
        <v>0</v>
      </c>
      <c r="AH1302" s="1566"/>
      <c r="AI1302" s="1566"/>
      <c r="AJ1302" s="1566"/>
      <c r="AK1302" s="1566"/>
    </row>
    <row r="1303" spans="2:37" ht="9.4" customHeight="1">
      <c r="B1303" s="1568" t="s">
        <v>1326</v>
      </c>
      <c r="C1303" s="1568"/>
      <c r="D1303" s="1568"/>
      <c r="E1303" s="1568" t="s">
        <v>2575</v>
      </c>
      <c r="F1303" s="1568"/>
      <c r="G1303" s="1568"/>
      <c r="H1303" s="1568"/>
      <c r="J1303" s="1568" t="s">
        <v>2405</v>
      </c>
      <c r="K1303" s="1568"/>
      <c r="L1303" s="1568"/>
      <c r="M1303" s="1566">
        <v>69025.36</v>
      </c>
      <c r="N1303" s="1566"/>
      <c r="O1303" s="1566"/>
      <c r="P1303" s="1566">
        <v>0</v>
      </c>
      <c r="Q1303" s="1566"/>
      <c r="R1303" s="1566"/>
      <c r="S1303" s="1566">
        <v>0</v>
      </c>
      <c r="T1303" s="1566"/>
      <c r="U1303" s="1566"/>
      <c r="V1303" s="1566"/>
      <c r="W1303" s="1566">
        <v>5354.5</v>
      </c>
      <c r="X1303" s="1566"/>
      <c r="Y1303" s="1566"/>
      <c r="Z1303" s="1566"/>
      <c r="AA1303" s="1566">
        <v>63670.86</v>
      </c>
      <c r="AB1303" s="1566"/>
      <c r="AC1303" s="1566"/>
      <c r="AD1303" s="1566"/>
      <c r="AE1303" s="1566"/>
      <c r="AF1303" s="1566"/>
      <c r="AG1303" s="1566">
        <v>0</v>
      </c>
      <c r="AH1303" s="1566"/>
      <c r="AI1303" s="1566"/>
      <c r="AJ1303" s="1566"/>
      <c r="AK1303" s="1566"/>
    </row>
    <row r="1304" spans="2:37" ht="9.4" customHeight="1">
      <c r="B1304" s="1568" t="s">
        <v>1326</v>
      </c>
      <c r="C1304" s="1568"/>
      <c r="D1304" s="1568"/>
      <c r="E1304" s="1568" t="s">
        <v>2576</v>
      </c>
      <c r="F1304" s="1568"/>
      <c r="G1304" s="1568"/>
      <c r="H1304" s="1568"/>
      <c r="J1304" s="1568" t="s">
        <v>2407</v>
      </c>
      <c r="K1304" s="1568"/>
      <c r="L1304" s="1568"/>
      <c r="M1304" s="1566">
        <v>67167.259999999995</v>
      </c>
      <c r="N1304" s="1566"/>
      <c r="O1304" s="1566"/>
      <c r="P1304" s="1566">
        <v>0</v>
      </c>
      <c r="Q1304" s="1566"/>
      <c r="R1304" s="1566"/>
      <c r="S1304" s="1566">
        <v>0</v>
      </c>
      <c r="T1304" s="1566"/>
      <c r="U1304" s="1566"/>
      <c r="V1304" s="1566"/>
      <c r="W1304" s="1566">
        <v>4833.9799999999996</v>
      </c>
      <c r="X1304" s="1566"/>
      <c r="Y1304" s="1566"/>
      <c r="Z1304" s="1566"/>
      <c r="AA1304" s="1566">
        <v>62333.279999999999</v>
      </c>
      <c r="AB1304" s="1566"/>
      <c r="AC1304" s="1566"/>
      <c r="AD1304" s="1566"/>
      <c r="AE1304" s="1566"/>
      <c r="AF1304" s="1566"/>
      <c r="AG1304" s="1566">
        <v>0</v>
      </c>
      <c r="AH1304" s="1566"/>
      <c r="AI1304" s="1566"/>
      <c r="AJ1304" s="1566"/>
      <c r="AK1304" s="1566"/>
    </row>
    <row r="1305" spans="2:37" ht="9.4" customHeight="1">
      <c r="B1305" s="1568" t="s">
        <v>1326</v>
      </c>
      <c r="C1305" s="1568"/>
      <c r="D1305" s="1568"/>
      <c r="E1305" s="1568" t="s">
        <v>2577</v>
      </c>
      <c r="F1305" s="1568"/>
      <c r="G1305" s="1568"/>
      <c r="H1305" s="1568"/>
      <c r="J1305" s="1568" t="s">
        <v>2448</v>
      </c>
      <c r="K1305" s="1568"/>
      <c r="L1305" s="1568"/>
      <c r="M1305" s="1566">
        <v>51967520.119999997</v>
      </c>
      <c r="N1305" s="1566"/>
      <c r="O1305" s="1566"/>
      <c r="P1305" s="1566">
        <v>0</v>
      </c>
      <c r="Q1305" s="1566"/>
      <c r="R1305" s="1566"/>
      <c r="S1305" s="1566">
        <v>0</v>
      </c>
      <c r="T1305" s="1566"/>
      <c r="U1305" s="1566"/>
      <c r="V1305" s="1566"/>
      <c r="W1305" s="1566">
        <v>260058.8</v>
      </c>
      <c r="X1305" s="1566"/>
      <c r="Y1305" s="1566"/>
      <c r="Z1305" s="1566"/>
      <c r="AA1305" s="1566">
        <v>51707461.32</v>
      </c>
      <c r="AB1305" s="1566"/>
      <c r="AC1305" s="1566"/>
      <c r="AD1305" s="1566"/>
      <c r="AE1305" s="1566"/>
      <c r="AF1305" s="1566"/>
      <c r="AG1305" s="1566">
        <v>0</v>
      </c>
      <c r="AH1305" s="1566"/>
      <c r="AI1305" s="1566"/>
      <c r="AJ1305" s="1566"/>
      <c r="AK1305" s="1566"/>
    </row>
    <row r="1306" spans="2:37" ht="9.4" customHeight="1">
      <c r="B1306" s="1568" t="s">
        <v>1326</v>
      </c>
      <c r="C1306" s="1568"/>
      <c r="D1306" s="1568"/>
      <c r="E1306" s="1568" t="s">
        <v>2578</v>
      </c>
      <c r="F1306" s="1568"/>
      <c r="G1306" s="1568"/>
      <c r="H1306" s="1568"/>
      <c r="J1306" s="1568" t="s">
        <v>2450</v>
      </c>
      <c r="K1306" s="1568"/>
      <c r="L1306" s="1568"/>
      <c r="M1306" s="1566">
        <v>3952164.87</v>
      </c>
      <c r="N1306" s="1566"/>
      <c r="O1306" s="1566"/>
      <c r="P1306" s="1566">
        <v>0</v>
      </c>
      <c r="Q1306" s="1566"/>
      <c r="R1306" s="1566"/>
      <c r="S1306" s="1566">
        <v>0</v>
      </c>
      <c r="T1306" s="1566"/>
      <c r="U1306" s="1566"/>
      <c r="V1306" s="1566"/>
      <c r="W1306" s="1566">
        <v>12150</v>
      </c>
      <c r="X1306" s="1566"/>
      <c r="Y1306" s="1566"/>
      <c r="Z1306" s="1566"/>
      <c r="AA1306" s="1566">
        <v>3940014.87</v>
      </c>
      <c r="AB1306" s="1566"/>
      <c r="AC1306" s="1566"/>
      <c r="AD1306" s="1566"/>
      <c r="AE1306" s="1566"/>
      <c r="AF1306" s="1566"/>
      <c r="AG1306" s="1566">
        <v>0</v>
      </c>
      <c r="AH1306" s="1566"/>
      <c r="AI1306" s="1566"/>
      <c r="AJ1306" s="1566"/>
      <c r="AK1306" s="1566"/>
    </row>
    <row r="1307" spans="2:37" ht="9.4" customHeight="1">
      <c r="B1307" s="1568" t="s">
        <v>1326</v>
      </c>
      <c r="C1307" s="1568"/>
      <c r="D1307" s="1568"/>
      <c r="E1307" s="1568" t="s">
        <v>2579</v>
      </c>
      <c r="F1307" s="1568"/>
      <c r="G1307" s="1568"/>
      <c r="H1307" s="1568"/>
      <c r="J1307" s="1568" t="s">
        <v>2448</v>
      </c>
      <c r="K1307" s="1568"/>
      <c r="L1307" s="1568"/>
      <c r="M1307" s="1566">
        <v>5200000</v>
      </c>
      <c r="N1307" s="1566"/>
      <c r="O1307" s="1566"/>
      <c r="P1307" s="1566">
        <v>0</v>
      </c>
      <c r="Q1307" s="1566"/>
      <c r="R1307" s="1566"/>
      <c r="S1307" s="1566">
        <v>0</v>
      </c>
      <c r="T1307" s="1566"/>
      <c r="U1307" s="1566"/>
      <c r="V1307" s="1566"/>
      <c r="W1307" s="1566">
        <v>85841</v>
      </c>
      <c r="X1307" s="1566"/>
      <c r="Y1307" s="1566"/>
      <c r="Z1307" s="1566"/>
      <c r="AA1307" s="1566">
        <v>5114159</v>
      </c>
      <c r="AB1307" s="1566"/>
      <c r="AC1307" s="1566"/>
      <c r="AD1307" s="1566"/>
      <c r="AE1307" s="1566"/>
      <c r="AF1307" s="1566"/>
      <c r="AG1307" s="1566">
        <v>0</v>
      </c>
      <c r="AH1307" s="1566"/>
      <c r="AI1307" s="1566"/>
      <c r="AJ1307" s="1566"/>
      <c r="AK1307" s="1566"/>
    </row>
    <row r="1308" spans="2:37" ht="9.4" customHeight="1">
      <c r="B1308" s="1568" t="s">
        <v>1326</v>
      </c>
      <c r="C1308" s="1568"/>
      <c r="D1308" s="1568"/>
      <c r="E1308" s="1568" t="s">
        <v>2580</v>
      </c>
      <c r="F1308" s="1568"/>
      <c r="G1308" s="1568"/>
      <c r="H1308" s="1568"/>
      <c r="J1308" s="1568" t="s">
        <v>2450</v>
      </c>
      <c r="K1308" s="1568"/>
      <c r="L1308" s="1568"/>
      <c r="M1308" s="1566">
        <v>1600000</v>
      </c>
      <c r="N1308" s="1566"/>
      <c r="O1308" s="1566"/>
      <c r="P1308" s="1566">
        <v>0</v>
      </c>
      <c r="Q1308" s="1566"/>
      <c r="R1308" s="1566"/>
      <c r="S1308" s="1566">
        <v>0</v>
      </c>
      <c r="T1308" s="1566"/>
      <c r="U1308" s="1566"/>
      <c r="V1308" s="1566"/>
      <c r="W1308" s="1566">
        <v>0</v>
      </c>
      <c r="X1308" s="1566"/>
      <c r="Y1308" s="1566"/>
      <c r="Z1308" s="1566"/>
      <c r="AA1308" s="1566">
        <v>1600000</v>
      </c>
      <c r="AB1308" s="1566"/>
      <c r="AC1308" s="1566"/>
      <c r="AD1308" s="1566"/>
      <c r="AE1308" s="1566"/>
      <c r="AF1308" s="1566"/>
      <c r="AG1308" s="1566">
        <v>0</v>
      </c>
      <c r="AH1308" s="1566"/>
      <c r="AI1308" s="1566"/>
      <c r="AJ1308" s="1566"/>
      <c r="AK1308" s="1566"/>
    </row>
    <row r="1309" spans="2:37" ht="9.4" customHeight="1">
      <c r="B1309" s="1568" t="s">
        <v>1326</v>
      </c>
      <c r="C1309" s="1568"/>
      <c r="D1309" s="1568"/>
      <c r="E1309" s="1568" t="s">
        <v>2581</v>
      </c>
      <c r="F1309" s="1568"/>
      <c r="G1309" s="1568"/>
      <c r="H1309" s="1568"/>
      <c r="J1309" s="1568" t="s">
        <v>2448</v>
      </c>
      <c r="K1309" s="1568"/>
      <c r="L1309" s="1568"/>
      <c r="M1309" s="1566">
        <v>1600000</v>
      </c>
      <c r="N1309" s="1566"/>
      <c r="O1309" s="1566"/>
      <c r="P1309" s="1566">
        <v>0</v>
      </c>
      <c r="Q1309" s="1566"/>
      <c r="R1309" s="1566"/>
      <c r="S1309" s="1566">
        <v>0</v>
      </c>
      <c r="T1309" s="1566"/>
      <c r="U1309" s="1566"/>
      <c r="V1309" s="1566"/>
      <c r="W1309" s="1566">
        <v>958</v>
      </c>
      <c r="X1309" s="1566"/>
      <c r="Y1309" s="1566"/>
      <c r="Z1309" s="1566"/>
      <c r="AA1309" s="1566">
        <v>1599042</v>
      </c>
      <c r="AB1309" s="1566"/>
      <c r="AC1309" s="1566"/>
      <c r="AD1309" s="1566"/>
      <c r="AE1309" s="1566"/>
      <c r="AF1309" s="1566"/>
      <c r="AG1309" s="1566">
        <v>0</v>
      </c>
      <c r="AH1309" s="1566"/>
      <c r="AI1309" s="1566"/>
      <c r="AJ1309" s="1566"/>
      <c r="AK1309" s="1566"/>
    </row>
    <row r="1310" spans="2:37" ht="9.4" customHeight="1">
      <c r="B1310" s="1568" t="s">
        <v>1326</v>
      </c>
      <c r="C1310" s="1568"/>
      <c r="D1310" s="1568"/>
      <c r="E1310" s="1568" t="s">
        <v>2582</v>
      </c>
      <c r="F1310" s="1568"/>
      <c r="G1310" s="1568"/>
      <c r="H1310" s="1568"/>
      <c r="J1310" s="1568" t="s">
        <v>2450</v>
      </c>
      <c r="K1310" s="1568"/>
      <c r="L1310" s="1568"/>
      <c r="M1310" s="1566">
        <v>1484647.2</v>
      </c>
      <c r="N1310" s="1566"/>
      <c r="O1310" s="1566"/>
      <c r="P1310" s="1566">
        <v>0</v>
      </c>
      <c r="Q1310" s="1566"/>
      <c r="R1310" s="1566"/>
      <c r="S1310" s="1566">
        <v>0</v>
      </c>
      <c r="T1310" s="1566"/>
      <c r="U1310" s="1566"/>
      <c r="V1310" s="1566"/>
      <c r="W1310" s="1566">
        <v>0</v>
      </c>
      <c r="X1310" s="1566"/>
      <c r="Y1310" s="1566"/>
      <c r="Z1310" s="1566"/>
      <c r="AA1310" s="1566">
        <v>1484647.2</v>
      </c>
      <c r="AB1310" s="1566"/>
      <c r="AC1310" s="1566"/>
      <c r="AD1310" s="1566"/>
      <c r="AE1310" s="1566"/>
      <c r="AF1310" s="1566"/>
      <c r="AG1310" s="1566">
        <v>0</v>
      </c>
      <c r="AH1310" s="1566"/>
      <c r="AI1310" s="1566"/>
      <c r="AJ1310" s="1566"/>
      <c r="AK1310" s="1566"/>
    </row>
    <row r="1311" spans="2:37" ht="9.4" customHeight="1">
      <c r="B1311" s="1568" t="s">
        <v>1326</v>
      </c>
      <c r="C1311" s="1568"/>
      <c r="D1311" s="1568"/>
      <c r="E1311" s="1568" t="s">
        <v>2583</v>
      </c>
      <c r="F1311" s="1568"/>
      <c r="G1311" s="1568"/>
      <c r="H1311" s="1568"/>
      <c r="J1311" s="1568" t="s">
        <v>2448</v>
      </c>
      <c r="K1311" s="1568"/>
      <c r="L1311" s="1568"/>
      <c r="M1311" s="1566">
        <v>1200000</v>
      </c>
      <c r="N1311" s="1566"/>
      <c r="O1311" s="1566"/>
      <c r="P1311" s="1566">
        <v>0</v>
      </c>
      <c r="Q1311" s="1566"/>
      <c r="R1311" s="1566"/>
      <c r="S1311" s="1566">
        <v>0</v>
      </c>
      <c r="T1311" s="1566"/>
      <c r="U1311" s="1566"/>
      <c r="V1311" s="1566"/>
      <c r="W1311" s="1566">
        <v>3323</v>
      </c>
      <c r="X1311" s="1566"/>
      <c r="Y1311" s="1566"/>
      <c r="Z1311" s="1566"/>
      <c r="AA1311" s="1566">
        <v>1196677</v>
      </c>
      <c r="AB1311" s="1566"/>
      <c r="AC1311" s="1566"/>
      <c r="AD1311" s="1566"/>
      <c r="AE1311" s="1566"/>
      <c r="AF1311" s="1566"/>
      <c r="AG1311" s="1566">
        <v>0</v>
      </c>
      <c r="AH1311" s="1566"/>
      <c r="AI1311" s="1566"/>
      <c r="AJ1311" s="1566"/>
      <c r="AK1311" s="1566"/>
    </row>
    <row r="1312" spans="2:37" ht="9.4" customHeight="1">
      <c r="B1312" s="1568" t="s">
        <v>1326</v>
      </c>
      <c r="C1312" s="1568"/>
      <c r="D1312" s="1568"/>
      <c r="E1312" s="1568" t="s">
        <v>2584</v>
      </c>
      <c r="F1312" s="1568"/>
      <c r="G1312" s="1568"/>
      <c r="H1312" s="1568"/>
      <c r="J1312" s="1568" t="s">
        <v>2450</v>
      </c>
      <c r="K1312" s="1568"/>
      <c r="L1312" s="1568"/>
      <c r="M1312" s="1566">
        <v>786575.78</v>
      </c>
      <c r="N1312" s="1566"/>
      <c r="O1312" s="1566"/>
      <c r="P1312" s="1566">
        <v>0</v>
      </c>
      <c r="Q1312" s="1566"/>
      <c r="R1312" s="1566"/>
      <c r="S1312" s="1566">
        <v>0</v>
      </c>
      <c r="T1312" s="1566"/>
      <c r="U1312" s="1566"/>
      <c r="V1312" s="1566"/>
      <c r="W1312" s="1566">
        <v>56000</v>
      </c>
      <c r="X1312" s="1566"/>
      <c r="Y1312" s="1566"/>
      <c r="Z1312" s="1566"/>
      <c r="AA1312" s="1566">
        <v>730575.78</v>
      </c>
      <c r="AB1312" s="1566"/>
      <c r="AC1312" s="1566"/>
      <c r="AD1312" s="1566"/>
      <c r="AE1312" s="1566"/>
      <c r="AF1312" s="1566"/>
      <c r="AG1312" s="1566">
        <v>0</v>
      </c>
      <c r="AH1312" s="1566"/>
      <c r="AI1312" s="1566"/>
      <c r="AJ1312" s="1566"/>
      <c r="AK1312" s="1566"/>
    </row>
    <row r="1313" spans="1:38" ht="15.6" customHeight="1">
      <c r="AG1313" s="1565" t="s">
        <v>2672</v>
      </c>
      <c r="AH1313" s="1565"/>
      <c r="AI1313" s="1565"/>
      <c r="AJ1313" s="1565"/>
      <c r="AK1313" s="1565"/>
      <c r="AL1313" s="1565"/>
    </row>
    <row r="1314" spans="1:38" ht="7.15" customHeight="1">
      <c r="D1314" s="1578" t="s">
        <v>2992</v>
      </c>
      <c r="E1314" s="1578"/>
      <c r="F1314" s="1578"/>
      <c r="G1314" s="1578"/>
      <c r="H1314" s="1578"/>
      <c r="I1314" s="1578"/>
      <c r="J1314" s="1578"/>
      <c r="K1314" s="1578"/>
      <c r="L1314" s="1578"/>
      <c r="M1314" s="1578"/>
      <c r="N1314" s="1578"/>
      <c r="O1314" s="1578"/>
      <c r="P1314" s="1578"/>
      <c r="Q1314" s="1578"/>
      <c r="R1314" s="1578"/>
      <c r="S1314" s="1578"/>
      <c r="T1314" s="1578"/>
      <c r="U1314" s="1578"/>
      <c r="V1314" s="1578"/>
      <c r="W1314" s="1578"/>
      <c r="X1314" s="1578"/>
      <c r="Y1314" s="1578"/>
      <c r="Z1314" s="1578"/>
      <c r="AA1314" s="1578"/>
      <c r="AB1314" s="1578"/>
      <c r="AC1314" s="1578"/>
      <c r="AD1314" s="1578"/>
      <c r="AE1314" s="1578"/>
      <c r="AF1314" s="1578"/>
      <c r="AG1314" s="1578"/>
      <c r="AH1314" s="1578"/>
    </row>
    <row r="1315" spans="1:38" ht="9.6" customHeight="1">
      <c r="A1315" s="1579"/>
      <c r="B1315" s="1579"/>
      <c r="C1315" s="1579"/>
      <c r="D1315" s="1579"/>
      <c r="E1315" s="1579"/>
      <c r="F1315" s="1579"/>
      <c r="G1315" s="1579"/>
      <c r="H1315" s="1579"/>
      <c r="I1315" s="1579"/>
      <c r="J1315" s="1578"/>
      <c r="K1315" s="1578"/>
      <c r="L1315" s="1578"/>
      <c r="M1315" s="1578"/>
      <c r="N1315" s="1578"/>
      <c r="O1315" s="1578"/>
      <c r="P1315" s="1578"/>
      <c r="Q1315" s="1578"/>
      <c r="R1315" s="1578"/>
      <c r="S1315" s="1578"/>
      <c r="T1315" s="1578"/>
      <c r="U1315" s="1578"/>
      <c r="V1315" s="1578"/>
      <c r="W1315" s="1578"/>
      <c r="X1315" s="1578"/>
      <c r="Y1315" s="1578"/>
      <c r="Z1315" s="1578"/>
      <c r="AA1315" s="1578"/>
      <c r="AB1315" s="1578"/>
      <c r="AC1315" s="1578"/>
      <c r="AD1315" s="1578"/>
      <c r="AE1315" s="1578"/>
      <c r="AF1315" s="1578"/>
      <c r="AG1315" s="1578"/>
      <c r="AH1315" s="1578"/>
    </row>
    <row r="1316" spans="1:38" ht="13.35" customHeight="1">
      <c r="A1316" s="1579"/>
      <c r="B1316" s="1579"/>
      <c r="C1316" s="1579"/>
      <c r="D1316" s="1579"/>
      <c r="E1316" s="1579"/>
      <c r="F1316" s="1579"/>
      <c r="G1316" s="1579"/>
      <c r="H1316" s="1579"/>
      <c r="I1316" s="1579"/>
      <c r="J1316" s="1580" t="s">
        <v>79</v>
      </c>
      <c r="K1316" s="1580"/>
      <c r="L1316" s="1580"/>
      <c r="M1316" s="1580"/>
      <c r="N1316" s="1580"/>
      <c r="O1316" s="1580"/>
      <c r="P1316" s="1580"/>
      <c r="Q1316" s="1580"/>
      <c r="R1316" s="1580"/>
      <c r="S1316" s="1580"/>
      <c r="T1316" s="1580"/>
      <c r="U1316" s="1580"/>
      <c r="V1316" s="1580"/>
      <c r="W1316" s="1580"/>
      <c r="X1316" s="1580"/>
      <c r="Y1316" s="1580"/>
      <c r="Z1316" s="1580"/>
      <c r="AA1316" s="1580"/>
      <c r="AB1316" s="1580"/>
      <c r="AC1316" s="1580"/>
      <c r="AD1316" s="1580"/>
      <c r="AE1316" s="1580"/>
      <c r="AF1316" s="1580"/>
    </row>
    <row r="1317" spans="1:38" ht="5.25" customHeight="1">
      <c r="A1317" s="1579"/>
      <c r="B1317" s="1579"/>
      <c r="C1317" s="1579"/>
      <c r="D1317" s="1579"/>
      <c r="E1317" s="1579"/>
      <c r="F1317" s="1579"/>
      <c r="G1317" s="1579"/>
      <c r="H1317" s="1579"/>
      <c r="I1317" s="1579"/>
      <c r="J1317" s="1573" t="s">
        <v>6760</v>
      </c>
      <c r="K1317" s="1573"/>
      <c r="L1317" s="1573"/>
      <c r="M1317" s="1573"/>
      <c r="N1317" s="1573"/>
      <c r="O1317" s="1573"/>
      <c r="P1317" s="1573"/>
      <c r="Q1317" s="1573"/>
      <c r="R1317" s="1573"/>
      <c r="S1317" s="1573"/>
      <c r="T1317" s="1573"/>
      <c r="U1317" s="1573"/>
      <c r="V1317" s="1573"/>
      <c r="W1317" s="1573"/>
      <c r="X1317" s="1573"/>
      <c r="Y1317" s="1573"/>
      <c r="Z1317" s="1573"/>
      <c r="AA1317" s="1573"/>
      <c r="AB1317" s="1573"/>
      <c r="AC1317" s="1573"/>
      <c r="AD1317" s="1573"/>
      <c r="AE1317" s="1573"/>
    </row>
    <row r="1318" spans="1:38" ht="8.1" customHeight="1">
      <c r="C1318" s="1572" t="s">
        <v>1920</v>
      </c>
      <c r="D1318" s="1572"/>
      <c r="E1318" s="1572"/>
      <c r="F1318" s="1572"/>
      <c r="G1318" s="1572"/>
      <c r="H1318" s="1572"/>
      <c r="I1318" s="1572"/>
      <c r="J1318" s="1572"/>
      <c r="K1318" s="1573"/>
      <c r="L1318" s="1573"/>
      <c r="M1318" s="1573"/>
      <c r="N1318" s="1573"/>
      <c r="O1318" s="1573"/>
      <c r="P1318" s="1573"/>
      <c r="Q1318" s="1573"/>
      <c r="R1318" s="1573"/>
      <c r="S1318" s="1573"/>
      <c r="T1318" s="1573"/>
      <c r="U1318" s="1573"/>
      <c r="V1318" s="1573"/>
      <c r="W1318" s="1573"/>
      <c r="X1318" s="1573"/>
      <c r="Y1318" s="1574" t="s">
        <v>5920</v>
      </c>
      <c r="Z1318" s="1574"/>
      <c r="AA1318" s="1574"/>
      <c r="AB1318" s="1574"/>
      <c r="AC1318" s="1574"/>
      <c r="AD1318" s="1574"/>
      <c r="AE1318" s="1574"/>
      <c r="AF1318" s="1574"/>
      <c r="AG1318" s="1574"/>
      <c r="AH1318" s="1575" t="s">
        <v>6761</v>
      </c>
      <c r="AI1318" s="1575"/>
      <c r="AJ1318" s="1575"/>
      <c r="AK1318" s="1575"/>
      <c r="AL1318" s="1575"/>
    </row>
    <row r="1319" spans="1:38" ht="6" customHeight="1">
      <c r="C1319" s="1572"/>
      <c r="D1319" s="1572"/>
      <c r="E1319" s="1572"/>
      <c r="F1319" s="1572"/>
      <c r="G1319" s="1572"/>
      <c r="H1319" s="1572"/>
      <c r="I1319" s="1572"/>
      <c r="J1319" s="1572"/>
      <c r="K1319" s="1576" t="s">
        <v>1999</v>
      </c>
      <c r="L1319" s="1576"/>
      <c r="M1319" s="1576"/>
      <c r="N1319" s="1576"/>
      <c r="O1319" s="1576"/>
      <c r="P1319" s="1576"/>
      <c r="Q1319" s="1576"/>
      <c r="R1319" s="1576"/>
      <c r="S1319" s="1576"/>
      <c r="T1319" s="1576"/>
      <c r="U1319" s="1576"/>
      <c r="V1319" s="1576"/>
      <c r="W1319" s="1576"/>
      <c r="X1319" s="1576"/>
      <c r="Y1319" s="1574"/>
      <c r="Z1319" s="1574"/>
      <c r="AA1319" s="1574"/>
      <c r="AB1319" s="1574"/>
      <c r="AC1319" s="1574"/>
      <c r="AD1319" s="1574"/>
      <c r="AE1319" s="1574"/>
      <c r="AF1319" s="1574"/>
      <c r="AG1319" s="1574"/>
      <c r="AH1319" s="1575"/>
      <c r="AI1319" s="1575"/>
      <c r="AJ1319" s="1575"/>
      <c r="AK1319" s="1575"/>
      <c r="AL1319" s="1575"/>
    </row>
    <row r="1320" spans="1:38" ht="7.35" customHeight="1">
      <c r="C1320" s="1572" t="s">
        <v>1998</v>
      </c>
      <c r="D1320" s="1572"/>
      <c r="E1320" s="1572"/>
      <c r="F1320" s="1572"/>
      <c r="G1320" s="1577"/>
      <c r="H1320" s="1577"/>
      <c r="I1320" s="1577"/>
      <c r="J1320" s="1577"/>
      <c r="K1320" s="1577"/>
      <c r="L1320" s="1577"/>
      <c r="M1320" s="1577"/>
      <c r="N1320" s="1577"/>
      <c r="O1320" s="1577"/>
      <c r="P1320" s="1577"/>
      <c r="Q1320" s="1577"/>
      <c r="R1320" s="1577"/>
      <c r="S1320" s="1577"/>
      <c r="T1320" s="1577"/>
      <c r="U1320" s="1577"/>
      <c r="V1320" s="1577"/>
      <c r="W1320" s="1577"/>
      <c r="X1320" s="1577"/>
      <c r="Y1320" s="1577"/>
      <c r="Z1320" s="1577"/>
      <c r="AA1320" s="1577"/>
      <c r="AB1320" s="1577"/>
      <c r="AC1320" s="1577"/>
      <c r="AD1320" s="1577"/>
      <c r="AE1320" s="1577"/>
      <c r="AF1320" s="1574"/>
      <c r="AG1320" s="1574"/>
      <c r="AH1320" s="1574" t="s">
        <v>6762</v>
      </c>
      <c r="AI1320" s="1574"/>
    </row>
    <row r="1321" spans="1:38" ht="6.75" customHeight="1">
      <c r="G1321" s="1577"/>
      <c r="H1321" s="1577"/>
      <c r="I1321" s="1577"/>
      <c r="J1321" s="1577"/>
      <c r="K1321" s="1577"/>
      <c r="L1321" s="1577"/>
      <c r="M1321" s="1577"/>
      <c r="N1321" s="1577"/>
      <c r="O1321" s="1577"/>
      <c r="P1321" s="1577"/>
      <c r="Q1321" s="1577"/>
      <c r="R1321" s="1577"/>
      <c r="S1321" s="1577"/>
      <c r="T1321" s="1577"/>
      <c r="U1321" s="1577"/>
      <c r="V1321" s="1577"/>
      <c r="W1321" s="1577"/>
      <c r="X1321" s="1577"/>
      <c r="Y1321" s="1577"/>
      <c r="Z1321" s="1577"/>
      <c r="AA1321" s="1577"/>
      <c r="AB1321" s="1577"/>
      <c r="AC1321" s="1577"/>
      <c r="AD1321" s="1577"/>
      <c r="AE1321" s="1577"/>
      <c r="AF1321" s="1574"/>
      <c r="AG1321" s="1574"/>
      <c r="AH1321" s="1574"/>
      <c r="AI1321" s="1574"/>
    </row>
    <row r="1322" spans="1:38" ht="11.25" customHeight="1">
      <c r="O1322" s="1570" t="s">
        <v>1318</v>
      </c>
      <c r="P1322" s="1570"/>
      <c r="Q1322" s="1570"/>
      <c r="V1322" s="1570" t="s">
        <v>1319</v>
      </c>
      <c r="W1322" s="1570"/>
      <c r="X1322" s="1570"/>
      <c r="Y1322" s="1570"/>
      <c r="AD1322" s="1570" t="s">
        <v>1320</v>
      </c>
      <c r="AE1322" s="1570"/>
      <c r="AF1322" s="1570"/>
      <c r="AG1322" s="1570"/>
      <c r="AH1322" s="1570"/>
      <c r="AI1322" s="1570"/>
      <c r="AJ1322" s="1570"/>
    </row>
    <row r="1323" spans="1:38" ht="8.4499999999999993" customHeight="1">
      <c r="B1323" s="1571" t="s">
        <v>1321</v>
      </c>
      <c r="C1323" s="1571"/>
      <c r="D1323" s="1571"/>
      <c r="E1323" s="1571" t="s">
        <v>1322</v>
      </c>
      <c r="F1323" s="1571"/>
      <c r="G1323" s="1571"/>
      <c r="J1323" s="1571" t="s">
        <v>1323</v>
      </c>
      <c r="K1323" s="1571"/>
      <c r="L1323" s="1571"/>
      <c r="M1323" s="1571"/>
      <c r="N1323" s="1571"/>
      <c r="O1323" s="1402" t="s">
        <v>1324</v>
      </c>
      <c r="Q1323" s="1569" t="s">
        <v>1325</v>
      </c>
      <c r="R1323" s="1569"/>
      <c r="U1323" s="1569" t="s">
        <v>1324</v>
      </c>
      <c r="V1323" s="1569"/>
      <c r="X1323" s="1569" t="s">
        <v>1325</v>
      </c>
      <c r="Y1323" s="1569"/>
      <c r="Z1323" s="1569"/>
      <c r="AC1323" s="1569" t="s">
        <v>1324</v>
      </c>
      <c r="AD1323" s="1569"/>
      <c r="AE1323" s="1569"/>
      <c r="AF1323" s="1569"/>
      <c r="AH1323" s="1569" t="s">
        <v>1325</v>
      </c>
      <c r="AI1323" s="1569"/>
      <c r="AJ1323" s="1569"/>
      <c r="AK1323" s="1569"/>
    </row>
    <row r="1324" spans="1:38" ht="9.9499999999999993" customHeight="1">
      <c r="B1324" s="1568" t="s">
        <v>1326</v>
      </c>
      <c r="C1324" s="1568"/>
      <c r="D1324" s="1568"/>
      <c r="E1324" s="1568" t="s">
        <v>2585</v>
      </c>
      <c r="F1324" s="1568"/>
      <c r="G1324" s="1568"/>
      <c r="H1324" s="1568"/>
      <c r="J1324" s="1568" t="s">
        <v>2392</v>
      </c>
      <c r="K1324" s="1568"/>
      <c r="L1324" s="1568"/>
      <c r="M1324" s="1566">
        <v>3907157.4</v>
      </c>
      <c r="N1324" s="1566"/>
      <c r="O1324" s="1566"/>
      <c r="P1324" s="1566">
        <v>0</v>
      </c>
      <c r="Q1324" s="1566"/>
      <c r="R1324" s="1566"/>
      <c r="S1324" s="1566">
        <v>0</v>
      </c>
      <c r="T1324" s="1566"/>
      <c r="U1324" s="1566"/>
      <c r="V1324" s="1566"/>
      <c r="W1324" s="1566">
        <v>333184.2</v>
      </c>
      <c r="X1324" s="1566"/>
      <c r="Y1324" s="1566"/>
      <c r="Z1324" s="1566"/>
      <c r="AA1324" s="1566">
        <v>3573973.2</v>
      </c>
      <c r="AB1324" s="1566"/>
      <c r="AC1324" s="1566"/>
      <c r="AD1324" s="1566"/>
      <c r="AE1324" s="1566"/>
      <c r="AF1324" s="1566"/>
      <c r="AG1324" s="1566">
        <v>0</v>
      </c>
      <c r="AH1324" s="1566"/>
      <c r="AI1324" s="1566"/>
      <c r="AJ1324" s="1566"/>
      <c r="AK1324" s="1566"/>
    </row>
    <row r="1325" spans="1:38" ht="9.4" customHeight="1">
      <c r="B1325" s="1568" t="s">
        <v>1326</v>
      </c>
      <c r="C1325" s="1568"/>
      <c r="D1325" s="1568"/>
      <c r="E1325" s="1568" t="s">
        <v>2586</v>
      </c>
      <c r="F1325" s="1568"/>
      <c r="G1325" s="1568"/>
      <c r="H1325" s="1568"/>
      <c r="J1325" s="1568" t="s">
        <v>2395</v>
      </c>
      <c r="K1325" s="1568"/>
      <c r="L1325" s="1568"/>
      <c r="M1325" s="1566">
        <v>687732</v>
      </c>
      <c r="N1325" s="1566"/>
      <c r="O1325" s="1566"/>
      <c r="P1325" s="1566">
        <v>0</v>
      </c>
      <c r="Q1325" s="1566"/>
      <c r="R1325" s="1566"/>
      <c r="S1325" s="1566">
        <v>0</v>
      </c>
      <c r="T1325" s="1566"/>
      <c r="U1325" s="1566"/>
      <c r="V1325" s="1566"/>
      <c r="W1325" s="1566">
        <v>0</v>
      </c>
      <c r="X1325" s="1566"/>
      <c r="Y1325" s="1566"/>
      <c r="Z1325" s="1566"/>
      <c r="AA1325" s="1566">
        <v>687732</v>
      </c>
      <c r="AB1325" s="1566"/>
      <c r="AC1325" s="1566"/>
      <c r="AD1325" s="1566"/>
      <c r="AE1325" s="1566"/>
      <c r="AF1325" s="1566"/>
      <c r="AG1325" s="1566">
        <v>0</v>
      </c>
      <c r="AH1325" s="1566"/>
      <c r="AI1325" s="1566"/>
      <c r="AJ1325" s="1566"/>
      <c r="AK1325" s="1566"/>
    </row>
    <row r="1326" spans="1:38" ht="9.4" customHeight="1">
      <c r="B1326" s="1568" t="s">
        <v>1326</v>
      </c>
      <c r="C1326" s="1568"/>
      <c r="D1326" s="1568"/>
      <c r="E1326" s="1568" t="s">
        <v>2587</v>
      </c>
      <c r="F1326" s="1568"/>
      <c r="G1326" s="1568"/>
      <c r="H1326" s="1568"/>
      <c r="J1326" s="1568" t="s">
        <v>2397</v>
      </c>
      <c r="K1326" s="1568"/>
      <c r="L1326" s="1568"/>
      <c r="M1326" s="1566">
        <v>67958</v>
      </c>
      <c r="N1326" s="1566"/>
      <c r="O1326" s="1566"/>
      <c r="P1326" s="1566">
        <v>0</v>
      </c>
      <c r="Q1326" s="1566"/>
      <c r="R1326" s="1566"/>
      <c r="S1326" s="1566">
        <v>0</v>
      </c>
      <c r="T1326" s="1566"/>
      <c r="U1326" s="1566"/>
      <c r="V1326" s="1566"/>
      <c r="W1326" s="1566">
        <v>0</v>
      </c>
      <c r="X1326" s="1566"/>
      <c r="Y1326" s="1566"/>
      <c r="Z1326" s="1566"/>
      <c r="AA1326" s="1566">
        <v>67958</v>
      </c>
      <c r="AB1326" s="1566"/>
      <c r="AC1326" s="1566"/>
      <c r="AD1326" s="1566"/>
      <c r="AE1326" s="1566"/>
      <c r="AF1326" s="1566"/>
      <c r="AG1326" s="1566">
        <v>0</v>
      </c>
      <c r="AH1326" s="1566"/>
      <c r="AI1326" s="1566"/>
      <c r="AJ1326" s="1566"/>
      <c r="AK1326" s="1566"/>
    </row>
    <row r="1327" spans="1:38" ht="9.4" customHeight="1">
      <c r="B1327" s="1568" t="s">
        <v>1326</v>
      </c>
      <c r="C1327" s="1568"/>
      <c r="D1327" s="1568"/>
      <c r="E1327" s="1568" t="s">
        <v>2588</v>
      </c>
      <c r="F1327" s="1568"/>
      <c r="G1327" s="1568"/>
      <c r="H1327" s="1568"/>
      <c r="J1327" s="1568" t="s">
        <v>2399</v>
      </c>
      <c r="K1327" s="1568"/>
      <c r="L1327" s="1568"/>
      <c r="M1327" s="1566">
        <v>96000</v>
      </c>
      <c r="N1327" s="1566"/>
      <c r="O1327" s="1566"/>
      <c r="P1327" s="1566">
        <v>0</v>
      </c>
      <c r="Q1327" s="1566"/>
      <c r="R1327" s="1566"/>
      <c r="S1327" s="1566">
        <v>0</v>
      </c>
      <c r="T1327" s="1566"/>
      <c r="U1327" s="1566"/>
      <c r="V1327" s="1566"/>
      <c r="W1327" s="1566">
        <v>0</v>
      </c>
      <c r="X1327" s="1566"/>
      <c r="Y1327" s="1566"/>
      <c r="Z1327" s="1566"/>
      <c r="AA1327" s="1566">
        <v>96000</v>
      </c>
      <c r="AB1327" s="1566"/>
      <c r="AC1327" s="1566"/>
      <c r="AD1327" s="1566"/>
      <c r="AE1327" s="1566"/>
      <c r="AF1327" s="1566"/>
      <c r="AG1327" s="1566">
        <v>0</v>
      </c>
      <c r="AH1327" s="1566"/>
      <c r="AI1327" s="1566"/>
      <c r="AJ1327" s="1566"/>
      <c r="AK1327" s="1566"/>
    </row>
    <row r="1328" spans="1:38" ht="9.4" customHeight="1">
      <c r="B1328" s="1568" t="s">
        <v>1326</v>
      </c>
      <c r="C1328" s="1568"/>
      <c r="D1328" s="1568"/>
      <c r="E1328" s="1568" t="s">
        <v>2589</v>
      </c>
      <c r="F1328" s="1568"/>
      <c r="G1328" s="1568"/>
      <c r="H1328" s="1568"/>
      <c r="J1328" s="1568" t="s">
        <v>2401</v>
      </c>
      <c r="K1328" s="1568"/>
      <c r="L1328" s="1568"/>
      <c r="M1328" s="1566">
        <v>692147.75</v>
      </c>
      <c r="N1328" s="1566"/>
      <c r="O1328" s="1566"/>
      <c r="P1328" s="1566">
        <v>0</v>
      </c>
      <c r="Q1328" s="1566"/>
      <c r="R1328" s="1566"/>
      <c r="S1328" s="1566">
        <v>0</v>
      </c>
      <c r="T1328" s="1566"/>
      <c r="U1328" s="1566"/>
      <c r="V1328" s="1566"/>
      <c r="W1328" s="1566">
        <v>56251.74</v>
      </c>
      <c r="X1328" s="1566"/>
      <c r="Y1328" s="1566"/>
      <c r="Z1328" s="1566"/>
      <c r="AA1328" s="1566">
        <v>635896.01</v>
      </c>
      <c r="AB1328" s="1566"/>
      <c r="AC1328" s="1566"/>
      <c r="AD1328" s="1566"/>
      <c r="AE1328" s="1566"/>
      <c r="AF1328" s="1566"/>
      <c r="AG1328" s="1566">
        <v>0</v>
      </c>
      <c r="AH1328" s="1566"/>
      <c r="AI1328" s="1566"/>
      <c r="AJ1328" s="1566"/>
      <c r="AK1328" s="1566"/>
    </row>
    <row r="1329" spans="2:37" ht="9.4" customHeight="1">
      <c r="B1329" s="1568" t="s">
        <v>1326</v>
      </c>
      <c r="C1329" s="1568"/>
      <c r="D1329" s="1568"/>
      <c r="E1329" s="1568" t="s">
        <v>2590</v>
      </c>
      <c r="F1329" s="1568"/>
      <c r="G1329" s="1568"/>
      <c r="H1329" s="1568"/>
      <c r="J1329" s="1568" t="s">
        <v>2403</v>
      </c>
      <c r="K1329" s="1568"/>
      <c r="L1329" s="1568"/>
      <c r="M1329" s="1566">
        <v>12226.64</v>
      </c>
      <c r="N1329" s="1566"/>
      <c r="O1329" s="1566"/>
      <c r="P1329" s="1566">
        <v>0</v>
      </c>
      <c r="Q1329" s="1566"/>
      <c r="R1329" s="1566"/>
      <c r="S1329" s="1566">
        <v>0</v>
      </c>
      <c r="T1329" s="1566"/>
      <c r="U1329" s="1566"/>
      <c r="V1329" s="1566"/>
      <c r="W1329" s="1566">
        <v>2461.12</v>
      </c>
      <c r="X1329" s="1566"/>
      <c r="Y1329" s="1566"/>
      <c r="Z1329" s="1566"/>
      <c r="AA1329" s="1566">
        <v>9765.52</v>
      </c>
      <c r="AB1329" s="1566"/>
      <c r="AC1329" s="1566"/>
      <c r="AD1329" s="1566"/>
      <c r="AE1329" s="1566"/>
      <c r="AF1329" s="1566"/>
      <c r="AG1329" s="1566">
        <v>0</v>
      </c>
      <c r="AH1329" s="1566"/>
      <c r="AI1329" s="1566"/>
      <c r="AJ1329" s="1566"/>
      <c r="AK1329" s="1566"/>
    </row>
    <row r="1330" spans="2:37" ht="9.4" customHeight="1">
      <c r="B1330" s="1568" t="s">
        <v>1326</v>
      </c>
      <c r="C1330" s="1568"/>
      <c r="D1330" s="1568"/>
      <c r="E1330" s="1568" t="s">
        <v>2591</v>
      </c>
      <c r="F1330" s="1568"/>
      <c r="G1330" s="1568"/>
      <c r="H1330" s="1568"/>
      <c r="J1330" s="1568" t="s">
        <v>2405</v>
      </c>
      <c r="K1330" s="1568"/>
      <c r="L1330" s="1568"/>
      <c r="M1330" s="1566">
        <v>260986.44</v>
      </c>
      <c r="N1330" s="1566"/>
      <c r="O1330" s="1566"/>
      <c r="P1330" s="1566">
        <v>0</v>
      </c>
      <c r="Q1330" s="1566"/>
      <c r="R1330" s="1566"/>
      <c r="S1330" s="1566">
        <v>0</v>
      </c>
      <c r="T1330" s="1566"/>
      <c r="U1330" s="1566"/>
      <c r="V1330" s="1566"/>
      <c r="W1330" s="1566">
        <v>27961.439999999999</v>
      </c>
      <c r="X1330" s="1566"/>
      <c r="Y1330" s="1566"/>
      <c r="Z1330" s="1566"/>
      <c r="AA1330" s="1566">
        <v>233025</v>
      </c>
      <c r="AB1330" s="1566"/>
      <c r="AC1330" s="1566"/>
      <c r="AD1330" s="1566"/>
      <c r="AE1330" s="1566"/>
      <c r="AF1330" s="1566"/>
      <c r="AG1330" s="1566">
        <v>0</v>
      </c>
      <c r="AH1330" s="1566"/>
      <c r="AI1330" s="1566"/>
      <c r="AJ1330" s="1566"/>
      <c r="AK1330" s="1566"/>
    </row>
    <row r="1331" spans="2:37" ht="9.4" customHeight="1">
      <c r="B1331" s="1568" t="s">
        <v>1326</v>
      </c>
      <c r="C1331" s="1568"/>
      <c r="D1331" s="1568"/>
      <c r="E1331" s="1568" t="s">
        <v>2592</v>
      </c>
      <c r="F1331" s="1568"/>
      <c r="G1331" s="1568"/>
      <c r="H1331" s="1568"/>
      <c r="J1331" s="1568" t="s">
        <v>2407</v>
      </c>
      <c r="K1331" s="1568"/>
      <c r="L1331" s="1568"/>
      <c r="M1331" s="1566">
        <v>199651.20000000001</v>
      </c>
      <c r="N1331" s="1566"/>
      <c r="O1331" s="1566"/>
      <c r="P1331" s="1566">
        <v>0</v>
      </c>
      <c r="Q1331" s="1566"/>
      <c r="R1331" s="1566"/>
      <c r="S1331" s="1566">
        <v>0</v>
      </c>
      <c r="T1331" s="1566"/>
      <c r="U1331" s="1566"/>
      <c r="V1331" s="1566"/>
      <c r="W1331" s="1566">
        <v>21508.799999999999</v>
      </c>
      <c r="X1331" s="1566"/>
      <c r="Y1331" s="1566"/>
      <c r="Z1331" s="1566"/>
      <c r="AA1331" s="1566">
        <v>178142.4</v>
      </c>
      <c r="AB1331" s="1566"/>
      <c r="AC1331" s="1566"/>
      <c r="AD1331" s="1566"/>
      <c r="AE1331" s="1566"/>
      <c r="AF1331" s="1566"/>
      <c r="AG1331" s="1566">
        <v>0</v>
      </c>
      <c r="AH1331" s="1566"/>
      <c r="AI1331" s="1566"/>
      <c r="AJ1331" s="1566"/>
      <c r="AK1331" s="1566"/>
    </row>
    <row r="1332" spans="2:37" ht="9.4" customHeight="1">
      <c r="B1332" s="1568" t="s">
        <v>1326</v>
      </c>
      <c r="C1332" s="1568"/>
      <c r="D1332" s="1568"/>
      <c r="E1332" s="1568" t="s">
        <v>2593</v>
      </c>
      <c r="F1332" s="1568"/>
      <c r="G1332" s="1568"/>
      <c r="H1332" s="1568"/>
      <c r="J1332" s="1568" t="s">
        <v>2467</v>
      </c>
      <c r="K1332" s="1568"/>
      <c r="L1332" s="1568"/>
      <c r="M1332" s="1566">
        <v>163316.47</v>
      </c>
      <c r="N1332" s="1566"/>
      <c r="O1332" s="1566"/>
      <c r="P1332" s="1566">
        <v>0</v>
      </c>
      <c r="Q1332" s="1566"/>
      <c r="R1332" s="1566"/>
      <c r="S1332" s="1566">
        <v>0</v>
      </c>
      <c r="T1332" s="1566"/>
      <c r="U1332" s="1566"/>
      <c r="V1332" s="1566"/>
      <c r="W1332" s="1566">
        <v>1637.94</v>
      </c>
      <c r="X1332" s="1566"/>
      <c r="Y1332" s="1566"/>
      <c r="Z1332" s="1566"/>
      <c r="AA1332" s="1566">
        <v>161678.53</v>
      </c>
      <c r="AB1332" s="1566"/>
      <c r="AC1332" s="1566"/>
      <c r="AD1332" s="1566"/>
      <c r="AE1332" s="1566"/>
      <c r="AF1332" s="1566"/>
      <c r="AG1332" s="1566">
        <v>0</v>
      </c>
      <c r="AH1332" s="1566"/>
      <c r="AI1332" s="1566"/>
      <c r="AJ1332" s="1566"/>
      <c r="AK1332" s="1566"/>
    </row>
    <row r="1333" spans="2:37" ht="9.4" customHeight="1">
      <c r="B1333" s="1568" t="s">
        <v>1326</v>
      </c>
      <c r="C1333" s="1568"/>
      <c r="D1333" s="1568"/>
      <c r="E1333" s="1568" t="s">
        <v>2594</v>
      </c>
      <c r="F1333" s="1568"/>
      <c r="G1333" s="1568"/>
      <c r="H1333" s="1568"/>
      <c r="J1333" s="1568" t="s">
        <v>2469</v>
      </c>
      <c r="K1333" s="1568"/>
      <c r="L1333" s="1568"/>
      <c r="M1333" s="1566">
        <v>257625</v>
      </c>
      <c r="N1333" s="1566"/>
      <c r="O1333" s="1566"/>
      <c r="P1333" s="1566">
        <v>0</v>
      </c>
      <c r="Q1333" s="1566"/>
      <c r="R1333" s="1566"/>
      <c r="S1333" s="1566">
        <v>0</v>
      </c>
      <c r="T1333" s="1566"/>
      <c r="U1333" s="1566"/>
      <c r="V1333" s="1566"/>
      <c r="W1333" s="1566">
        <v>0</v>
      </c>
      <c r="X1333" s="1566"/>
      <c r="Y1333" s="1566"/>
      <c r="Z1333" s="1566"/>
      <c r="AA1333" s="1566">
        <v>257625</v>
      </c>
      <c r="AB1333" s="1566"/>
      <c r="AC1333" s="1566"/>
      <c r="AD1333" s="1566"/>
      <c r="AE1333" s="1566"/>
      <c r="AF1333" s="1566"/>
      <c r="AG1333" s="1566">
        <v>0</v>
      </c>
      <c r="AH1333" s="1566"/>
      <c r="AI1333" s="1566"/>
      <c r="AJ1333" s="1566"/>
      <c r="AK1333" s="1566"/>
    </row>
    <row r="1334" spans="2:37" ht="9.4" customHeight="1">
      <c r="B1334" s="1568" t="s">
        <v>1326</v>
      </c>
      <c r="C1334" s="1568"/>
      <c r="D1334" s="1568"/>
      <c r="E1334" s="1568" t="s">
        <v>2595</v>
      </c>
      <c r="F1334" s="1568"/>
      <c r="G1334" s="1568"/>
      <c r="H1334" s="1568"/>
      <c r="J1334" s="1568" t="s">
        <v>2471</v>
      </c>
      <c r="K1334" s="1568"/>
      <c r="L1334" s="1568"/>
      <c r="M1334" s="1566">
        <v>72824.5</v>
      </c>
      <c r="N1334" s="1566"/>
      <c r="O1334" s="1566"/>
      <c r="P1334" s="1566">
        <v>0</v>
      </c>
      <c r="Q1334" s="1566"/>
      <c r="R1334" s="1566"/>
      <c r="S1334" s="1566">
        <v>0</v>
      </c>
      <c r="T1334" s="1566"/>
      <c r="U1334" s="1566"/>
      <c r="V1334" s="1566"/>
      <c r="W1334" s="1566">
        <v>5211.1000000000004</v>
      </c>
      <c r="X1334" s="1566"/>
      <c r="Y1334" s="1566"/>
      <c r="Z1334" s="1566"/>
      <c r="AA1334" s="1566">
        <v>67613.399999999994</v>
      </c>
      <c r="AB1334" s="1566"/>
      <c r="AC1334" s="1566"/>
      <c r="AD1334" s="1566"/>
      <c r="AE1334" s="1566"/>
      <c r="AF1334" s="1566"/>
      <c r="AG1334" s="1566">
        <v>0</v>
      </c>
      <c r="AH1334" s="1566"/>
      <c r="AI1334" s="1566"/>
      <c r="AJ1334" s="1566"/>
      <c r="AK1334" s="1566"/>
    </row>
    <row r="1335" spans="2:37" ht="9.4" customHeight="1">
      <c r="B1335" s="1568" t="s">
        <v>1326</v>
      </c>
      <c r="C1335" s="1568"/>
      <c r="D1335" s="1568"/>
      <c r="E1335" s="1568" t="s">
        <v>2596</v>
      </c>
      <c r="F1335" s="1568"/>
      <c r="G1335" s="1568"/>
      <c r="H1335" s="1568"/>
      <c r="J1335" s="1568" t="s">
        <v>2473</v>
      </c>
      <c r="K1335" s="1568"/>
      <c r="L1335" s="1568"/>
      <c r="M1335" s="1566">
        <v>38198.699999999997</v>
      </c>
      <c r="N1335" s="1566"/>
      <c r="O1335" s="1566"/>
      <c r="P1335" s="1566">
        <v>0</v>
      </c>
      <c r="Q1335" s="1566"/>
      <c r="R1335" s="1566"/>
      <c r="S1335" s="1566">
        <v>0</v>
      </c>
      <c r="T1335" s="1566"/>
      <c r="U1335" s="1566"/>
      <c r="V1335" s="1566"/>
      <c r="W1335" s="1566">
        <v>4514.6000000000004</v>
      </c>
      <c r="X1335" s="1566"/>
      <c r="Y1335" s="1566"/>
      <c r="Z1335" s="1566"/>
      <c r="AA1335" s="1566">
        <v>33684.1</v>
      </c>
      <c r="AB1335" s="1566"/>
      <c r="AC1335" s="1566"/>
      <c r="AD1335" s="1566"/>
      <c r="AE1335" s="1566"/>
      <c r="AF1335" s="1566"/>
      <c r="AG1335" s="1566">
        <v>0</v>
      </c>
      <c r="AH1335" s="1566"/>
      <c r="AI1335" s="1566"/>
      <c r="AJ1335" s="1566"/>
      <c r="AK1335" s="1566"/>
    </row>
    <row r="1336" spans="2:37" ht="9.4" customHeight="1">
      <c r="B1336" s="1568" t="s">
        <v>1326</v>
      </c>
      <c r="C1336" s="1568"/>
      <c r="D1336" s="1568"/>
      <c r="E1336" s="1568" t="s">
        <v>2597</v>
      </c>
      <c r="F1336" s="1568"/>
      <c r="G1336" s="1568"/>
      <c r="H1336" s="1568"/>
      <c r="J1336" s="1568" t="s">
        <v>2475</v>
      </c>
      <c r="K1336" s="1568"/>
      <c r="L1336" s="1568"/>
      <c r="M1336" s="1566">
        <v>2000</v>
      </c>
      <c r="N1336" s="1566"/>
      <c r="O1336" s="1566"/>
      <c r="P1336" s="1566">
        <v>0</v>
      </c>
      <c r="Q1336" s="1566"/>
      <c r="R1336" s="1566"/>
      <c r="S1336" s="1566">
        <v>0</v>
      </c>
      <c r="T1336" s="1566"/>
      <c r="U1336" s="1566"/>
      <c r="V1336" s="1566"/>
      <c r="W1336" s="1566">
        <v>0</v>
      </c>
      <c r="X1336" s="1566"/>
      <c r="Y1336" s="1566"/>
      <c r="Z1336" s="1566"/>
      <c r="AA1336" s="1566">
        <v>2000</v>
      </c>
      <c r="AB1336" s="1566"/>
      <c r="AC1336" s="1566"/>
      <c r="AD1336" s="1566"/>
      <c r="AE1336" s="1566"/>
      <c r="AF1336" s="1566"/>
      <c r="AG1336" s="1566">
        <v>0</v>
      </c>
      <c r="AH1336" s="1566"/>
      <c r="AI1336" s="1566"/>
      <c r="AJ1336" s="1566"/>
      <c r="AK1336" s="1566"/>
    </row>
    <row r="1337" spans="2:37" ht="9.4" customHeight="1">
      <c r="B1337" s="1568" t="s">
        <v>1326</v>
      </c>
      <c r="C1337" s="1568"/>
      <c r="D1337" s="1568"/>
      <c r="E1337" s="1568" t="s">
        <v>2598</v>
      </c>
      <c r="F1337" s="1568"/>
      <c r="G1337" s="1568"/>
      <c r="H1337" s="1568"/>
      <c r="J1337" s="1568" t="s">
        <v>2421</v>
      </c>
      <c r="K1337" s="1568"/>
      <c r="L1337" s="1568"/>
      <c r="M1337" s="1566">
        <v>194687.81</v>
      </c>
      <c r="N1337" s="1566"/>
      <c r="O1337" s="1566"/>
      <c r="P1337" s="1566">
        <v>0</v>
      </c>
      <c r="Q1337" s="1566"/>
      <c r="R1337" s="1566"/>
      <c r="S1337" s="1566">
        <v>0</v>
      </c>
      <c r="T1337" s="1566"/>
      <c r="U1337" s="1566"/>
      <c r="V1337" s="1566"/>
      <c r="W1337" s="1566">
        <v>1926.52</v>
      </c>
      <c r="X1337" s="1566"/>
      <c r="Y1337" s="1566"/>
      <c r="Z1337" s="1566"/>
      <c r="AA1337" s="1566">
        <v>192761.29</v>
      </c>
      <c r="AB1337" s="1566"/>
      <c r="AC1337" s="1566"/>
      <c r="AD1337" s="1566"/>
      <c r="AE1337" s="1566"/>
      <c r="AF1337" s="1566"/>
      <c r="AG1337" s="1566">
        <v>0</v>
      </c>
      <c r="AH1337" s="1566"/>
      <c r="AI1337" s="1566"/>
      <c r="AJ1337" s="1566"/>
      <c r="AK1337" s="1566"/>
    </row>
    <row r="1338" spans="2:37" ht="9.4" customHeight="1">
      <c r="B1338" s="1568" t="s">
        <v>1326</v>
      </c>
      <c r="C1338" s="1568"/>
      <c r="D1338" s="1568"/>
      <c r="E1338" s="1568" t="s">
        <v>2600</v>
      </c>
      <c r="F1338" s="1568"/>
      <c r="G1338" s="1568"/>
      <c r="H1338" s="1568"/>
      <c r="J1338" s="1568" t="s">
        <v>2423</v>
      </c>
      <c r="K1338" s="1568"/>
      <c r="L1338" s="1568"/>
      <c r="M1338" s="1566">
        <v>350402.22</v>
      </c>
      <c r="N1338" s="1566"/>
      <c r="O1338" s="1566"/>
      <c r="P1338" s="1566">
        <v>0</v>
      </c>
      <c r="Q1338" s="1566"/>
      <c r="R1338" s="1566"/>
      <c r="S1338" s="1566">
        <v>0</v>
      </c>
      <c r="T1338" s="1566"/>
      <c r="U1338" s="1566"/>
      <c r="V1338" s="1566"/>
      <c r="W1338" s="1566">
        <v>23993.73</v>
      </c>
      <c r="X1338" s="1566"/>
      <c r="Y1338" s="1566"/>
      <c r="Z1338" s="1566"/>
      <c r="AA1338" s="1566">
        <v>326408.49</v>
      </c>
      <c r="AB1338" s="1566"/>
      <c r="AC1338" s="1566"/>
      <c r="AD1338" s="1566"/>
      <c r="AE1338" s="1566"/>
      <c r="AF1338" s="1566"/>
      <c r="AG1338" s="1566">
        <v>0</v>
      </c>
      <c r="AH1338" s="1566"/>
      <c r="AI1338" s="1566"/>
      <c r="AJ1338" s="1566"/>
      <c r="AK1338" s="1566"/>
    </row>
    <row r="1339" spans="2:37" ht="9.4" customHeight="1">
      <c r="B1339" s="1568" t="s">
        <v>1326</v>
      </c>
      <c r="C1339" s="1568"/>
      <c r="D1339" s="1568"/>
      <c r="E1339" s="1568" t="s">
        <v>2601</v>
      </c>
      <c r="F1339" s="1568"/>
      <c r="G1339" s="1568"/>
      <c r="H1339" s="1568"/>
      <c r="J1339" s="1568" t="s">
        <v>2479</v>
      </c>
      <c r="K1339" s="1568"/>
      <c r="L1339" s="1568"/>
      <c r="M1339" s="1566">
        <v>13904.23</v>
      </c>
      <c r="N1339" s="1566"/>
      <c r="O1339" s="1566"/>
      <c r="P1339" s="1566">
        <v>0</v>
      </c>
      <c r="Q1339" s="1566"/>
      <c r="R1339" s="1566"/>
      <c r="S1339" s="1566">
        <v>0</v>
      </c>
      <c r="T1339" s="1566"/>
      <c r="U1339" s="1566"/>
      <c r="V1339" s="1566"/>
      <c r="W1339" s="1566">
        <v>1407.75</v>
      </c>
      <c r="X1339" s="1566"/>
      <c r="Y1339" s="1566"/>
      <c r="Z1339" s="1566"/>
      <c r="AA1339" s="1566">
        <v>12496.48</v>
      </c>
      <c r="AB1339" s="1566"/>
      <c r="AC1339" s="1566"/>
      <c r="AD1339" s="1566"/>
      <c r="AE1339" s="1566"/>
      <c r="AF1339" s="1566"/>
      <c r="AG1339" s="1566">
        <v>0</v>
      </c>
      <c r="AH1339" s="1566"/>
      <c r="AI1339" s="1566"/>
      <c r="AJ1339" s="1566"/>
      <c r="AK1339" s="1566"/>
    </row>
    <row r="1340" spans="2:37" ht="9.4" customHeight="1">
      <c r="B1340" s="1568" t="s">
        <v>1326</v>
      </c>
      <c r="C1340" s="1568"/>
      <c r="D1340" s="1568"/>
      <c r="E1340" s="1568" t="s">
        <v>2602</v>
      </c>
      <c r="F1340" s="1568"/>
      <c r="G1340" s="1568"/>
      <c r="H1340" s="1568"/>
      <c r="J1340" s="1568" t="s">
        <v>2481</v>
      </c>
      <c r="K1340" s="1568"/>
      <c r="L1340" s="1568"/>
      <c r="M1340" s="1566">
        <v>300526.71999999997</v>
      </c>
      <c r="N1340" s="1566"/>
      <c r="O1340" s="1566"/>
      <c r="P1340" s="1566">
        <v>0</v>
      </c>
      <c r="Q1340" s="1566"/>
      <c r="R1340" s="1566"/>
      <c r="S1340" s="1566">
        <v>0</v>
      </c>
      <c r="T1340" s="1566"/>
      <c r="U1340" s="1566"/>
      <c r="V1340" s="1566"/>
      <c r="W1340" s="1566">
        <v>24776.53</v>
      </c>
      <c r="X1340" s="1566"/>
      <c r="Y1340" s="1566"/>
      <c r="Z1340" s="1566"/>
      <c r="AA1340" s="1566">
        <v>275750.19</v>
      </c>
      <c r="AB1340" s="1566"/>
      <c r="AC1340" s="1566"/>
      <c r="AD1340" s="1566"/>
      <c r="AE1340" s="1566"/>
      <c r="AF1340" s="1566"/>
      <c r="AG1340" s="1566">
        <v>0</v>
      </c>
      <c r="AH1340" s="1566"/>
      <c r="AI1340" s="1566"/>
      <c r="AJ1340" s="1566"/>
      <c r="AK1340" s="1566"/>
    </row>
    <row r="1341" spans="2:37" ht="9.4" customHeight="1">
      <c r="B1341" s="1568" t="s">
        <v>1326</v>
      </c>
      <c r="C1341" s="1568"/>
      <c r="D1341" s="1568"/>
      <c r="E1341" s="1568" t="s">
        <v>2603</v>
      </c>
      <c r="F1341" s="1568"/>
      <c r="G1341" s="1568"/>
      <c r="H1341" s="1568"/>
      <c r="J1341" s="1568" t="s">
        <v>2483</v>
      </c>
      <c r="K1341" s="1568"/>
      <c r="L1341" s="1568"/>
      <c r="M1341" s="1566">
        <v>26460.25</v>
      </c>
      <c r="N1341" s="1566"/>
      <c r="O1341" s="1566"/>
      <c r="P1341" s="1566">
        <v>0</v>
      </c>
      <c r="Q1341" s="1566"/>
      <c r="R1341" s="1566"/>
      <c r="S1341" s="1566">
        <v>0</v>
      </c>
      <c r="T1341" s="1566"/>
      <c r="U1341" s="1566"/>
      <c r="V1341" s="1566"/>
      <c r="W1341" s="1566">
        <v>263.61</v>
      </c>
      <c r="X1341" s="1566"/>
      <c r="Y1341" s="1566"/>
      <c r="Z1341" s="1566"/>
      <c r="AA1341" s="1566">
        <v>26196.639999999999</v>
      </c>
      <c r="AB1341" s="1566"/>
      <c r="AC1341" s="1566"/>
      <c r="AD1341" s="1566"/>
      <c r="AE1341" s="1566"/>
      <c r="AF1341" s="1566"/>
      <c r="AG1341" s="1566">
        <v>0</v>
      </c>
      <c r="AH1341" s="1566"/>
      <c r="AI1341" s="1566"/>
      <c r="AJ1341" s="1566"/>
      <c r="AK1341" s="1566"/>
    </row>
    <row r="1342" spans="2:37" ht="9.4" customHeight="1">
      <c r="B1342" s="1568" t="s">
        <v>1326</v>
      </c>
      <c r="C1342" s="1568"/>
      <c r="D1342" s="1568"/>
      <c r="E1342" s="1568" t="s">
        <v>2604</v>
      </c>
      <c r="F1342" s="1568"/>
      <c r="G1342" s="1568"/>
      <c r="H1342" s="1568"/>
      <c r="J1342" s="1568" t="s">
        <v>2485</v>
      </c>
      <c r="K1342" s="1568"/>
      <c r="L1342" s="1568"/>
      <c r="M1342" s="1566">
        <v>13000</v>
      </c>
      <c r="N1342" s="1566"/>
      <c r="O1342" s="1566"/>
      <c r="P1342" s="1566">
        <v>0</v>
      </c>
      <c r="Q1342" s="1566"/>
      <c r="R1342" s="1566"/>
      <c r="S1342" s="1566">
        <v>0</v>
      </c>
      <c r="T1342" s="1566"/>
      <c r="U1342" s="1566"/>
      <c r="V1342" s="1566"/>
      <c r="W1342" s="1566">
        <v>0</v>
      </c>
      <c r="X1342" s="1566"/>
      <c r="Y1342" s="1566"/>
      <c r="Z1342" s="1566"/>
      <c r="AA1342" s="1566">
        <v>13000</v>
      </c>
      <c r="AB1342" s="1566"/>
      <c r="AC1342" s="1566"/>
      <c r="AD1342" s="1566"/>
      <c r="AE1342" s="1566"/>
      <c r="AF1342" s="1566"/>
      <c r="AG1342" s="1566">
        <v>0</v>
      </c>
      <c r="AH1342" s="1566"/>
      <c r="AI1342" s="1566"/>
      <c r="AJ1342" s="1566"/>
      <c r="AK1342" s="1566"/>
    </row>
    <row r="1343" spans="2:37" ht="9.4" customHeight="1">
      <c r="B1343" s="1568" t="s">
        <v>1326</v>
      </c>
      <c r="C1343" s="1568"/>
      <c r="D1343" s="1568"/>
      <c r="E1343" s="1568" t="s">
        <v>2605</v>
      </c>
      <c r="F1343" s="1568"/>
      <c r="G1343" s="1568"/>
      <c r="H1343" s="1568"/>
      <c r="J1343" s="1568" t="s">
        <v>2487</v>
      </c>
      <c r="K1343" s="1568"/>
      <c r="L1343" s="1568"/>
      <c r="M1343" s="1566">
        <v>33750</v>
      </c>
      <c r="N1343" s="1566"/>
      <c r="O1343" s="1566"/>
      <c r="P1343" s="1566">
        <v>0</v>
      </c>
      <c r="Q1343" s="1566"/>
      <c r="R1343" s="1566"/>
      <c r="S1343" s="1566">
        <v>0</v>
      </c>
      <c r="T1343" s="1566"/>
      <c r="U1343" s="1566"/>
      <c r="V1343" s="1566"/>
      <c r="W1343" s="1566">
        <v>3000</v>
      </c>
      <c r="X1343" s="1566"/>
      <c r="Y1343" s="1566"/>
      <c r="Z1343" s="1566"/>
      <c r="AA1343" s="1566">
        <v>30750</v>
      </c>
      <c r="AB1343" s="1566"/>
      <c r="AC1343" s="1566"/>
      <c r="AD1343" s="1566"/>
      <c r="AE1343" s="1566"/>
      <c r="AF1343" s="1566"/>
      <c r="AG1343" s="1566">
        <v>0</v>
      </c>
      <c r="AH1343" s="1566"/>
      <c r="AI1343" s="1566"/>
      <c r="AJ1343" s="1566"/>
      <c r="AK1343" s="1566"/>
    </row>
    <row r="1344" spans="2:37" ht="9.4" customHeight="1">
      <c r="B1344" s="1568" t="s">
        <v>1326</v>
      </c>
      <c r="C1344" s="1568"/>
      <c r="D1344" s="1568"/>
      <c r="E1344" s="1568" t="s">
        <v>2606</v>
      </c>
      <c r="F1344" s="1568"/>
      <c r="G1344" s="1568"/>
      <c r="H1344" s="1568"/>
      <c r="J1344" s="1568" t="s">
        <v>2489</v>
      </c>
      <c r="K1344" s="1568"/>
      <c r="L1344" s="1568"/>
      <c r="M1344" s="1566">
        <v>400000</v>
      </c>
      <c r="N1344" s="1566"/>
      <c r="O1344" s="1566"/>
      <c r="P1344" s="1566">
        <v>0</v>
      </c>
      <c r="Q1344" s="1566"/>
      <c r="R1344" s="1566"/>
      <c r="S1344" s="1566">
        <v>0</v>
      </c>
      <c r="T1344" s="1566"/>
      <c r="U1344" s="1566"/>
      <c r="V1344" s="1566"/>
      <c r="W1344" s="1566">
        <v>0</v>
      </c>
      <c r="X1344" s="1566"/>
      <c r="Y1344" s="1566"/>
      <c r="Z1344" s="1566"/>
      <c r="AA1344" s="1566">
        <v>400000</v>
      </c>
      <c r="AB1344" s="1566"/>
      <c r="AC1344" s="1566"/>
      <c r="AD1344" s="1566"/>
      <c r="AE1344" s="1566"/>
      <c r="AF1344" s="1566"/>
      <c r="AG1344" s="1566">
        <v>0</v>
      </c>
      <c r="AH1344" s="1566"/>
      <c r="AI1344" s="1566"/>
      <c r="AJ1344" s="1566"/>
      <c r="AK1344" s="1566"/>
    </row>
    <row r="1345" spans="2:37" ht="9.4" customHeight="1">
      <c r="B1345" s="1568" t="s">
        <v>1326</v>
      </c>
      <c r="C1345" s="1568"/>
      <c r="D1345" s="1568"/>
      <c r="E1345" s="1568" t="s">
        <v>2607</v>
      </c>
      <c r="F1345" s="1568"/>
      <c r="G1345" s="1568"/>
      <c r="H1345" s="1568"/>
      <c r="J1345" s="1568" t="s">
        <v>2491</v>
      </c>
      <c r="K1345" s="1568"/>
      <c r="L1345" s="1568"/>
      <c r="M1345" s="1566">
        <v>203648.63</v>
      </c>
      <c r="N1345" s="1566"/>
      <c r="O1345" s="1566"/>
      <c r="P1345" s="1566">
        <v>0</v>
      </c>
      <c r="Q1345" s="1566"/>
      <c r="R1345" s="1566"/>
      <c r="S1345" s="1566">
        <v>0</v>
      </c>
      <c r="T1345" s="1566"/>
      <c r="U1345" s="1566"/>
      <c r="V1345" s="1566"/>
      <c r="W1345" s="1566">
        <v>25956.639999999999</v>
      </c>
      <c r="X1345" s="1566"/>
      <c r="Y1345" s="1566"/>
      <c r="Z1345" s="1566"/>
      <c r="AA1345" s="1566">
        <v>177691.99</v>
      </c>
      <c r="AB1345" s="1566"/>
      <c r="AC1345" s="1566"/>
      <c r="AD1345" s="1566"/>
      <c r="AE1345" s="1566"/>
      <c r="AF1345" s="1566"/>
      <c r="AG1345" s="1566">
        <v>0</v>
      </c>
      <c r="AH1345" s="1566"/>
      <c r="AI1345" s="1566"/>
      <c r="AJ1345" s="1566"/>
      <c r="AK1345" s="1566"/>
    </row>
    <row r="1346" spans="2:37" ht="9.4" customHeight="1">
      <c r="B1346" s="1568" t="s">
        <v>1326</v>
      </c>
      <c r="C1346" s="1568"/>
      <c r="D1346" s="1568"/>
      <c r="E1346" s="1568" t="s">
        <v>2608</v>
      </c>
      <c r="F1346" s="1568"/>
      <c r="G1346" s="1568"/>
      <c r="H1346" s="1568"/>
      <c r="J1346" s="1568" t="s">
        <v>2493</v>
      </c>
      <c r="K1346" s="1568"/>
      <c r="L1346" s="1568"/>
      <c r="M1346" s="1566">
        <v>135158.68</v>
      </c>
      <c r="N1346" s="1566"/>
      <c r="O1346" s="1566"/>
      <c r="P1346" s="1566">
        <v>0</v>
      </c>
      <c r="Q1346" s="1566"/>
      <c r="R1346" s="1566"/>
      <c r="S1346" s="1566">
        <v>0</v>
      </c>
      <c r="T1346" s="1566"/>
      <c r="U1346" s="1566"/>
      <c r="V1346" s="1566"/>
      <c r="W1346" s="1566">
        <v>0</v>
      </c>
      <c r="X1346" s="1566"/>
      <c r="Y1346" s="1566"/>
      <c r="Z1346" s="1566"/>
      <c r="AA1346" s="1566">
        <v>135158.68</v>
      </c>
      <c r="AB1346" s="1566"/>
      <c r="AC1346" s="1566"/>
      <c r="AD1346" s="1566"/>
      <c r="AE1346" s="1566"/>
      <c r="AF1346" s="1566"/>
      <c r="AG1346" s="1566">
        <v>0</v>
      </c>
      <c r="AH1346" s="1566"/>
      <c r="AI1346" s="1566"/>
      <c r="AJ1346" s="1566"/>
      <c r="AK1346" s="1566"/>
    </row>
    <row r="1347" spans="2:37" ht="9.4" customHeight="1">
      <c r="B1347" s="1568" t="s">
        <v>1326</v>
      </c>
      <c r="C1347" s="1568"/>
      <c r="D1347" s="1568"/>
      <c r="E1347" s="1568" t="s">
        <v>2609</v>
      </c>
      <c r="F1347" s="1568"/>
      <c r="G1347" s="1568"/>
      <c r="H1347" s="1568"/>
      <c r="J1347" s="1568" t="s">
        <v>2495</v>
      </c>
      <c r="K1347" s="1568"/>
      <c r="L1347" s="1568"/>
      <c r="M1347" s="1566">
        <v>44019.24</v>
      </c>
      <c r="N1347" s="1566"/>
      <c r="O1347" s="1566"/>
      <c r="P1347" s="1566">
        <v>0</v>
      </c>
      <c r="Q1347" s="1566"/>
      <c r="R1347" s="1566"/>
      <c r="S1347" s="1566">
        <v>0</v>
      </c>
      <c r="T1347" s="1566"/>
      <c r="U1347" s="1566"/>
      <c r="V1347" s="1566"/>
      <c r="W1347" s="1566">
        <v>5367.4</v>
      </c>
      <c r="X1347" s="1566"/>
      <c r="Y1347" s="1566"/>
      <c r="Z1347" s="1566"/>
      <c r="AA1347" s="1566">
        <v>38651.839999999997</v>
      </c>
      <c r="AB1347" s="1566"/>
      <c r="AC1347" s="1566"/>
      <c r="AD1347" s="1566"/>
      <c r="AE1347" s="1566"/>
      <c r="AF1347" s="1566"/>
      <c r="AG1347" s="1566">
        <v>0</v>
      </c>
      <c r="AH1347" s="1566"/>
      <c r="AI1347" s="1566"/>
      <c r="AJ1347" s="1566"/>
      <c r="AK1347" s="1566"/>
    </row>
    <row r="1348" spans="2:37" ht="9.4" customHeight="1">
      <c r="B1348" s="1568" t="s">
        <v>1326</v>
      </c>
      <c r="C1348" s="1568"/>
      <c r="D1348" s="1568"/>
      <c r="E1348" s="1568" t="s">
        <v>2610</v>
      </c>
      <c r="F1348" s="1568"/>
      <c r="G1348" s="1568"/>
      <c r="H1348" s="1568"/>
      <c r="J1348" s="1568" t="s">
        <v>2426</v>
      </c>
      <c r="K1348" s="1568"/>
      <c r="L1348" s="1568"/>
      <c r="M1348" s="1566">
        <v>169289.36</v>
      </c>
      <c r="N1348" s="1566"/>
      <c r="O1348" s="1566"/>
      <c r="P1348" s="1566">
        <v>0</v>
      </c>
      <c r="Q1348" s="1566"/>
      <c r="R1348" s="1566"/>
      <c r="S1348" s="1566">
        <v>0</v>
      </c>
      <c r="T1348" s="1566"/>
      <c r="U1348" s="1566"/>
      <c r="V1348" s="1566"/>
      <c r="W1348" s="1566">
        <v>10236.879999999999</v>
      </c>
      <c r="X1348" s="1566"/>
      <c r="Y1348" s="1566"/>
      <c r="Z1348" s="1566"/>
      <c r="AA1348" s="1566">
        <v>159052.48000000001</v>
      </c>
      <c r="AB1348" s="1566"/>
      <c r="AC1348" s="1566"/>
      <c r="AD1348" s="1566"/>
      <c r="AE1348" s="1566"/>
      <c r="AF1348" s="1566"/>
      <c r="AG1348" s="1566">
        <v>0</v>
      </c>
      <c r="AH1348" s="1566"/>
      <c r="AI1348" s="1566"/>
      <c r="AJ1348" s="1566"/>
      <c r="AK1348" s="1566"/>
    </row>
    <row r="1349" spans="2:37" ht="9.4" customHeight="1">
      <c r="B1349" s="1568" t="s">
        <v>1326</v>
      </c>
      <c r="C1349" s="1568"/>
      <c r="D1349" s="1568"/>
      <c r="E1349" s="1568" t="s">
        <v>2611</v>
      </c>
      <c r="F1349" s="1568"/>
      <c r="G1349" s="1568"/>
      <c r="H1349" s="1568"/>
      <c r="J1349" s="1568" t="s">
        <v>2498</v>
      </c>
      <c r="K1349" s="1568"/>
      <c r="L1349" s="1568"/>
      <c r="M1349" s="1566">
        <v>20388</v>
      </c>
      <c r="N1349" s="1566"/>
      <c r="O1349" s="1566"/>
      <c r="P1349" s="1566">
        <v>0</v>
      </c>
      <c r="Q1349" s="1566"/>
      <c r="R1349" s="1566"/>
      <c r="S1349" s="1566">
        <v>0</v>
      </c>
      <c r="T1349" s="1566"/>
      <c r="U1349" s="1566"/>
      <c r="V1349" s="1566"/>
      <c r="W1349" s="1566">
        <v>559.16</v>
      </c>
      <c r="X1349" s="1566"/>
      <c r="Y1349" s="1566"/>
      <c r="Z1349" s="1566"/>
      <c r="AA1349" s="1566">
        <v>19828.84</v>
      </c>
      <c r="AB1349" s="1566"/>
      <c r="AC1349" s="1566"/>
      <c r="AD1349" s="1566"/>
      <c r="AE1349" s="1566"/>
      <c r="AF1349" s="1566"/>
      <c r="AG1349" s="1566">
        <v>0</v>
      </c>
      <c r="AH1349" s="1566"/>
      <c r="AI1349" s="1566"/>
      <c r="AJ1349" s="1566"/>
      <c r="AK1349" s="1566"/>
    </row>
    <row r="1350" spans="2:37" ht="9.4" customHeight="1">
      <c r="B1350" s="1568" t="s">
        <v>1326</v>
      </c>
      <c r="C1350" s="1568"/>
      <c r="D1350" s="1568"/>
      <c r="E1350" s="1568" t="s">
        <v>2612</v>
      </c>
      <c r="F1350" s="1568"/>
      <c r="G1350" s="1568"/>
      <c r="H1350" s="1568"/>
      <c r="J1350" s="1568" t="s">
        <v>2428</v>
      </c>
      <c r="K1350" s="1568"/>
      <c r="L1350" s="1568"/>
      <c r="M1350" s="1566">
        <v>788314</v>
      </c>
      <c r="N1350" s="1566"/>
      <c r="O1350" s="1566"/>
      <c r="P1350" s="1566">
        <v>0</v>
      </c>
      <c r="Q1350" s="1566"/>
      <c r="R1350" s="1566"/>
      <c r="S1350" s="1566">
        <v>0</v>
      </c>
      <c r="T1350" s="1566"/>
      <c r="U1350" s="1566"/>
      <c r="V1350" s="1566"/>
      <c r="W1350" s="1566">
        <v>580</v>
      </c>
      <c r="X1350" s="1566"/>
      <c r="Y1350" s="1566"/>
      <c r="Z1350" s="1566"/>
      <c r="AA1350" s="1566">
        <v>787734</v>
      </c>
      <c r="AB1350" s="1566"/>
      <c r="AC1350" s="1566"/>
      <c r="AD1350" s="1566"/>
      <c r="AE1350" s="1566"/>
      <c r="AF1350" s="1566"/>
      <c r="AG1350" s="1566">
        <v>0</v>
      </c>
      <c r="AH1350" s="1566"/>
      <c r="AI1350" s="1566"/>
      <c r="AJ1350" s="1566"/>
      <c r="AK1350" s="1566"/>
    </row>
    <row r="1351" spans="2:37" ht="9.1999999999999993" customHeight="1">
      <c r="J1351" s="1568"/>
      <c r="K1351" s="1568"/>
      <c r="L1351" s="1568"/>
    </row>
    <row r="1352" spans="2:37" ht="8.4499999999999993" customHeight="1">
      <c r="B1352" s="1568" t="s">
        <v>1326</v>
      </c>
      <c r="C1352" s="1568"/>
      <c r="D1352" s="1568"/>
      <c r="E1352" s="1568" t="s">
        <v>2613</v>
      </c>
      <c r="F1352" s="1568"/>
      <c r="G1352" s="1568"/>
      <c r="H1352" s="1568"/>
      <c r="J1352" s="1568" t="s">
        <v>2501</v>
      </c>
      <c r="K1352" s="1568"/>
      <c r="L1352" s="1568"/>
      <c r="M1352" s="1566">
        <v>60000</v>
      </c>
      <c r="N1352" s="1566"/>
      <c r="O1352" s="1566"/>
      <c r="P1352" s="1566">
        <v>0</v>
      </c>
      <c r="Q1352" s="1566"/>
      <c r="R1352" s="1566"/>
      <c r="S1352" s="1566">
        <v>0</v>
      </c>
      <c r="T1352" s="1566"/>
      <c r="U1352" s="1566"/>
      <c r="V1352" s="1566"/>
      <c r="W1352" s="1566">
        <v>0</v>
      </c>
      <c r="X1352" s="1566"/>
      <c r="Y1352" s="1566"/>
      <c r="Z1352" s="1566"/>
      <c r="AA1352" s="1566">
        <v>60000</v>
      </c>
      <c r="AB1352" s="1566"/>
      <c r="AC1352" s="1566"/>
      <c r="AD1352" s="1566"/>
      <c r="AE1352" s="1566"/>
      <c r="AF1352" s="1566"/>
      <c r="AG1352" s="1566">
        <v>0</v>
      </c>
      <c r="AH1352" s="1566"/>
      <c r="AI1352" s="1566"/>
      <c r="AJ1352" s="1566"/>
      <c r="AK1352" s="1566"/>
    </row>
    <row r="1353" spans="2:37" ht="9.4" customHeight="1">
      <c r="B1353" s="1568" t="s">
        <v>1326</v>
      </c>
      <c r="C1353" s="1568"/>
      <c r="D1353" s="1568"/>
      <c r="E1353" s="1568" t="s">
        <v>2614</v>
      </c>
      <c r="F1353" s="1568"/>
      <c r="G1353" s="1568"/>
      <c r="H1353" s="1568"/>
      <c r="J1353" s="1568" t="s">
        <v>2503</v>
      </c>
      <c r="K1353" s="1568"/>
      <c r="L1353" s="1568"/>
      <c r="M1353" s="1566">
        <v>282106.46000000002</v>
      </c>
      <c r="N1353" s="1566"/>
      <c r="O1353" s="1566"/>
      <c r="P1353" s="1566">
        <v>0</v>
      </c>
      <c r="Q1353" s="1566"/>
      <c r="R1353" s="1566"/>
      <c r="S1353" s="1566">
        <v>0</v>
      </c>
      <c r="T1353" s="1566"/>
      <c r="U1353" s="1566"/>
      <c r="V1353" s="1566"/>
      <c r="W1353" s="1566">
        <v>0</v>
      </c>
      <c r="X1353" s="1566"/>
      <c r="Y1353" s="1566"/>
      <c r="Z1353" s="1566"/>
      <c r="AA1353" s="1566">
        <v>282106.46000000002</v>
      </c>
      <c r="AB1353" s="1566"/>
      <c r="AC1353" s="1566"/>
      <c r="AD1353" s="1566"/>
      <c r="AE1353" s="1566"/>
      <c r="AF1353" s="1566"/>
      <c r="AG1353" s="1566">
        <v>0</v>
      </c>
      <c r="AH1353" s="1566"/>
      <c r="AI1353" s="1566"/>
      <c r="AJ1353" s="1566"/>
      <c r="AK1353" s="1566"/>
    </row>
    <row r="1354" spans="2:37" ht="9.4" customHeight="1">
      <c r="B1354" s="1568" t="s">
        <v>1326</v>
      </c>
      <c r="C1354" s="1568"/>
      <c r="D1354" s="1568"/>
      <c r="E1354" s="1568" t="s">
        <v>2615</v>
      </c>
      <c r="F1354" s="1568"/>
      <c r="G1354" s="1568"/>
      <c r="H1354" s="1568"/>
      <c r="J1354" s="1568" t="s">
        <v>2505</v>
      </c>
      <c r="K1354" s="1568"/>
      <c r="L1354" s="1568"/>
      <c r="M1354" s="1566">
        <v>134508.38</v>
      </c>
      <c r="N1354" s="1566"/>
      <c r="O1354" s="1566"/>
      <c r="P1354" s="1566">
        <v>0</v>
      </c>
      <c r="Q1354" s="1566"/>
      <c r="R1354" s="1566"/>
      <c r="S1354" s="1566">
        <v>0</v>
      </c>
      <c r="T1354" s="1566"/>
      <c r="U1354" s="1566"/>
      <c r="V1354" s="1566"/>
      <c r="W1354" s="1566">
        <v>12752.6</v>
      </c>
      <c r="X1354" s="1566"/>
      <c r="Y1354" s="1566"/>
      <c r="Z1354" s="1566"/>
      <c r="AA1354" s="1566">
        <v>121755.78</v>
      </c>
      <c r="AB1354" s="1566"/>
      <c r="AC1354" s="1566"/>
      <c r="AD1354" s="1566"/>
      <c r="AE1354" s="1566"/>
      <c r="AF1354" s="1566"/>
      <c r="AG1354" s="1566">
        <v>0</v>
      </c>
      <c r="AH1354" s="1566"/>
      <c r="AI1354" s="1566"/>
      <c r="AJ1354" s="1566"/>
      <c r="AK1354" s="1566"/>
    </row>
    <row r="1355" spans="2:37" ht="9.1999999999999993" customHeight="1">
      <c r="J1355" s="1568"/>
      <c r="K1355" s="1568"/>
      <c r="L1355" s="1568"/>
    </row>
    <row r="1356" spans="2:37" ht="8.4499999999999993" customHeight="1">
      <c r="B1356" s="1568" t="s">
        <v>1326</v>
      </c>
      <c r="C1356" s="1568"/>
      <c r="D1356" s="1568"/>
      <c r="E1356" s="1568" t="s">
        <v>2616</v>
      </c>
      <c r="F1356" s="1568"/>
      <c r="G1356" s="1568"/>
      <c r="H1356" s="1568"/>
      <c r="J1356" s="1568" t="s">
        <v>2507</v>
      </c>
      <c r="K1356" s="1568"/>
      <c r="L1356" s="1568"/>
      <c r="M1356" s="1566">
        <v>3407740.43</v>
      </c>
      <c r="N1356" s="1566"/>
      <c r="O1356" s="1566"/>
      <c r="P1356" s="1566">
        <v>0</v>
      </c>
      <c r="Q1356" s="1566"/>
      <c r="R1356" s="1566"/>
      <c r="S1356" s="1566">
        <v>0</v>
      </c>
      <c r="T1356" s="1566"/>
      <c r="U1356" s="1566"/>
      <c r="V1356" s="1566"/>
      <c r="W1356" s="1566">
        <v>46510.21</v>
      </c>
      <c r="X1356" s="1566"/>
      <c r="Y1356" s="1566"/>
      <c r="Z1356" s="1566"/>
      <c r="AA1356" s="1566">
        <v>3361230.22</v>
      </c>
      <c r="AB1356" s="1566"/>
      <c r="AC1356" s="1566"/>
      <c r="AD1356" s="1566"/>
      <c r="AE1356" s="1566"/>
      <c r="AF1356" s="1566"/>
      <c r="AG1356" s="1566">
        <v>0</v>
      </c>
      <c r="AH1356" s="1566"/>
      <c r="AI1356" s="1566"/>
      <c r="AJ1356" s="1566"/>
      <c r="AK1356" s="1566"/>
    </row>
    <row r="1357" spans="2:37" ht="9.4" customHeight="1">
      <c r="B1357" s="1568" t="s">
        <v>1326</v>
      </c>
      <c r="C1357" s="1568"/>
      <c r="D1357" s="1568"/>
      <c r="E1357" s="1568" t="s">
        <v>2617</v>
      </c>
      <c r="F1357" s="1568"/>
      <c r="G1357" s="1568"/>
      <c r="H1357" s="1568"/>
      <c r="J1357" s="1568" t="s">
        <v>2509</v>
      </c>
      <c r="K1357" s="1568"/>
      <c r="L1357" s="1568"/>
      <c r="M1357" s="1566">
        <v>420000</v>
      </c>
      <c r="N1357" s="1566"/>
      <c r="O1357" s="1566"/>
      <c r="P1357" s="1566">
        <v>0</v>
      </c>
      <c r="Q1357" s="1566"/>
      <c r="R1357" s="1566"/>
      <c r="S1357" s="1566">
        <v>0</v>
      </c>
      <c r="T1357" s="1566"/>
      <c r="U1357" s="1566"/>
      <c r="V1357" s="1566"/>
      <c r="W1357" s="1566">
        <v>0</v>
      </c>
      <c r="X1357" s="1566"/>
      <c r="Y1357" s="1566"/>
      <c r="Z1357" s="1566"/>
      <c r="AA1357" s="1566">
        <v>420000</v>
      </c>
      <c r="AB1357" s="1566"/>
      <c r="AC1357" s="1566"/>
      <c r="AD1357" s="1566"/>
      <c r="AE1357" s="1566"/>
      <c r="AF1357" s="1566"/>
      <c r="AG1357" s="1566">
        <v>0</v>
      </c>
      <c r="AH1357" s="1566"/>
      <c r="AI1357" s="1566"/>
      <c r="AJ1357" s="1566"/>
      <c r="AK1357" s="1566"/>
    </row>
    <row r="1358" spans="2:37" ht="9.4" customHeight="1">
      <c r="B1358" s="1568" t="s">
        <v>1326</v>
      </c>
      <c r="C1358" s="1568"/>
      <c r="D1358" s="1568"/>
      <c r="E1358" s="1568" t="s">
        <v>2618</v>
      </c>
      <c r="F1358" s="1568"/>
      <c r="G1358" s="1568"/>
      <c r="H1358" s="1568"/>
      <c r="J1358" s="1568" t="s">
        <v>2512</v>
      </c>
      <c r="K1358" s="1568"/>
      <c r="L1358" s="1568"/>
      <c r="M1358" s="1566">
        <v>10000</v>
      </c>
      <c r="N1358" s="1566"/>
      <c r="O1358" s="1566"/>
      <c r="P1358" s="1566">
        <v>0</v>
      </c>
      <c r="Q1358" s="1566"/>
      <c r="R1358" s="1566"/>
      <c r="S1358" s="1566">
        <v>0</v>
      </c>
      <c r="T1358" s="1566"/>
      <c r="U1358" s="1566"/>
      <c r="V1358" s="1566"/>
      <c r="W1358" s="1566">
        <v>0</v>
      </c>
      <c r="X1358" s="1566"/>
      <c r="Y1358" s="1566"/>
      <c r="Z1358" s="1566"/>
      <c r="AA1358" s="1566">
        <v>10000</v>
      </c>
      <c r="AB1358" s="1566"/>
      <c r="AC1358" s="1566"/>
      <c r="AD1358" s="1566"/>
      <c r="AE1358" s="1566"/>
      <c r="AF1358" s="1566"/>
      <c r="AG1358" s="1566">
        <v>0</v>
      </c>
      <c r="AH1358" s="1566"/>
      <c r="AI1358" s="1566"/>
      <c r="AJ1358" s="1566"/>
      <c r="AK1358" s="1566"/>
    </row>
    <row r="1359" spans="2:37" ht="9.4" customHeight="1">
      <c r="B1359" s="1568" t="s">
        <v>1326</v>
      </c>
      <c r="C1359" s="1568"/>
      <c r="D1359" s="1568"/>
      <c r="E1359" s="1568" t="s">
        <v>2619</v>
      </c>
      <c r="F1359" s="1568"/>
      <c r="G1359" s="1568"/>
      <c r="H1359" s="1568"/>
      <c r="J1359" s="1568" t="s">
        <v>2514</v>
      </c>
      <c r="K1359" s="1568"/>
      <c r="L1359" s="1568"/>
      <c r="M1359" s="1566">
        <v>196915.09</v>
      </c>
      <c r="N1359" s="1566"/>
      <c r="O1359" s="1566"/>
      <c r="P1359" s="1566">
        <v>0</v>
      </c>
      <c r="Q1359" s="1566"/>
      <c r="R1359" s="1566"/>
      <c r="S1359" s="1566">
        <v>0</v>
      </c>
      <c r="T1359" s="1566"/>
      <c r="U1359" s="1566"/>
      <c r="V1359" s="1566"/>
      <c r="W1359" s="1566">
        <v>6650.72</v>
      </c>
      <c r="X1359" s="1566"/>
      <c r="Y1359" s="1566"/>
      <c r="Z1359" s="1566"/>
      <c r="AA1359" s="1566">
        <v>190264.37</v>
      </c>
      <c r="AB1359" s="1566"/>
      <c r="AC1359" s="1566"/>
      <c r="AD1359" s="1566"/>
      <c r="AE1359" s="1566"/>
      <c r="AF1359" s="1566"/>
      <c r="AG1359" s="1566">
        <v>0</v>
      </c>
      <c r="AH1359" s="1566"/>
      <c r="AI1359" s="1566"/>
      <c r="AJ1359" s="1566"/>
      <c r="AK1359" s="1566"/>
    </row>
    <row r="1360" spans="2:37" ht="9.4" customHeight="1">
      <c r="B1360" s="1568" t="s">
        <v>1326</v>
      </c>
      <c r="C1360" s="1568"/>
      <c r="D1360" s="1568"/>
      <c r="E1360" s="1568" t="s">
        <v>2620</v>
      </c>
      <c r="F1360" s="1568"/>
      <c r="G1360" s="1568"/>
      <c r="H1360" s="1568"/>
      <c r="J1360" s="1568" t="s">
        <v>2516</v>
      </c>
      <c r="K1360" s="1568"/>
      <c r="L1360" s="1568"/>
      <c r="M1360" s="1566">
        <v>386600.48</v>
      </c>
      <c r="N1360" s="1566"/>
      <c r="O1360" s="1566"/>
      <c r="P1360" s="1566">
        <v>0</v>
      </c>
      <c r="Q1360" s="1566"/>
      <c r="R1360" s="1566"/>
      <c r="S1360" s="1566">
        <v>0</v>
      </c>
      <c r="T1360" s="1566"/>
      <c r="U1360" s="1566"/>
      <c r="V1360" s="1566"/>
      <c r="W1360" s="1566">
        <v>19956.84</v>
      </c>
      <c r="X1360" s="1566"/>
      <c r="Y1360" s="1566"/>
      <c r="Z1360" s="1566"/>
      <c r="AA1360" s="1566">
        <v>366643.64</v>
      </c>
      <c r="AB1360" s="1566"/>
      <c r="AC1360" s="1566"/>
      <c r="AD1360" s="1566"/>
      <c r="AE1360" s="1566"/>
      <c r="AF1360" s="1566"/>
      <c r="AG1360" s="1566">
        <v>0</v>
      </c>
      <c r="AH1360" s="1566"/>
      <c r="AI1360" s="1566"/>
      <c r="AJ1360" s="1566"/>
      <c r="AK1360" s="1566"/>
    </row>
    <row r="1361" spans="1:38" ht="9.4" customHeight="1">
      <c r="B1361" s="1568" t="s">
        <v>1326</v>
      </c>
      <c r="C1361" s="1568"/>
      <c r="D1361" s="1568"/>
      <c r="E1361" s="1568" t="s">
        <v>2621</v>
      </c>
      <c r="F1361" s="1568"/>
      <c r="G1361" s="1568"/>
      <c r="H1361" s="1568"/>
      <c r="J1361" s="1568" t="s">
        <v>2518</v>
      </c>
      <c r="K1361" s="1568"/>
      <c r="L1361" s="1568"/>
      <c r="M1361" s="1566">
        <v>308049.64</v>
      </c>
      <c r="N1361" s="1566"/>
      <c r="O1361" s="1566"/>
      <c r="P1361" s="1566">
        <v>0</v>
      </c>
      <c r="Q1361" s="1566"/>
      <c r="R1361" s="1566"/>
      <c r="S1361" s="1566">
        <v>0</v>
      </c>
      <c r="T1361" s="1566"/>
      <c r="U1361" s="1566"/>
      <c r="V1361" s="1566"/>
      <c r="W1361" s="1566">
        <v>7491.12</v>
      </c>
      <c r="X1361" s="1566"/>
      <c r="Y1361" s="1566"/>
      <c r="Z1361" s="1566"/>
      <c r="AA1361" s="1566">
        <v>300558.52</v>
      </c>
      <c r="AB1361" s="1566"/>
      <c r="AC1361" s="1566"/>
      <c r="AD1361" s="1566"/>
      <c r="AE1361" s="1566"/>
      <c r="AF1361" s="1566"/>
      <c r="AG1361" s="1566">
        <v>0</v>
      </c>
      <c r="AH1361" s="1566"/>
      <c r="AI1361" s="1566"/>
      <c r="AJ1361" s="1566"/>
      <c r="AK1361" s="1566"/>
    </row>
    <row r="1362" spans="1:38" ht="9.4" customHeight="1">
      <c r="B1362" s="1568" t="s">
        <v>1326</v>
      </c>
      <c r="C1362" s="1568"/>
      <c r="D1362" s="1568"/>
      <c r="E1362" s="1568" t="s">
        <v>2622</v>
      </c>
      <c r="F1362" s="1568"/>
      <c r="G1362" s="1568"/>
      <c r="H1362" s="1568"/>
      <c r="J1362" s="1568" t="s">
        <v>2392</v>
      </c>
      <c r="K1362" s="1568"/>
      <c r="L1362" s="1568"/>
      <c r="M1362" s="1566">
        <v>2792624.6</v>
      </c>
      <c r="N1362" s="1566"/>
      <c r="O1362" s="1566"/>
      <c r="P1362" s="1566">
        <v>0</v>
      </c>
      <c r="Q1362" s="1566"/>
      <c r="R1362" s="1566"/>
      <c r="S1362" s="1566">
        <v>0</v>
      </c>
      <c r="T1362" s="1566"/>
      <c r="U1362" s="1566"/>
      <c r="V1362" s="1566"/>
      <c r="W1362" s="1566">
        <v>207421.8</v>
      </c>
      <c r="X1362" s="1566"/>
      <c r="Y1362" s="1566"/>
      <c r="Z1362" s="1566"/>
      <c r="AA1362" s="1566">
        <v>2585202.7999999998</v>
      </c>
      <c r="AB1362" s="1566"/>
      <c r="AC1362" s="1566"/>
      <c r="AD1362" s="1566"/>
      <c r="AE1362" s="1566"/>
      <c r="AF1362" s="1566"/>
      <c r="AG1362" s="1566">
        <v>0</v>
      </c>
      <c r="AH1362" s="1566"/>
      <c r="AI1362" s="1566"/>
      <c r="AJ1362" s="1566"/>
      <c r="AK1362" s="1566"/>
    </row>
    <row r="1363" spans="1:38" ht="9.4" customHeight="1">
      <c r="B1363" s="1568" t="s">
        <v>1326</v>
      </c>
      <c r="C1363" s="1568"/>
      <c r="D1363" s="1568"/>
      <c r="E1363" s="1568" t="s">
        <v>2623</v>
      </c>
      <c r="F1363" s="1568"/>
      <c r="G1363" s="1568"/>
      <c r="H1363" s="1568"/>
      <c r="J1363" s="1568" t="s">
        <v>2395</v>
      </c>
      <c r="K1363" s="1568"/>
      <c r="L1363" s="1568"/>
      <c r="M1363" s="1566">
        <v>479982</v>
      </c>
      <c r="N1363" s="1566"/>
      <c r="O1363" s="1566"/>
      <c r="P1363" s="1566">
        <v>0</v>
      </c>
      <c r="Q1363" s="1566"/>
      <c r="R1363" s="1566"/>
      <c r="S1363" s="1566">
        <v>0</v>
      </c>
      <c r="T1363" s="1566"/>
      <c r="U1363" s="1566"/>
      <c r="V1363" s="1566"/>
      <c r="W1363" s="1566">
        <v>0</v>
      </c>
      <c r="X1363" s="1566"/>
      <c r="Y1363" s="1566"/>
      <c r="Z1363" s="1566"/>
      <c r="AA1363" s="1566">
        <v>479982</v>
      </c>
      <c r="AB1363" s="1566"/>
      <c r="AC1363" s="1566"/>
      <c r="AD1363" s="1566"/>
      <c r="AE1363" s="1566"/>
      <c r="AF1363" s="1566"/>
      <c r="AG1363" s="1566">
        <v>0</v>
      </c>
      <c r="AH1363" s="1566"/>
      <c r="AI1363" s="1566"/>
      <c r="AJ1363" s="1566"/>
      <c r="AK1363" s="1566"/>
    </row>
    <row r="1364" spans="1:38" ht="9.4" customHeight="1">
      <c r="B1364" s="1568" t="s">
        <v>1326</v>
      </c>
      <c r="C1364" s="1568"/>
      <c r="D1364" s="1568"/>
      <c r="E1364" s="1568" t="s">
        <v>2624</v>
      </c>
      <c r="F1364" s="1568"/>
      <c r="G1364" s="1568"/>
      <c r="H1364" s="1568"/>
      <c r="J1364" s="1568" t="s">
        <v>2397</v>
      </c>
      <c r="K1364" s="1568"/>
      <c r="L1364" s="1568"/>
      <c r="M1364" s="1566">
        <v>47429</v>
      </c>
      <c r="N1364" s="1566"/>
      <c r="O1364" s="1566"/>
      <c r="P1364" s="1566">
        <v>0</v>
      </c>
      <c r="Q1364" s="1566"/>
      <c r="R1364" s="1566"/>
      <c r="S1364" s="1566">
        <v>0</v>
      </c>
      <c r="T1364" s="1566"/>
      <c r="U1364" s="1566"/>
      <c r="V1364" s="1566"/>
      <c r="W1364" s="1566">
        <v>0</v>
      </c>
      <c r="X1364" s="1566"/>
      <c r="Y1364" s="1566"/>
      <c r="Z1364" s="1566"/>
      <c r="AA1364" s="1566">
        <v>47429</v>
      </c>
      <c r="AB1364" s="1566"/>
      <c r="AC1364" s="1566"/>
      <c r="AD1364" s="1566"/>
      <c r="AE1364" s="1566"/>
      <c r="AF1364" s="1566"/>
      <c r="AG1364" s="1566">
        <v>0</v>
      </c>
      <c r="AH1364" s="1566"/>
      <c r="AI1364" s="1566"/>
      <c r="AJ1364" s="1566"/>
      <c r="AK1364" s="1566"/>
    </row>
    <row r="1365" spans="1:38" ht="9.4" customHeight="1">
      <c r="B1365" s="1568" t="s">
        <v>1326</v>
      </c>
      <c r="C1365" s="1568"/>
      <c r="D1365" s="1568"/>
      <c r="E1365" s="1568" t="s">
        <v>2625</v>
      </c>
      <c r="F1365" s="1568"/>
      <c r="G1365" s="1568"/>
      <c r="H1365" s="1568"/>
      <c r="J1365" s="1568" t="s">
        <v>2399</v>
      </c>
      <c r="K1365" s="1568"/>
      <c r="L1365" s="1568"/>
      <c r="M1365" s="1566">
        <v>60000</v>
      </c>
      <c r="N1365" s="1566"/>
      <c r="O1365" s="1566"/>
      <c r="P1365" s="1566">
        <v>0</v>
      </c>
      <c r="Q1365" s="1566"/>
      <c r="R1365" s="1566"/>
      <c r="S1365" s="1566">
        <v>0</v>
      </c>
      <c r="T1365" s="1566"/>
      <c r="U1365" s="1566"/>
      <c r="V1365" s="1566"/>
      <c r="W1365" s="1566">
        <v>0</v>
      </c>
      <c r="X1365" s="1566"/>
      <c r="Y1365" s="1566"/>
      <c r="Z1365" s="1566"/>
      <c r="AA1365" s="1566">
        <v>60000</v>
      </c>
      <c r="AB1365" s="1566"/>
      <c r="AC1365" s="1566"/>
      <c r="AD1365" s="1566"/>
      <c r="AE1365" s="1566"/>
      <c r="AF1365" s="1566"/>
      <c r="AG1365" s="1566">
        <v>0</v>
      </c>
      <c r="AH1365" s="1566"/>
      <c r="AI1365" s="1566"/>
      <c r="AJ1365" s="1566"/>
      <c r="AK1365" s="1566"/>
    </row>
    <row r="1366" spans="1:38" ht="9.4" customHeight="1">
      <c r="B1366" s="1568" t="s">
        <v>1326</v>
      </c>
      <c r="C1366" s="1568"/>
      <c r="D1366" s="1568"/>
      <c r="E1366" s="1568" t="s">
        <v>2626</v>
      </c>
      <c r="F1366" s="1568"/>
      <c r="G1366" s="1568"/>
      <c r="H1366" s="1568"/>
      <c r="J1366" s="1568" t="s">
        <v>2401</v>
      </c>
      <c r="K1366" s="1568"/>
      <c r="L1366" s="1568"/>
      <c r="M1366" s="1566">
        <v>492376.6</v>
      </c>
      <c r="N1366" s="1566"/>
      <c r="O1366" s="1566"/>
      <c r="P1366" s="1566">
        <v>0</v>
      </c>
      <c r="Q1366" s="1566"/>
      <c r="R1366" s="1566"/>
      <c r="S1366" s="1566">
        <v>0</v>
      </c>
      <c r="T1366" s="1566"/>
      <c r="U1366" s="1566"/>
      <c r="V1366" s="1566"/>
      <c r="W1366" s="1566">
        <v>35261.760000000002</v>
      </c>
      <c r="X1366" s="1566"/>
      <c r="Y1366" s="1566"/>
      <c r="Z1366" s="1566"/>
      <c r="AA1366" s="1566">
        <v>457114.84</v>
      </c>
      <c r="AB1366" s="1566"/>
      <c r="AC1366" s="1566"/>
      <c r="AD1366" s="1566"/>
      <c r="AE1366" s="1566"/>
      <c r="AF1366" s="1566"/>
      <c r="AG1366" s="1566">
        <v>0</v>
      </c>
      <c r="AH1366" s="1566"/>
      <c r="AI1366" s="1566"/>
      <c r="AJ1366" s="1566"/>
      <c r="AK1366" s="1566"/>
    </row>
    <row r="1367" spans="1:38" ht="9.4" customHeight="1">
      <c r="B1367" s="1568" t="s">
        <v>1326</v>
      </c>
      <c r="C1367" s="1568"/>
      <c r="D1367" s="1568"/>
      <c r="E1367" s="1568" t="s">
        <v>2627</v>
      </c>
      <c r="F1367" s="1568"/>
      <c r="G1367" s="1568"/>
      <c r="H1367" s="1568"/>
      <c r="J1367" s="1568" t="s">
        <v>2403</v>
      </c>
      <c r="K1367" s="1568"/>
      <c r="L1367" s="1568"/>
      <c r="M1367" s="1566">
        <v>11296.37</v>
      </c>
      <c r="N1367" s="1566"/>
      <c r="O1367" s="1566"/>
      <c r="P1367" s="1566">
        <v>0</v>
      </c>
      <c r="Q1367" s="1566"/>
      <c r="R1367" s="1566"/>
      <c r="S1367" s="1566">
        <v>0</v>
      </c>
      <c r="T1367" s="1566"/>
      <c r="U1367" s="1566"/>
      <c r="V1367" s="1566"/>
      <c r="W1367" s="1566">
        <v>451.21</v>
      </c>
      <c r="X1367" s="1566"/>
      <c r="Y1367" s="1566"/>
      <c r="Z1367" s="1566"/>
      <c r="AA1367" s="1566">
        <v>10845.16</v>
      </c>
      <c r="AB1367" s="1566"/>
      <c r="AC1367" s="1566"/>
      <c r="AD1367" s="1566"/>
      <c r="AE1367" s="1566"/>
      <c r="AF1367" s="1566"/>
      <c r="AG1367" s="1566">
        <v>0</v>
      </c>
      <c r="AH1367" s="1566"/>
      <c r="AI1367" s="1566"/>
      <c r="AJ1367" s="1566"/>
      <c r="AK1367" s="1566"/>
    </row>
    <row r="1368" spans="1:38" ht="9.4" customHeight="1">
      <c r="B1368" s="1568" t="s">
        <v>1326</v>
      </c>
      <c r="C1368" s="1568"/>
      <c r="D1368" s="1568"/>
      <c r="E1368" s="1568" t="s">
        <v>2628</v>
      </c>
      <c r="F1368" s="1568"/>
      <c r="G1368" s="1568"/>
      <c r="H1368" s="1568"/>
      <c r="J1368" s="1568" t="s">
        <v>2405</v>
      </c>
      <c r="K1368" s="1568"/>
      <c r="L1368" s="1568"/>
      <c r="M1368" s="1566">
        <v>152988.28</v>
      </c>
      <c r="N1368" s="1566"/>
      <c r="O1368" s="1566"/>
      <c r="P1368" s="1566">
        <v>0</v>
      </c>
      <c r="Q1368" s="1566"/>
      <c r="R1368" s="1566"/>
      <c r="S1368" s="1566">
        <v>0</v>
      </c>
      <c r="T1368" s="1566"/>
      <c r="U1368" s="1566"/>
      <c r="V1368" s="1566"/>
      <c r="W1368" s="1566">
        <v>13980.72</v>
      </c>
      <c r="X1368" s="1566"/>
      <c r="Y1368" s="1566"/>
      <c r="Z1368" s="1566"/>
      <c r="AA1368" s="1566">
        <v>139007.56</v>
      </c>
      <c r="AB1368" s="1566"/>
      <c r="AC1368" s="1566"/>
      <c r="AD1368" s="1566"/>
      <c r="AE1368" s="1566"/>
      <c r="AF1368" s="1566"/>
      <c r="AG1368" s="1566">
        <v>0</v>
      </c>
      <c r="AH1368" s="1566"/>
      <c r="AI1368" s="1566"/>
      <c r="AJ1368" s="1566"/>
      <c r="AK1368" s="1566"/>
    </row>
    <row r="1369" spans="1:38" ht="9.4" customHeight="1">
      <c r="B1369" s="1568" t="s">
        <v>1326</v>
      </c>
      <c r="C1369" s="1568"/>
      <c r="D1369" s="1568"/>
      <c r="E1369" s="1568" t="s">
        <v>2629</v>
      </c>
      <c r="F1369" s="1568"/>
      <c r="G1369" s="1568"/>
      <c r="H1369" s="1568"/>
      <c r="J1369" s="1568" t="s">
        <v>2407</v>
      </c>
      <c r="K1369" s="1568"/>
      <c r="L1369" s="1568"/>
      <c r="M1369" s="1566">
        <v>126612.6</v>
      </c>
      <c r="N1369" s="1566"/>
      <c r="O1369" s="1566"/>
      <c r="P1369" s="1566">
        <v>0</v>
      </c>
      <c r="Q1369" s="1566"/>
      <c r="R1369" s="1566"/>
      <c r="S1369" s="1566">
        <v>0</v>
      </c>
      <c r="T1369" s="1566"/>
      <c r="U1369" s="1566"/>
      <c r="V1369" s="1566"/>
      <c r="W1369" s="1566">
        <v>10754.4</v>
      </c>
      <c r="X1369" s="1566"/>
      <c r="Y1369" s="1566"/>
      <c r="Z1369" s="1566"/>
      <c r="AA1369" s="1566">
        <v>115858.2</v>
      </c>
      <c r="AB1369" s="1566"/>
      <c r="AC1369" s="1566"/>
      <c r="AD1369" s="1566"/>
      <c r="AE1369" s="1566"/>
      <c r="AF1369" s="1566"/>
      <c r="AG1369" s="1566">
        <v>0</v>
      </c>
      <c r="AH1369" s="1566"/>
      <c r="AI1369" s="1566"/>
      <c r="AJ1369" s="1566"/>
      <c r="AK1369" s="1566"/>
    </row>
    <row r="1370" spans="1:38" ht="9.4" customHeight="1">
      <c r="B1370" s="1568" t="s">
        <v>1326</v>
      </c>
      <c r="C1370" s="1568"/>
      <c r="D1370" s="1568"/>
      <c r="E1370" s="1568" t="s">
        <v>2630</v>
      </c>
      <c r="F1370" s="1568"/>
      <c r="G1370" s="1568"/>
      <c r="H1370" s="1568"/>
      <c r="J1370" s="1568" t="s">
        <v>2424</v>
      </c>
      <c r="K1370" s="1568"/>
      <c r="L1370" s="1568"/>
      <c r="M1370" s="1566">
        <v>7406550</v>
      </c>
      <c r="N1370" s="1566"/>
      <c r="O1370" s="1566"/>
      <c r="P1370" s="1566">
        <v>0</v>
      </c>
      <c r="Q1370" s="1566"/>
      <c r="R1370" s="1566"/>
      <c r="S1370" s="1566">
        <v>0</v>
      </c>
      <c r="T1370" s="1566"/>
      <c r="U1370" s="1566"/>
      <c r="V1370" s="1566"/>
      <c r="W1370" s="1566">
        <v>133482.20000000001</v>
      </c>
      <c r="X1370" s="1566"/>
      <c r="Y1370" s="1566"/>
      <c r="Z1370" s="1566"/>
      <c r="AA1370" s="1566">
        <v>7273067.7999999998</v>
      </c>
      <c r="AB1370" s="1566"/>
      <c r="AC1370" s="1566"/>
      <c r="AD1370" s="1566"/>
      <c r="AE1370" s="1566"/>
      <c r="AF1370" s="1566"/>
      <c r="AG1370" s="1566">
        <v>0</v>
      </c>
      <c r="AH1370" s="1566"/>
      <c r="AI1370" s="1566"/>
      <c r="AJ1370" s="1566"/>
      <c r="AK1370" s="1566"/>
    </row>
    <row r="1371" spans="1:38" ht="9.1999999999999993" customHeight="1">
      <c r="J1371" s="1568"/>
      <c r="K1371" s="1568"/>
      <c r="L1371" s="1568"/>
    </row>
    <row r="1372" spans="1:38" ht="6.4" customHeight="1"/>
    <row r="1373" spans="1:38" ht="14.1" customHeight="1">
      <c r="AG1373" s="1565" t="s">
        <v>2710</v>
      </c>
      <c r="AH1373" s="1565"/>
      <c r="AI1373" s="1565"/>
      <c r="AJ1373" s="1565"/>
      <c r="AK1373" s="1565"/>
      <c r="AL1373" s="1565"/>
    </row>
    <row r="1374" spans="1:38" ht="7.15" customHeight="1">
      <c r="D1374" s="1578" t="s">
        <v>2992</v>
      </c>
      <c r="E1374" s="1578"/>
      <c r="F1374" s="1578"/>
      <c r="G1374" s="1578"/>
      <c r="H1374" s="1578"/>
      <c r="I1374" s="1578"/>
      <c r="J1374" s="1578"/>
      <c r="K1374" s="1578"/>
      <c r="L1374" s="1578"/>
      <c r="M1374" s="1578"/>
      <c r="N1374" s="1578"/>
      <c r="O1374" s="1578"/>
      <c r="P1374" s="1578"/>
      <c r="Q1374" s="1578"/>
      <c r="R1374" s="1578"/>
      <c r="S1374" s="1578"/>
      <c r="T1374" s="1578"/>
      <c r="U1374" s="1578"/>
      <c r="V1374" s="1578"/>
      <c r="W1374" s="1578"/>
      <c r="X1374" s="1578"/>
      <c r="Y1374" s="1578"/>
      <c r="Z1374" s="1578"/>
      <c r="AA1374" s="1578"/>
      <c r="AB1374" s="1578"/>
      <c r="AC1374" s="1578"/>
      <c r="AD1374" s="1578"/>
      <c r="AE1374" s="1578"/>
      <c r="AF1374" s="1578"/>
      <c r="AG1374" s="1578"/>
      <c r="AH1374" s="1578"/>
    </row>
    <row r="1375" spans="1:38" ht="9.6" customHeight="1">
      <c r="A1375" s="1579"/>
      <c r="B1375" s="1579"/>
      <c r="C1375" s="1579"/>
      <c r="D1375" s="1579"/>
      <c r="E1375" s="1579"/>
      <c r="F1375" s="1579"/>
      <c r="G1375" s="1579"/>
      <c r="H1375" s="1579"/>
      <c r="I1375" s="1579"/>
      <c r="J1375" s="1578"/>
      <c r="K1375" s="1578"/>
      <c r="L1375" s="1578"/>
      <c r="M1375" s="1578"/>
      <c r="N1375" s="1578"/>
      <c r="O1375" s="1578"/>
      <c r="P1375" s="1578"/>
      <c r="Q1375" s="1578"/>
      <c r="R1375" s="1578"/>
      <c r="S1375" s="1578"/>
      <c r="T1375" s="1578"/>
      <c r="U1375" s="1578"/>
      <c r="V1375" s="1578"/>
      <c r="W1375" s="1578"/>
      <c r="X1375" s="1578"/>
      <c r="Y1375" s="1578"/>
      <c r="Z1375" s="1578"/>
      <c r="AA1375" s="1578"/>
      <c r="AB1375" s="1578"/>
      <c r="AC1375" s="1578"/>
      <c r="AD1375" s="1578"/>
      <c r="AE1375" s="1578"/>
      <c r="AF1375" s="1578"/>
      <c r="AG1375" s="1578"/>
      <c r="AH1375" s="1578"/>
    </row>
    <row r="1376" spans="1:38" ht="13.35" customHeight="1">
      <c r="A1376" s="1579"/>
      <c r="B1376" s="1579"/>
      <c r="C1376" s="1579"/>
      <c r="D1376" s="1579"/>
      <c r="E1376" s="1579"/>
      <c r="F1376" s="1579"/>
      <c r="G1376" s="1579"/>
      <c r="H1376" s="1579"/>
      <c r="I1376" s="1579"/>
      <c r="J1376" s="1580" t="s">
        <v>79</v>
      </c>
      <c r="K1376" s="1580"/>
      <c r="L1376" s="1580"/>
      <c r="M1376" s="1580"/>
      <c r="N1376" s="1580"/>
      <c r="O1376" s="1580"/>
      <c r="P1376" s="1580"/>
      <c r="Q1376" s="1580"/>
      <c r="R1376" s="1580"/>
      <c r="S1376" s="1580"/>
      <c r="T1376" s="1580"/>
      <c r="U1376" s="1580"/>
      <c r="V1376" s="1580"/>
      <c r="W1376" s="1580"/>
      <c r="X1376" s="1580"/>
      <c r="Y1376" s="1580"/>
      <c r="Z1376" s="1580"/>
      <c r="AA1376" s="1580"/>
      <c r="AB1376" s="1580"/>
      <c r="AC1376" s="1580"/>
      <c r="AD1376" s="1580"/>
      <c r="AE1376" s="1580"/>
      <c r="AF1376" s="1580"/>
    </row>
    <row r="1377" spans="1:38" ht="5.25" customHeight="1">
      <c r="A1377" s="1579"/>
      <c r="B1377" s="1579"/>
      <c r="C1377" s="1579"/>
      <c r="D1377" s="1579"/>
      <c r="E1377" s="1579"/>
      <c r="F1377" s="1579"/>
      <c r="G1377" s="1579"/>
      <c r="H1377" s="1579"/>
      <c r="I1377" s="1579"/>
      <c r="J1377" s="1573" t="s">
        <v>6760</v>
      </c>
      <c r="K1377" s="1573"/>
      <c r="L1377" s="1573"/>
      <c r="M1377" s="1573"/>
      <c r="N1377" s="1573"/>
      <c r="O1377" s="1573"/>
      <c r="P1377" s="1573"/>
      <c r="Q1377" s="1573"/>
      <c r="R1377" s="1573"/>
      <c r="S1377" s="1573"/>
      <c r="T1377" s="1573"/>
      <c r="U1377" s="1573"/>
      <c r="V1377" s="1573"/>
      <c r="W1377" s="1573"/>
      <c r="X1377" s="1573"/>
      <c r="Y1377" s="1573"/>
      <c r="Z1377" s="1573"/>
      <c r="AA1377" s="1573"/>
      <c r="AB1377" s="1573"/>
      <c r="AC1377" s="1573"/>
      <c r="AD1377" s="1573"/>
      <c r="AE1377" s="1573"/>
    </row>
    <row r="1378" spans="1:38" ht="8.1" customHeight="1">
      <c r="C1378" s="1572" t="s">
        <v>1920</v>
      </c>
      <c r="D1378" s="1572"/>
      <c r="E1378" s="1572"/>
      <c r="F1378" s="1572"/>
      <c r="G1378" s="1572"/>
      <c r="H1378" s="1572"/>
      <c r="I1378" s="1572"/>
      <c r="J1378" s="1572"/>
      <c r="K1378" s="1573"/>
      <c r="L1378" s="1573"/>
      <c r="M1378" s="1573"/>
      <c r="N1378" s="1573"/>
      <c r="O1378" s="1573"/>
      <c r="P1378" s="1573"/>
      <c r="Q1378" s="1573"/>
      <c r="R1378" s="1573"/>
      <c r="S1378" s="1573"/>
      <c r="T1378" s="1573"/>
      <c r="U1378" s="1573"/>
      <c r="V1378" s="1573"/>
      <c r="W1378" s="1573"/>
      <c r="X1378" s="1573"/>
      <c r="Y1378" s="1574" t="s">
        <v>5920</v>
      </c>
      <c r="Z1378" s="1574"/>
      <c r="AA1378" s="1574"/>
      <c r="AB1378" s="1574"/>
      <c r="AC1378" s="1574"/>
      <c r="AD1378" s="1574"/>
      <c r="AE1378" s="1574"/>
      <c r="AF1378" s="1574"/>
      <c r="AG1378" s="1574"/>
      <c r="AH1378" s="1575" t="s">
        <v>6761</v>
      </c>
      <c r="AI1378" s="1575"/>
      <c r="AJ1378" s="1575"/>
      <c r="AK1378" s="1575"/>
      <c r="AL1378" s="1575"/>
    </row>
    <row r="1379" spans="1:38" ht="6" customHeight="1">
      <c r="C1379" s="1572"/>
      <c r="D1379" s="1572"/>
      <c r="E1379" s="1572"/>
      <c r="F1379" s="1572"/>
      <c r="G1379" s="1572"/>
      <c r="H1379" s="1572"/>
      <c r="I1379" s="1572"/>
      <c r="J1379" s="1572"/>
      <c r="K1379" s="1576" t="s">
        <v>1999</v>
      </c>
      <c r="L1379" s="1576"/>
      <c r="M1379" s="1576"/>
      <c r="N1379" s="1576"/>
      <c r="O1379" s="1576"/>
      <c r="P1379" s="1576"/>
      <c r="Q1379" s="1576"/>
      <c r="R1379" s="1576"/>
      <c r="S1379" s="1576"/>
      <c r="T1379" s="1576"/>
      <c r="U1379" s="1576"/>
      <c r="V1379" s="1576"/>
      <c r="W1379" s="1576"/>
      <c r="X1379" s="1576"/>
      <c r="Y1379" s="1574"/>
      <c r="Z1379" s="1574"/>
      <c r="AA1379" s="1574"/>
      <c r="AB1379" s="1574"/>
      <c r="AC1379" s="1574"/>
      <c r="AD1379" s="1574"/>
      <c r="AE1379" s="1574"/>
      <c r="AF1379" s="1574"/>
      <c r="AG1379" s="1574"/>
      <c r="AH1379" s="1575"/>
      <c r="AI1379" s="1575"/>
      <c r="AJ1379" s="1575"/>
      <c r="AK1379" s="1575"/>
      <c r="AL1379" s="1575"/>
    </row>
    <row r="1380" spans="1:38" ht="7.35" customHeight="1">
      <c r="C1380" s="1572" t="s">
        <v>1998</v>
      </c>
      <c r="D1380" s="1572"/>
      <c r="E1380" s="1572"/>
      <c r="F1380" s="1572"/>
      <c r="G1380" s="1577"/>
      <c r="H1380" s="1577"/>
      <c r="I1380" s="1577"/>
      <c r="J1380" s="1577"/>
      <c r="K1380" s="1577"/>
      <c r="L1380" s="1577"/>
      <c r="M1380" s="1577"/>
      <c r="N1380" s="1577"/>
      <c r="O1380" s="1577"/>
      <c r="P1380" s="1577"/>
      <c r="Q1380" s="1577"/>
      <c r="R1380" s="1577"/>
      <c r="S1380" s="1577"/>
      <c r="T1380" s="1577"/>
      <c r="U1380" s="1577"/>
      <c r="V1380" s="1577"/>
      <c r="W1380" s="1577"/>
      <c r="X1380" s="1577"/>
      <c r="Y1380" s="1577"/>
      <c r="Z1380" s="1577"/>
      <c r="AA1380" s="1577"/>
      <c r="AB1380" s="1577"/>
      <c r="AC1380" s="1577"/>
      <c r="AD1380" s="1577"/>
      <c r="AE1380" s="1577"/>
      <c r="AF1380" s="1574"/>
      <c r="AG1380" s="1574"/>
      <c r="AH1380" s="1574" t="s">
        <v>6762</v>
      </c>
      <c r="AI1380" s="1574"/>
    </row>
    <row r="1381" spans="1:38" ht="6.75" customHeight="1">
      <c r="G1381" s="1577"/>
      <c r="H1381" s="1577"/>
      <c r="I1381" s="1577"/>
      <c r="J1381" s="1577"/>
      <c r="K1381" s="1577"/>
      <c r="L1381" s="1577"/>
      <c r="M1381" s="1577"/>
      <c r="N1381" s="1577"/>
      <c r="O1381" s="1577"/>
      <c r="P1381" s="1577"/>
      <c r="Q1381" s="1577"/>
      <c r="R1381" s="1577"/>
      <c r="S1381" s="1577"/>
      <c r="T1381" s="1577"/>
      <c r="U1381" s="1577"/>
      <c r="V1381" s="1577"/>
      <c r="W1381" s="1577"/>
      <c r="X1381" s="1577"/>
      <c r="Y1381" s="1577"/>
      <c r="Z1381" s="1577"/>
      <c r="AA1381" s="1577"/>
      <c r="AB1381" s="1577"/>
      <c r="AC1381" s="1577"/>
      <c r="AD1381" s="1577"/>
      <c r="AE1381" s="1577"/>
      <c r="AF1381" s="1574"/>
      <c r="AG1381" s="1574"/>
      <c r="AH1381" s="1574"/>
      <c r="AI1381" s="1574"/>
    </row>
    <row r="1382" spans="1:38" ht="11.25" customHeight="1">
      <c r="O1382" s="1570" t="s">
        <v>1318</v>
      </c>
      <c r="P1382" s="1570"/>
      <c r="Q1382" s="1570"/>
      <c r="V1382" s="1570" t="s">
        <v>1319</v>
      </c>
      <c r="W1382" s="1570"/>
      <c r="X1382" s="1570"/>
      <c r="Y1382" s="1570"/>
      <c r="AD1382" s="1570" t="s">
        <v>1320</v>
      </c>
      <c r="AE1382" s="1570"/>
      <c r="AF1382" s="1570"/>
      <c r="AG1382" s="1570"/>
      <c r="AH1382" s="1570"/>
      <c r="AI1382" s="1570"/>
      <c r="AJ1382" s="1570"/>
    </row>
    <row r="1383" spans="1:38" ht="8.4499999999999993" customHeight="1">
      <c r="B1383" s="1571" t="s">
        <v>1321</v>
      </c>
      <c r="C1383" s="1571"/>
      <c r="D1383" s="1571"/>
      <c r="E1383" s="1571" t="s">
        <v>1322</v>
      </c>
      <c r="F1383" s="1571"/>
      <c r="G1383" s="1571"/>
      <c r="J1383" s="1571" t="s">
        <v>1323</v>
      </c>
      <c r="K1383" s="1571"/>
      <c r="L1383" s="1571"/>
      <c r="M1383" s="1571"/>
      <c r="N1383" s="1571"/>
      <c r="O1383" s="1402" t="s">
        <v>1324</v>
      </c>
      <c r="Q1383" s="1569" t="s">
        <v>1325</v>
      </c>
      <c r="R1383" s="1569"/>
      <c r="U1383" s="1569" t="s">
        <v>1324</v>
      </c>
      <c r="V1383" s="1569"/>
      <c r="X1383" s="1569" t="s">
        <v>1325</v>
      </c>
      <c r="Y1383" s="1569"/>
      <c r="Z1383" s="1569"/>
      <c r="AC1383" s="1569" t="s">
        <v>1324</v>
      </c>
      <c r="AD1383" s="1569"/>
      <c r="AE1383" s="1569"/>
      <c r="AF1383" s="1569"/>
      <c r="AH1383" s="1569" t="s">
        <v>1325</v>
      </c>
      <c r="AI1383" s="1569"/>
      <c r="AJ1383" s="1569"/>
      <c r="AK1383" s="1569"/>
    </row>
    <row r="1384" spans="1:38" ht="9.9499999999999993" customHeight="1">
      <c r="B1384" s="1568" t="s">
        <v>1326</v>
      </c>
      <c r="C1384" s="1568"/>
      <c r="D1384" s="1568"/>
      <c r="E1384" s="1568" t="s">
        <v>2631</v>
      </c>
      <c r="F1384" s="1568"/>
      <c r="G1384" s="1568"/>
      <c r="H1384" s="1568"/>
      <c r="J1384" s="1568" t="s">
        <v>2529</v>
      </c>
      <c r="K1384" s="1568"/>
      <c r="L1384" s="1568"/>
      <c r="M1384" s="1566">
        <v>709876.78</v>
      </c>
      <c r="N1384" s="1566"/>
      <c r="O1384" s="1566"/>
      <c r="P1384" s="1566">
        <v>0</v>
      </c>
      <c r="Q1384" s="1566"/>
      <c r="R1384" s="1566"/>
      <c r="S1384" s="1566">
        <v>0</v>
      </c>
      <c r="T1384" s="1566"/>
      <c r="U1384" s="1566"/>
      <c r="V1384" s="1566"/>
      <c r="W1384" s="1566">
        <v>13376.28</v>
      </c>
      <c r="X1384" s="1566"/>
      <c r="Y1384" s="1566"/>
      <c r="Z1384" s="1566"/>
      <c r="AA1384" s="1566">
        <v>696500.5</v>
      </c>
      <c r="AB1384" s="1566"/>
      <c r="AC1384" s="1566"/>
      <c r="AD1384" s="1566"/>
      <c r="AE1384" s="1566"/>
      <c r="AF1384" s="1566"/>
      <c r="AG1384" s="1566">
        <v>0</v>
      </c>
      <c r="AH1384" s="1566"/>
      <c r="AI1384" s="1566"/>
      <c r="AJ1384" s="1566"/>
      <c r="AK1384" s="1566"/>
    </row>
    <row r="1385" spans="1:38" ht="9.4" customHeight="1">
      <c r="B1385" s="1568" t="s">
        <v>1326</v>
      </c>
      <c r="C1385" s="1568"/>
      <c r="D1385" s="1568"/>
      <c r="E1385" s="1568" t="s">
        <v>2632</v>
      </c>
      <c r="F1385" s="1568"/>
      <c r="G1385" s="1568"/>
      <c r="H1385" s="1568"/>
      <c r="J1385" s="1568" t="s">
        <v>2531</v>
      </c>
      <c r="K1385" s="1568"/>
      <c r="L1385" s="1568"/>
      <c r="M1385" s="1566">
        <v>1408000</v>
      </c>
      <c r="N1385" s="1566"/>
      <c r="O1385" s="1566"/>
      <c r="P1385" s="1566">
        <v>0</v>
      </c>
      <c r="Q1385" s="1566"/>
      <c r="R1385" s="1566"/>
      <c r="S1385" s="1566">
        <v>0</v>
      </c>
      <c r="T1385" s="1566"/>
      <c r="U1385" s="1566"/>
      <c r="V1385" s="1566"/>
      <c r="W1385" s="1566">
        <v>0</v>
      </c>
      <c r="X1385" s="1566"/>
      <c r="Y1385" s="1566"/>
      <c r="Z1385" s="1566"/>
      <c r="AA1385" s="1566">
        <v>1408000</v>
      </c>
      <c r="AB1385" s="1566"/>
      <c r="AC1385" s="1566"/>
      <c r="AD1385" s="1566"/>
      <c r="AE1385" s="1566"/>
      <c r="AF1385" s="1566"/>
      <c r="AG1385" s="1566">
        <v>0</v>
      </c>
      <c r="AH1385" s="1566"/>
      <c r="AI1385" s="1566"/>
      <c r="AJ1385" s="1566"/>
      <c r="AK1385" s="1566"/>
    </row>
    <row r="1386" spans="1:38" ht="9.4" customHeight="1">
      <c r="B1386" s="1568" t="s">
        <v>1326</v>
      </c>
      <c r="C1386" s="1568"/>
      <c r="D1386" s="1568"/>
      <c r="E1386" s="1568" t="s">
        <v>2633</v>
      </c>
      <c r="F1386" s="1568"/>
      <c r="G1386" s="1568"/>
      <c r="H1386" s="1568"/>
      <c r="J1386" s="1568" t="s">
        <v>2533</v>
      </c>
      <c r="K1386" s="1568"/>
      <c r="L1386" s="1568"/>
      <c r="M1386" s="1566">
        <v>1873688.71</v>
      </c>
      <c r="N1386" s="1566"/>
      <c r="O1386" s="1566"/>
      <c r="P1386" s="1566">
        <v>0</v>
      </c>
      <c r="Q1386" s="1566"/>
      <c r="R1386" s="1566"/>
      <c r="S1386" s="1566">
        <v>0</v>
      </c>
      <c r="T1386" s="1566"/>
      <c r="U1386" s="1566"/>
      <c r="V1386" s="1566"/>
      <c r="W1386" s="1566">
        <v>125523.16</v>
      </c>
      <c r="X1386" s="1566"/>
      <c r="Y1386" s="1566"/>
      <c r="Z1386" s="1566"/>
      <c r="AA1386" s="1566">
        <v>1748165.55</v>
      </c>
      <c r="AB1386" s="1566"/>
      <c r="AC1386" s="1566"/>
      <c r="AD1386" s="1566"/>
      <c r="AE1386" s="1566"/>
      <c r="AF1386" s="1566"/>
      <c r="AG1386" s="1566">
        <v>0</v>
      </c>
      <c r="AH1386" s="1566"/>
      <c r="AI1386" s="1566"/>
      <c r="AJ1386" s="1566"/>
      <c r="AK1386" s="1566"/>
    </row>
    <row r="1387" spans="1:38" ht="9.4" customHeight="1">
      <c r="B1387" s="1568" t="s">
        <v>1326</v>
      </c>
      <c r="C1387" s="1568"/>
      <c r="D1387" s="1568"/>
      <c r="E1387" s="1568" t="s">
        <v>2634</v>
      </c>
      <c r="F1387" s="1568"/>
      <c r="G1387" s="1568"/>
      <c r="H1387" s="1568"/>
      <c r="J1387" s="1568" t="s">
        <v>2535</v>
      </c>
      <c r="K1387" s="1568"/>
      <c r="L1387" s="1568"/>
      <c r="M1387" s="1566">
        <v>359828.16</v>
      </c>
      <c r="N1387" s="1566"/>
      <c r="O1387" s="1566"/>
      <c r="P1387" s="1566">
        <v>0</v>
      </c>
      <c r="Q1387" s="1566"/>
      <c r="R1387" s="1566"/>
      <c r="S1387" s="1566">
        <v>0</v>
      </c>
      <c r="T1387" s="1566"/>
      <c r="U1387" s="1566"/>
      <c r="V1387" s="1566"/>
      <c r="W1387" s="1566">
        <v>0</v>
      </c>
      <c r="X1387" s="1566"/>
      <c r="Y1387" s="1566"/>
      <c r="Z1387" s="1566"/>
      <c r="AA1387" s="1566">
        <v>359828.16</v>
      </c>
      <c r="AB1387" s="1566"/>
      <c r="AC1387" s="1566"/>
      <c r="AD1387" s="1566"/>
      <c r="AE1387" s="1566"/>
      <c r="AF1387" s="1566"/>
      <c r="AG1387" s="1566">
        <v>0</v>
      </c>
      <c r="AH1387" s="1566"/>
      <c r="AI1387" s="1566"/>
      <c r="AJ1387" s="1566"/>
      <c r="AK1387" s="1566"/>
    </row>
    <row r="1388" spans="1:38" ht="9.4" customHeight="1">
      <c r="B1388" s="1568" t="s">
        <v>1326</v>
      </c>
      <c r="C1388" s="1568"/>
      <c r="D1388" s="1568"/>
      <c r="E1388" s="1568" t="s">
        <v>1697</v>
      </c>
      <c r="F1388" s="1568"/>
      <c r="G1388" s="1568"/>
      <c r="H1388" s="1568"/>
      <c r="J1388" s="1568" t="s">
        <v>1698</v>
      </c>
      <c r="K1388" s="1568"/>
      <c r="L1388" s="1568"/>
      <c r="M1388" s="1566">
        <v>0</v>
      </c>
      <c r="N1388" s="1566"/>
      <c r="O1388" s="1566"/>
      <c r="P1388" s="1566">
        <v>0</v>
      </c>
      <c r="Q1388" s="1566"/>
      <c r="R1388" s="1566"/>
      <c r="S1388" s="1566">
        <v>3736719.24</v>
      </c>
      <c r="T1388" s="1566"/>
      <c r="U1388" s="1566"/>
      <c r="V1388" s="1566"/>
      <c r="W1388" s="1566">
        <v>3736719.24</v>
      </c>
      <c r="X1388" s="1566"/>
      <c r="Y1388" s="1566"/>
      <c r="Z1388" s="1566"/>
      <c r="AA1388" s="1566">
        <v>0</v>
      </c>
      <c r="AB1388" s="1566"/>
      <c r="AC1388" s="1566"/>
      <c r="AD1388" s="1566"/>
      <c r="AE1388" s="1566"/>
      <c r="AF1388" s="1566"/>
      <c r="AG1388" s="1566">
        <v>0</v>
      </c>
      <c r="AH1388" s="1566"/>
      <c r="AI1388" s="1566"/>
      <c r="AJ1388" s="1566"/>
      <c r="AK1388" s="1566"/>
    </row>
    <row r="1389" spans="1:38" ht="9.4" customHeight="1">
      <c r="B1389" s="1568" t="s">
        <v>1326</v>
      </c>
      <c r="C1389" s="1568"/>
      <c r="D1389" s="1568"/>
      <c r="E1389" s="1568" t="s">
        <v>2635</v>
      </c>
      <c r="F1389" s="1568"/>
      <c r="G1389" s="1568"/>
      <c r="H1389" s="1568"/>
      <c r="J1389" s="1568" t="s">
        <v>2392</v>
      </c>
      <c r="K1389" s="1568"/>
      <c r="L1389" s="1568"/>
      <c r="M1389" s="1566">
        <v>0</v>
      </c>
      <c r="N1389" s="1566"/>
      <c r="O1389" s="1566"/>
      <c r="P1389" s="1566">
        <v>0</v>
      </c>
      <c r="Q1389" s="1566"/>
      <c r="R1389" s="1566"/>
      <c r="S1389" s="1566">
        <v>42271.5</v>
      </c>
      <c r="T1389" s="1566"/>
      <c r="U1389" s="1566"/>
      <c r="V1389" s="1566"/>
      <c r="W1389" s="1566">
        <v>42271.5</v>
      </c>
      <c r="X1389" s="1566"/>
      <c r="Y1389" s="1566"/>
      <c r="Z1389" s="1566"/>
      <c r="AA1389" s="1566">
        <v>0</v>
      </c>
      <c r="AB1389" s="1566"/>
      <c r="AC1389" s="1566"/>
      <c r="AD1389" s="1566"/>
      <c r="AE1389" s="1566"/>
      <c r="AF1389" s="1566"/>
      <c r="AG1389" s="1566">
        <v>0</v>
      </c>
      <c r="AH1389" s="1566"/>
      <c r="AI1389" s="1566"/>
      <c r="AJ1389" s="1566"/>
      <c r="AK1389" s="1566"/>
    </row>
    <row r="1390" spans="1:38" ht="9.4" customHeight="1">
      <c r="B1390" s="1568" t="s">
        <v>1326</v>
      </c>
      <c r="C1390" s="1568"/>
      <c r="D1390" s="1568"/>
      <c r="E1390" s="1568" t="s">
        <v>2636</v>
      </c>
      <c r="F1390" s="1568"/>
      <c r="G1390" s="1568"/>
      <c r="H1390" s="1568"/>
      <c r="J1390" s="1568" t="s">
        <v>2401</v>
      </c>
      <c r="K1390" s="1568"/>
      <c r="L1390" s="1568"/>
      <c r="M1390" s="1566">
        <v>0</v>
      </c>
      <c r="N1390" s="1566"/>
      <c r="O1390" s="1566"/>
      <c r="P1390" s="1566">
        <v>0</v>
      </c>
      <c r="Q1390" s="1566"/>
      <c r="R1390" s="1566"/>
      <c r="S1390" s="1566">
        <v>7186.16</v>
      </c>
      <c r="T1390" s="1566"/>
      <c r="U1390" s="1566"/>
      <c r="V1390" s="1566"/>
      <c r="W1390" s="1566">
        <v>7186.16</v>
      </c>
      <c r="X1390" s="1566"/>
      <c r="Y1390" s="1566"/>
      <c r="Z1390" s="1566"/>
      <c r="AA1390" s="1566">
        <v>0</v>
      </c>
      <c r="AB1390" s="1566"/>
      <c r="AC1390" s="1566"/>
      <c r="AD1390" s="1566"/>
      <c r="AE1390" s="1566"/>
      <c r="AF1390" s="1566"/>
      <c r="AG1390" s="1566">
        <v>0</v>
      </c>
      <c r="AH1390" s="1566"/>
      <c r="AI1390" s="1566"/>
      <c r="AJ1390" s="1566"/>
      <c r="AK1390" s="1566"/>
    </row>
    <row r="1391" spans="1:38" ht="9.4" customHeight="1">
      <c r="B1391" s="1568" t="s">
        <v>1326</v>
      </c>
      <c r="C1391" s="1568"/>
      <c r="D1391" s="1568"/>
      <c r="E1391" s="1568" t="s">
        <v>2637</v>
      </c>
      <c r="F1391" s="1568"/>
      <c r="G1391" s="1568"/>
      <c r="H1391" s="1568"/>
      <c r="J1391" s="1568" t="s">
        <v>2403</v>
      </c>
      <c r="K1391" s="1568"/>
      <c r="L1391" s="1568"/>
      <c r="M1391" s="1566">
        <v>0</v>
      </c>
      <c r="N1391" s="1566"/>
      <c r="O1391" s="1566"/>
      <c r="P1391" s="1566">
        <v>0</v>
      </c>
      <c r="Q1391" s="1566"/>
      <c r="R1391" s="1566"/>
      <c r="S1391" s="1566">
        <v>205.09</v>
      </c>
      <c r="T1391" s="1566"/>
      <c r="U1391" s="1566"/>
      <c r="V1391" s="1566"/>
      <c r="W1391" s="1566">
        <v>205.09</v>
      </c>
      <c r="X1391" s="1566"/>
      <c r="Y1391" s="1566"/>
      <c r="Z1391" s="1566"/>
      <c r="AA1391" s="1566">
        <v>0</v>
      </c>
      <c r="AB1391" s="1566"/>
      <c r="AC1391" s="1566"/>
      <c r="AD1391" s="1566"/>
      <c r="AE1391" s="1566"/>
      <c r="AF1391" s="1566"/>
      <c r="AG1391" s="1566">
        <v>0</v>
      </c>
      <c r="AH1391" s="1566"/>
      <c r="AI1391" s="1566"/>
      <c r="AJ1391" s="1566"/>
      <c r="AK1391" s="1566"/>
    </row>
    <row r="1392" spans="1:38" ht="9.4" customHeight="1">
      <c r="B1392" s="1568" t="s">
        <v>1326</v>
      </c>
      <c r="C1392" s="1568"/>
      <c r="D1392" s="1568"/>
      <c r="E1392" s="1568" t="s">
        <v>2638</v>
      </c>
      <c r="F1392" s="1568"/>
      <c r="G1392" s="1568"/>
      <c r="H1392" s="1568"/>
      <c r="J1392" s="1568" t="s">
        <v>2405</v>
      </c>
      <c r="K1392" s="1568"/>
      <c r="L1392" s="1568"/>
      <c r="M1392" s="1566">
        <v>0</v>
      </c>
      <c r="N1392" s="1566"/>
      <c r="O1392" s="1566"/>
      <c r="P1392" s="1566">
        <v>0</v>
      </c>
      <c r="Q1392" s="1566"/>
      <c r="R1392" s="1566"/>
      <c r="S1392" s="1566">
        <v>3495.18</v>
      </c>
      <c r="T1392" s="1566"/>
      <c r="U1392" s="1566"/>
      <c r="V1392" s="1566"/>
      <c r="W1392" s="1566">
        <v>3495.18</v>
      </c>
      <c r="X1392" s="1566"/>
      <c r="Y1392" s="1566"/>
      <c r="Z1392" s="1566"/>
      <c r="AA1392" s="1566">
        <v>0</v>
      </c>
      <c r="AB1392" s="1566"/>
      <c r="AC1392" s="1566"/>
      <c r="AD1392" s="1566"/>
      <c r="AE1392" s="1566"/>
      <c r="AF1392" s="1566"/>
      <c r="AG1392" s="1566">
        <v>0</v>
      </c>
      <c r="AH1392" s="1566"/>
      <c r="AI1392" s="1566"/>
      <c r="AJ1392" s="1566"/>
      <c r="AK1392" s="1566"/>
    </row>
    <row r="1393" spans="2:37" ht="9.4" customHeight="1">
      <c r="B1393" s="1568" t="s">
        <v>1326</v>
      </c>
      <c r="C1393" s="1568"/>
      <c r="D1393" s="1568"/>
      <c r="E1393" s="1568" t="s">
        <v>2639</v>
      </c>
      <c r="F1393" s="1568"/>
      <c r="G1393" s="1568"/>
      <c r="H1393" s="1568"/>
      <c r="J1393" s="1568" t="s">
        <v>2407</v>
      </c>
      <c r="K1393" s="1568"/>
      <c r="L1393" s="1568"/>
      <c r="M1393" s="1566">
        <v>0</v>
      </c>
      <c r="N1393" s="1566"/>
      <c r="O1393" s="1566"/>
      <c r="P1393" s="1566">
        <v>0</v>
      </c>
      <c r="Q1393" s="1566"/>
      <c r="R1393" s="1566"/>
      <c r="S1393" s="1566">
        <v>2688.6</v>
      </c>
      <c r="T1393" s="1566"/>
      <c r="U1393" s="1566"/>
      <c r="V1393" s="1566"/>
      <c r="W1393" s="1566">
        <v>2688.6</v>
      </c>
      <c r="X1393" s="1566"/>
      <c r="Y1393" s="1566"/>
      <c r="Z1393" s="1566"/>
      <c r="AA1393" s="1566">
        <v>0</v>
      </c>
      <c r="AB1393" s="1566"/>
      <c r="AC1393" s="1566"/>
      <c r="AD1393" s="1566"/>
      <c r="AE1393" s="1566"/>
      <c r="AF1393" s="1566"/>
      <c r="AG1393" s="1566">
        <v>0</v>
      </c>
      <c r="AH1393" s="1566"/>
      <c r="AI1393" s="1566"/>
      <c r="AJ1393" s="1566"/>
      <c r="AK1393" s="1566"/>
    </row>
    <row r="1394" spans="2:37" ht="9.4" customHeight="1">
      <c r="B1394" s="1568" t="s">
        <v>1326</v>
      </c>
      <c r="C1394" s="1568"/>
      <c r="D1394" s="1568"/>
      <c r="E1394" s="1568" t="s">
        <v>3329</v>
      </c>
      <c r="F1394" s="1568"/>
      <c r="G1394" s="1568"/>
      <c r="H1394" s="1568"/>
      <c r="J1394" s="1568" t="s">
        <v>2409</v>
      </c>
      <c r="K1394" s="1568"/>
      <c r="L1394" s="1568"/>
      <c r="M1394" s="1566">
        <v>0</v>
      </c>
      <c r="N1394" s="1566"/>
      <c r="O1394" s="1566"/>
      <c r="P1394" s="1566">
        <v>0</v>
      </c>
      <c r="Q1394" s="1566"/>
      <c r="R1394" s="1566"/>
      <c r="S1394" s="1566">
        <v>309570.68</v>
      </c>
      <c r="T1394" s="1566"/>
      <c r="U1394" s="1566"/>
      <c r="V1394" s="1566"/>
      <c r="W1394" s="1566">
        <v>309570.68</v>
      </c>
      <c r="X1394" s="1566"/>
      <c r="Y1394" s="1566"/>
      <c r="Z1394" s="1566"/>
      <c r="AA1394" s="1566">
        <v>0</v>
      </c>
      <c r="AB1394" s="1566"/>
      <c r="AC1394" s="1566"/>
      <c r="AD1394" s="1566"/>
      <c r="AE1394" s="1566"/>
      <c r="AF1394" s="1566"/>
      <c r="AG1394" s="1566">
        <v>0</v>
      </c>
      <c r="AH1394" s="1566"/>
      <c r="AI1394" s="1566"/>
      <c r="AJ1394" s="1566"/>
      <c r="AK1394" s="1566"/>
    </row>
    <row r="1395" spans="2:37" ht="9.4" customHeight="1">
      <c r="B1395" s="1568" t="s">
        <v>1326</v>
      </c>
      <c r="C1395" s="1568"/>
      <c r="D1395" s="1568"/>
      <c r="E1395" s="1568" t="s">
        <v>3330</v>
      </c>
      <c r="F1395" s="1568"/>
      <c r="G1395" s="1568"/>
      <c r="H1395" s="1568"/>
      <c r="J1395" s="1568" t="s">
        <v>2409</v>
      </c>
      <c r="K1395" s="1568"/>
      <c r="L1395" s="1568"/>
      <c r="M1395" s="1566">
        <v>0</v>
      </c>
      <c r="N1395" s="1566"/>
      <c r="O1395" s="1566"/>
      <c r="P1395" s="1566">
        <v>0</v>
      </c>
      <c r="Q1395" s="1566"/>
      <c r="R1395" s="1566"/>
      <c r="S1395" s="1566">
        <v>105454.58</v>
      </c>
      <c r="T1395" s="1566"/>
      <c r="U1395" s="1566"/>
      <c r="V1395" s="1566"/>
      <c r="W1395" s="1566">
        <v>105454.58</v>
      </c>
      <c r="X1395" s="1566"/>
      <c r="Y1395" s="1566"/>
      <c r="Z1395" s="1566"/>
      <c r="AA1395" s="1566">
        <v>0</v>
      </c>
      <c r="AB1395" s="1566"/>
      <c r="AC1395" s="1566"/>
      <c r="AD1395" s="1566"/>
      <c r="AE1395" s="1566"/>
      <c r="AF1395" s="1566"/>
      <c r="AG1395" s="1566">
        <v>0</v>
      </c>
      <c r="AH1395" s="1566"/>
      <c r="AI1395" s="1566"/>
      <c r="AJ1395" s="1566"/>
      <c r="AK1395" s="1566"/>
    </row>
    <row r="1396" spans="2:37" ht="9.4" customHeight="1">
      <c r="B1396" s="1568" t="s">
        <v>1326</v>
      </c>
      <c r="C1396" s="1568"/>
      <c r="D1396" s="1568"/>
      <c r="E1396" s="1568" t="s">
        <v>3331</v>
      </c>
      <c r="F1396" s="1568"/>
      <c r="G1396" s="1568"/>
      <c r="H1396" s="1568"/>
      <c r="J1396" s="1568" t="s">
        <v>2409</v>
      </c>
      <c r="K1396" s="1568"/>
      <c r="L1396" s="1568"/>
      <c r="M1396" s="1566">
        <v>0</v>
      </c>
      <c r="N1396" s="1566"/>
      <c r="O1396" s="1566"/>
      <c r="P1396" s="1566">
        <v>0</v>
      </c>
      <c r="Q1396" s="1566"/>
      <c r="R1396" s="1566"/>
      <c r="S1396" s="1566">
        <v>78500</v>
      </c>
      <c r="T1396" s="1566"/>
      <c r="U1396" s="1566"/>
      <c r="V1396" s="1566"/>
      <c r="W1396" s="1566">
        <v>78500</v>
      </c>
      <c r="X1396" s="1566"/>
      <c r="Y1396" s="1566"/>
      <c r="Z1396" s="1566"/>
      <c r="AA1396" s="1566">
        <v>0</v>
      </c>
      <c r="AB1396" s="1566"/>
      <c r="AC1396" s="1566"/>
      <c r="AD1396" s="1566"/>
      <c r="AE1396" s="1566"/>
      <c r="AF1396" s="1566"/>
      <c r="AG1396" s="1566">
        <v>0</v>
      </c>
      <c r="AH1396" s="1566"/>
      <c r="AI1396" s="1566"/>
      <c r="AJ1396" s="1566"/>
      <c r="AK1396" s="1566"/>
    </row>
    <row r="1397" spans="2:37" ht="9.4" customHeight="1">
      <c r="B1397" s="1568" t="s">
        <v>1326</v>
      </c>
      <c r="C1397" s="1568"/>
      <c r="D1397" s="1568"/>
      <c r="E1397" s="1568" t="s">
        <v>2640</v>
      </c>
      <c r="F1397" s="1568"/>
      <c r="G1397" s="1568"/>
      <c r="H1397" s="1568"/>
      <c r="J1397" s="1568" t="s">
        <v>2392</v>
      </c>
      <c r="K1397" s="1568"/>
      <c r="L1397" s="1568"/>
      <c r="M1397" s="1566">
        <v>0</v>
      </c>
      <c r="N1397" s="1566"/>
      <c r="O1397" s="1566"/>
      <c r="P1397" s="1566">
        <v>0</v>
      </c>
      <c r="Q1397" s="1566"/>
      <c r="R1397" s="1566"/>
      <c r="S1397" s="1566">
        <v>213436.2</v>
      </c>
      <c r="T1397" s="1566"/>
      <c r="U1397" s="1566"/>
      <c r="V1397" s="1566"/>
      <c r="W1397" s="1566">
        <v>213436.2</v>
      </c>
      <c r="X1397" s="1566"/>
      <c r="Y1397" s="1566"/>
      <c r="Z1397" s="1566"/>
      <c r="AA1397" s="1566">
        <v>0</v>
      </c>
      <c r="AB1397" s="1566"/>
      <c r="AC1397" s="1566"/>
      <c r="AD1397" s="1566"/>
      <c r="AE1397" s="1566"/>
      <c r="AF1397" s="1566"/>
      <c r="AG1397" s="1566">
        <v>0</v>
      </c>
      <c r="AH1397" s="1566"/>
      <c r="AI1397" s="1566"/>
      <c r="AJ1397" s="1566"/>
      <c r="AK1397" s="1566"/>
    </row>
    <row r="1398" spans="2:37" ht="9.4" customHeight="1">
      <c r="B1398" s="1568" t="s">
        <v>1326</v>
      </c>
      <c r="C1398" s="1568"/>
      <c r="D1398" s="1568"/>
      <c r="E1398" s="1568" t="s">
        <v>2641</v>
      </c>
      <c r="F1398" s="1568"/>
      <c r="G1398" s="1568"/>
      <c r="H1398" s="1568"/>
      <c r="J1398" s="1568" t="s">
        <v>2401</v>
      </c>
      <c r="K1398" s="1568"/>
      <c r="L1398" s="1568"/>
      <c r="M1398" s="1566">
        <v>0</v>
      </c>
      <c r="N1398" s="1566"/>
      <c r="O1398" s="1566"/>
      <c r="P1398" s="1566">
        <v>0</v>
      </c>
      <c r="Q1398" s="1566"/>
      <c r="R1398" s="1566"/>
      <c r="S1398" s="1566">
        <v>36284.199999999997</v>
      </c>
      <c r="T1398" s="1566"/>
      <c r="U1398" s="1566"/>
      <c r="V1398" s="1566"/>
      <c r="W1398" s="1566">
        <v>36284.199999999997</v>
      </c>
      <c r="X1398" s="1566"/>
      <c r="Y1398" s="1566"/>
      <c r="Z1398" s="1566"/>
      <c r="AA1398" s="1566">
        <v>0</v>
      </c>
      <c r="AB1398" s="1566"/>
      <c r="AC1398" s="1566"/>
      <c r="AD1398" s="1566"/>
      <c r="AE1398" s="1566"/>
      <c r="AF1398" s="1566"/>
      <c r="AG1398" s="1566">
        <v>0</v>
      </c>
      <c r="AH1398" s="1566"/>
      <c r="AI1398" s="1566"/>
      <c r="AJ1398" s="1566"/>
      <c r="AK1398" s="1566"/>
    </row>
    <row r="1399" spans="2:37" ht="9.4" customHeight="1">
      <c r="B1399" s="1568" t="s">
        <v>1326</v>
      </c>
      <c r="C1399" s="1568"/>
      <c r="D1399" s="1568"/>
      <c r="E1399" s="1568" t="s">
        <v>2642</v>
      </c>
      <c r="F1399" s="1568"/>
      <c r="G1399" s="1568"/>
      <c r="H1399" s="1568"/>
      <c r="J1399" s="1568" t="s">
        <v>2403</v>
      </c>
      <c r="K1399" s="1568"/>
      <c r="L1399" s="1568"/>
      <c r="M1399" s="1566">
        <v>0</v>
      </c>
      <c r="N1399" s="1566"/>
      <c r="O1399" s="1566"/>
      <c r="P1399" s="1566">
        <v>0</v>
      </c>
      <c r="Q1399" s="1566"/>
      <c r="R1399" s="1566"/>
      <c r="S1399" s="1566">
        <v>656.3</v>
      </c>
      <c r="T1399" s="1566"/>
      <c r="U1399" s="1566"/>
      <c r="V1399" s="1566"/>
      <c r="W1399" s="1566">
        <v>656.3</v>
      </c>
      <c r="X1399" s="1566"/>
      <c r="Y1399" s="1566"/>
      <c r="Z1399" s="1566"/>
      <c r="AA1399" s="1566">
        <v>0</v>
      </c>
      <c r="AB1399" s="1566"/>
      <c r="AC1399" s="1566"/>
      <c r="AD1399" s="1566"/>
      <c r="AE1399" s="1566"/>
      <c r="AF1399" s="1566"/>
      <c r="AG1399" s="1566">
        <v>0</v>
      </c>
      <c r="AH1399" s="1566"/>
      <c r="AI1399" s="1566"/>
      <c r="AJ1399" s="1566"/>
      <c r="AK1399" s="1566"/>
    </row>
    <row r="1400" spans="2:37" ht="9.4" customHeight="1">
      <c r="B1400" s="1568" t="s">
        <v>1326</v>
      </c>
      <c r="C1400" s="1568"/>
      <c r="D1400" s="1568"/>
      <c r="E1400" s="1568" t="s">
        <v>2644</v>
      </c>
      <c r="F1400" s="1568"/>
      <c r="G1400" s="1568"/>
      <c r="H1400" s="1568"/>
      <c r="J1400" s="1568" t="s">
        <v>2405</v>
      </c>
      <c r="K1400" s="1568"/>
      <c r="L1400" s="1568"/>
      <c r="M1400" s="1566">
        <v>0</v>
      </c>
      <c r="N1400" s="1566"/>
      <c r="O1400" s="1566"/>
      <c r="P1400" s="1566">
        <v>0</v>
      </c>
      <c r="Q1400" s="1566"/>
      <c r="R1400" s="1566"/>
      <c r="S1400" s="1566">
        <v>20971.080000000002</v>
      </c>
      <c r="T1400" s="1566"/>
      <c r="U1400" s="1566"/>
      <c r="V1400" s="1566"/>
      <c r="W1400" s="1566">
        <v>20971.080000000002</v>
      </c>
      <c r="X1400" s="1566"/>
      <c r="Y1400" s="1566"/>
      <c r="Z1400" s="1566"/>
      <c r="AA1400" s="1566">
        <v>0</v>
      </c>
      <c r="AB1400" s="1566"/>
      <c r="AC1400" s="1566"/>
      <c r="AD1400" s="1566"/>
      <c r="AE1400" s="1566"/>
      <c r="AF1400" s="1566"/>
      <c r="AG1400" s="1566">
        <v>0</v>
      </c>
      <c r="AH1400" s="1566"/>
      <c r="AI1400" s="1566"/>
      <c r="AJ1400" s="1566"/>
      <c r="AK1400" s="1566"/>
    </row>
    <row r="1401" spans="2:37" ht="9.4" customHeight="1">
      <c r="B1401" s="1568" t="s">
        <v>1326</v>
      </c>
      <c r="C1401" s="1568"/>
      <c r="D1401" s="1568"/>
      <c r="E1401" s="1568" t="s">
        <v>2645</v>
      </c>
      <c r="F1401" s="1568"/>
      <c r="G1401" s="1568"/>
      <c r="H1401" s="1568"/>
      <c r="J1401" s="1568" t="s">
        <v>2407</v>
      </c>
      <c r="K1401" s="1568"/>
      <c r="L1401" s="1568"/>
      <c r="M1401" s="1566">
        <v>0</v>
      </c>
      <c r="N1401" s="1566"/>
      <c r="O1401" s="1566"/>
      <c r="P1401" s="1566">
        <v>0</v>
      </c>
      <c r="Q1401" s="1566"/>
      <c r="R1401" s="1566"/>
      <c r="S1401" s="1566">
        <v>16131.6</v>
      </c>
      <c r="T1401" s="1566"/>
      <c r="U1401" s="1566"/>
      <c r="V1401" s="1566"/>
      <c r="W1401" s="1566">
        <v>16131.6</v>
      </c>
      <c r="X1401" s="1566"/>
      <c r="Y1401" s="1566"/>
      <c r="Z1401" s="1566"/>
      <c r="AA1401" s="1566">
        <v>0</v>
      </c>
      <c r="AB1401" s="1566"/>
      <c r="AC1401" s="1566"/>
      <c r="AD1401" s="1566"/>
      <c r="AE1401" s="1566"/>
      <c r="AF1401" s="1566"/>
      <c r="AG1401" s="1566">
        <v>0</v>
      </c>
      <c r="AH1401" s="1566"/>
      <c r="AI1401" s="1566"/>
      <c r="AJ1401" s="1566"/>
      <c r="AK1401" s="1566"/>
    </row>
    <row r="1402" spans="2:37" ht="9.4" customHeight="1">
      <c r="B1402" s="1568" t="s">
        <v>1326</v>
      </c>
      <c r="C1402" s="1568"/>
      <c r="D1402" s="1568"/>
      <c r="E1402" s="1568" t="s">
        <v>2867</v>
      </c>
      <c r="F1402" s="1568"/>
      <c r="G1402" s="1568"/>
      <c r="H1402" s="1568"/>
      <c r="J1402" s="1568" t="s">
        <v>2421</v>
      </c>
      <c r="K1402" s="1568"/>
      <c r="L1402" s="1568"/>
      <c r="M1402" s="1566">
        <v>0</v>
      </c>
      <c r="N1402" s="1566"/>
      <c r="O1402" s="1566"/>
      <c r="P1402" s="1566">
        <v>0</v>
      </c>
      <c r="Q1402" s="1566"/>
      <c r="R1402" s="1566"/>
      <c r="S1402" s="1566">
        <v>24245.5</v>
      </c>
      <c r="T1402" s="1566"/>
      <c r="U1402" s="1566"/>
      <c r="V1402" s="1566"/>
      <c r="W1402" s="1566">
        <v>24245.5</v>
      </c>
      <c r="X1402" s="1566"/>
      <c r="Y1402" s="1566"/>
      <c r="Z1402" s="1566"/>
      <c r="AA1402" s="1566">
        <v>0</v>
      </c>
      <c r="AB1402" s="1566"/>
      <c r="AC1402" s="1566"/>
      <c r="AD1402" s="1566"/>
      <c r="AE1402" s="1566"/>
      <c r="AF1402" s="1566"/>
      <c r="AG1402" s="1566">
        <v>0</v>
      </c>
      <c r="AH1402" s="1566"/>
      <c r="AI1402" s="1566"/>
      <c r="AJ1402" s="1566"/>
      <c r="AK1402" s="1566"/>
    </row>
    <row r="1403" spans="2:37" ht="9.4" customHeight="1">
      <c r="B1403" s="1568" t="s">
        <v>1326</v>
      </c>
      <c r="C1403" s="1568"/>
      <c r="D1403" s="1568"/>
      <c r="E1403" s="1568" t="s">
        <v>2646</v>
      </c>
      <c r="F1403" s="1568"/>
      <c r="G1403" s="1568"/>
      <c r="H1403" s="1568"/>
      <c r="J1403" s="1568" t="s">
        <v>2423</v>
      </c>
      <c r="K1403" s="1568"/>
      <c r="L1403" s="1568"/>
      <c r="M1403" s="1566">
        <v>0</v>
      </c>
      <c r="N1403" s="1566"/>
      <c r="O1403" s="1566"/>
      <c r="P1403" s="1566">
        <v>0</v>
      </c>
      <c r="Q1403" s="1566"/>
      <c r="R1403" s="1566"/>
      <c r="S1403" s="1566">
        <v>351664.54</v>
      </c>
      <c r="T1403" s="1566"/>
      <c r="U1403" s="1566"/>
      <c r="V1403" s="1566"/>
      <c r="W1403" s="1566">
        <v>351664.54</v>
      </c>
      <c r="X1403" s="1566"/>
      <c r="Y1403" s="1566"/>
      <c r="Z1403" s="1566"/>
      <c r="AA1403" s="1566">
        <v>0</v>
      </c>
      <c r="AB1403" s="1566"/>
      <c r="AC1403" s="1566"/>
      <c r="AD1403" s="1566"/>
      <c r="AE1403" s="1566"/>
      <c r="AF1403" s="1566"/>
      <c r="AG1403" s="1566">
        <v>0</v>
      </c>
      <c r="AH1403" s="1566"/>
      <c r="AI1403" s="1566"/>
      <c r="AJ1403" s="1566"/>
      <c r="AK1403" s="1566"/>
    </row>
    <row r="1404" spans="2:37" ht="9.4" customHeight="1">
      <c r="B1404" s="1568" t="s">
        <v>1326</v>
      </c>
      <c r="C1404" s="1568"/>
      <c r="D1404" s="1568"/>
      <c r="E1404" s="1568" t="s">
        <v>2647</v>
      </c>
      <c r="F1404" s="1568"/>
      <c r="G1404" s="1568"/>
      <c r="H1404" s="1568"/>
      <c r="J1404" s="1568" t="s">
        <v>2426</v>
      </c>
      <c r="K1404" s="1568"/>
      <c r="L1404" s="1568"/>
      <c r="M1404" s="1566">
        <v>0</v>
      </c>
      <c r="N1404" s="1566"/>
      <c r="O1404" s="1566"/>
      <c r="P1404" s="1566">
        <v>0</v>
      </c>
      <c r="Q1404" s="1566"/>
      <c r="R1404" s="1566"/>
      <c r="S1404" s="1566">
        <v>15656.85</v>
      </c>
      <c r="T1404" s="1566"/>
      <c r="U1404" s="1566"/>
      <c r="V1404" s="1566"/>
      <c r="W1404" s="1566">
        <v>15656.85</v>
      </c>
      <c r="X1404" s="1566"/>
      <c r="Y1404" s="1566"/>
      <c r="Z1404" s="1566"/>
      <c r="AA1404" s="1566">
        <v>0</v>
      </c>
      <c r="AB1404" s="1566"/>
      <c r="AC1404" s="1566"/>
      <c r="AD1404" s="1566"/>
      <c r="AE1404" s="1566"/>
      <c r="AF1404" s="1566"/>
      <c r="AG1404" s="1566">
        <v>0</v>
      </c>
      <c r="AH1404" s="1566"/>
      <c r="AI1404" s="1566"/>
      <c r="AJ1404" s="1566"/>
      <c r="AK1404" s="1566"/>
    </row>
    <row r="1405" spans="2:37" ht="9.4" customHeight="1">
      <c r="B1405" s="1568" t="s">
        <v>1326</v>
      </c>
      <c r="C1405" s="1568"/>
      <c r="D1405" s="1568"/>
      <c r="E1405" s="1568" t="s">
        <v>2648</v>
      </c>
      <c r="F1405" s="1568"/>
      <c r="G1405" s="1568"/>
      <c r="H1405" s="1568"/>
      <c r="J1405" s="1568" t="s">
        <v>2428</v>
      </c>
      <c r="K1405" s="1568"/>
      <c r="L1405" s="1568"/>
      <c r="M1405" s="1566">
        <v>0</v>
      </c>
      <c r="N1405" s="1566"/>
      <c r="O1405" s="1566"/>
      <c r="P1405" s="1566">
        <v>0</v>
      </c>
      <c r="Q1405" s="1566"/>
      <c r="R1405" s="1566"/>
      <c r="S1405" s="1566">
        <v>401511.32</v>
      </c>
      <c r="T1405" s="1566"/>
      <c r="U1405" s="1566"/>
      <c r="V1405" s="1566"/>
      <c r="W1405" s="1566">
        <v>401511.32</v>
      </c>
      <c r="X1405" s="1566"/>
      <c r="Y1405" s="1566"/>
      <c r="Z1405" s="1566"/>
      <c r="AA1405" s="1566">
        <v>0</v>
      </c>
      <c r="AB1405" s="1566"/>
      <c r="AC1405" s="1566"/>
      <c r="AD1405" s="1566"/>
      <c r="AE1405" s="1566"/>
      <c r="AF1405" s="1566"/>
      <c r="AG1405" s="1566">
        <v>0</v>
      </c>
      <c r="AH1405" s="1566"/>
      <c r="AI1405" s="1566"/>
      <c r="AJ1405" s="1566"/>
      <c r="AK1405" s="1566"/>
    </row>
    <row r="1406" spans="2:37" ht="9.1999999999999993" customHeight="1">
      <c r="J1406" s="1568"/>
      <c r="K1406" s="1568"/>
      <c r="L1406" s="1568"/>
    </row>
    <row r="1407" spans="2:37" ht="8.4499999999999993" customHeight="1">
      <c r="B1407" s="1568" t="s">
        <v>1326</v>
      </c>
      <c r="C1407" s="1568"/>
      <c r="D1407" s="1568"/>
      <c r="E1407" s="1568" t="s">
        <v>6252</v>
      </c>
      <c r="F1407" s="1568"/>
      <c r="G1407" s="1568"/>
      <c r="H1407" s="1568"/>
      <c r="J1407" s="1568" t="s">
        <v>2421</v>
      </c>
      <c r="K1407" s="1568"/>
      <c r="L1407" s="1568"/>
      <c r="M1407" s="1566">
        <v>0</v>
      </c>
      <c r="N1407" s="1566"/>
      <c r="O1407" s="1566"/>
      <c r="P1407" s="1566">
        <v>0</v>
      </c>
      <c r="Q1407" s="1566"/>
      <c r="R1407" s="1566"/>
      <c r="S1407" s="1566">
        <v>7400</v>
      </c>
      <c r="T1407" s="1566"/>
      <c r="U1407" s="1566"/>
      <c r="V1407" s="1566"/>
      <c r="W1407" s="1566">
        <v>7400</v>
      </c>
      <c r="X1407" s="1566"/>
      <c r="Y1407" s="1566"/>
      <c r="Z1407" s="1566"/>
      <c r="AA1407" s="1566">
        <v>0</v>
      </c>
      <c r="AB1407" s="1566"/>
      <c r="AC1407" s="1566"/>
      <c r="AD1407" s="1566"/>
      <c r="AE1407" s="1566"/>
      <c r="AF1407" s="1566"/>
      <c r="AG1407" s="1566">
        <v>0</v>
      </c>
      <c r="AH1407" s="1566"/>
      <c r="AI1407" s="1566"/>
      <c r="AJ1407" s="1566"/>
      <c r="AK1407" s="1566"/>
    </row>
    <row r="1408" spans="2:37" ht="9.4" customHeight="1">
      <c r="B1408" s="1568" t="s">
        <v>1326</v>
      </c>
      <c r="C1408" s="1568"/>
      <c r="D1408" s="1568"/>
      <c r="E1408" s="1568" t="s">
        <v>2649</v>
      </c>
      <c r="F1408" s="1568"/>
      <c r="G1408" s="1568"/>
      <c r="H1408" s="1568"/>
      <c r="J1408" s="1568" t="s">
        <v>2423</v>
      </c>
      <c r="K1408" s="1568"/>
      <c r="L1408" s="1568"/>
      <c r="M1408" s="1566">
        <v>0</v>
      </c>
      <c r="N1408" s="1566"/>
      <c r="O1408" s="1566"/>
      <c r="P1408" s="1566">
        <v>0</v>
      </c>
      <c r="Q1408" s="1566"/>
      <c r="R1408" s="1566"/>
      <c r="S1408" s="1566">
        <v>139859.34</v>
      </c>
      <c r="T1408" s="1566"/>
      <c r="U1408" s="1566"/>
      <c r="V1408" s="1566"/>
      <c r="W1408" s="1566">
        <v>139859.34</v>
      </c>
      <c r="X1408" s="1566"/>
      <c r="Y1408" s="1566"/>
      <c r="Z1408" s="1566"/>
      <c r="AA1408" s="1566">
        <v>0</v>
      </c>
      <c r="AB1408" s="1566"/>
      <c r="AC1408" s="1566"/>
      <c r="AD1408" s="1566"/>
      <c r="AE1408" s="1566"/>
      <c r="AF1408" s="1566"/>
      <c r="AG1408" s="1566">
        <v>0</v>
      </c>
      <c r="AH1408" s="1566"/>
      <c r="AI1408" s="1566"/>
      <c r="AJ1408" s="1566"/>
      <c r="AK1408" s="1566"/>
    </row>
    <row r="1409" spans="2:37" ht="9.4" customHeight="1">
      <c r="B1409" s="1568" t="s">
        <v>1326</v>
      </c>
      <c r="C1409" s="1568"/>
      <c r="D1409" s="1568"/>
      <c r="E1409" s="1568" t="s">
        <v>6253</v>
      </c>
      <c r="F1409" s="1568"/>
      <c r="G1409" s="1568"/>
      <c r="H1409" s="1568"/>
      <c r="J1409" s="1568" t="s">
        <v>2428</v>
      </c>
      <c r="K1409" s="1568"/>
      <c r="L1409" s="1568"/>
      <c r="M1409" s="1566">
        <v>0</v>
      </c>
      <c r="N1409" s="1566"/>
      <c r="O1409" s="1566"/>
      <c r="P1409" s="1566">
        <v>0</v>
      </c>
      <c r="Q1409" s="1566"/>
      <c r="R1409" s="1566"/>
      <c r="S1409" s="1566">
        <v>87698.1</v>
      </c>
      <c r="T1409" s="1566"/>
      <c r="U1409" s="1566"/>
      <c r="V1409" s="1566"/>
      <c r="W1409" s="1566">
        <v>87698.1</v>
      </c>
      <c r="X1409" s="1566"/>
      <c r="Y1409" s="1566"/>
      <c r="Z1409" s="1566"/>
      <c r="AA1409" s="1566">
        <v>0</v>
      </c>
      <c r="AB1409" s="1566"/>
      <c r="AC1409" s="1566"/>
      <c r="AD1409" s="1566"/>
      <c r="AE1409" s="1566"/>
      <c r="AF1409" s="1566"/>
      <c r="AG1409" s="1566">
        <v>0</v>
      </c>
      <c r="AH1409" s="1566"/>
      <c r="AI1409" s="1566"/>
      <c r="AJ1409" s="1566"/>
      <c r="AK1409" s="1566"/>
    </row>
    <row r="1410" spans="2:37" ht="9.1999999999999993" customHeight="1">
      <c r="J1410" s="1568"/>
      <c r="K1410" s="1568"/>
      <c r="L1410" s="1568"/>
    </row>
    <row r="1411" spans="2:37" ht="8.4499999999999993" customHeight="1">
      <c r="B1411" s="1568" t="s">
        <v>1326</v>
      </c>
      <c r="C1411" s="1568"/>
      <c r="D1411" s="1568"/>
      <c r="E1411" s="1568" t="s">
        <v>6254</v>
      </c>
      <c r="F1411" s="1568"/>
      <c r="G1411" s="1568"/>
      <c r="H1411" s="1568"/>
      <c r="J1411" s="1568" t="s">
        <v>2421</v>
      </c>
      <c r="K1411" s="1568"/>
      <c r="L1411" s="1568"/>
      <c r="M1411" s="1566">
        <v>0</v>
      </c>
      <c r="N1411" s="1566"/>
      <c r="O1411" s="1566"/>
      <c r="P1411" s="1566">
        <v>0</v>
      </c>
      <c r="Q1411" s="1566"/>
      <c r="R1411" s="1566"/>
      <c r="S1411" s="1566">
        <v>2200</v>
      </c>
      <c r="T1411" s="1566"/>
      <c r="U1411" s="1566"/>
      <c r="V1411" s="1566"/>
      <c r="W1411" s="1566">
        <v>2200</v>
      </c>
      <c r="X1411" s="1566"/>
      <c r="Y1411" s="1566"/>
      <c r="Z1411" s="1566"/>
      <c r="AA1411" s="1566">
        <v>0</v>
      </c>
      <c r="AB1411" s="1566"/>
      <c r="AC1411" s="1566"/>
      <c r="AD1411" s="1566"/>
      <c r="AE1411" s="1566"/>
      <c r="AF1411" s="1566"/>
      <c r="AG1411" s="1566">
        <v>0</v>
      </c>
      <c r="AH1411" s="1566"/>
      <c r="AI1411" s="1566"/>
      <c r="AJ1411" s="1566"/>
      <c r="AK1411" s="1566"/>
    </row>
    <row r="1412" spans="2:37" ht="9.4" customHeight="1">
      <c r="B1412" s="1568" t="s">
        <v>1326</v>
      </c>
      <c r="C1412" s="1568"/>
      <c r="D1412" s="1568"/>
      <c r="E1412" s="1568" t="s">
        <v>2650</v>
      </c>
      <c r="F1412" s="1568"/>
      <c r="G1412" s="1568"/>
      <c r="H1412" s="1568"/>
      <c r="J1412" s="1568" t="s">
        <v>2423</v>
      </c>
      <c r="K1412" s="1568"/>
      <c r="L1412" s="1568"/>
      <c r="M1412" s="1566">
        <v>0</v>
      </c>
      <c r="N1412" s="1566"/>
      <c r="O1412" s="1566"/>
      <c r="P1412" s="1566">
        <v>0</v>
      </c>
      <c r="Q1412" s="1566"/>
      <c r="R1412" s="1566"/>
      <c r="S1412" s="1566">
        <v>31411.18</v>
      </c>
      <c r="T1412" s="1566"/>
      <c r="U1412" s="1566"/>
      <c r="V1412" s="1566"/>
      <c r="W1412" s="1566">
        <v>31411.18</v>
      </c>
      <c r="X1412" s="1566"/>
      <c r="Y1412" s="1566"/>
      <c r="Z1412" s="1566"/>
      <c r="AA1412" s="1566">
        <v>0</v>
      </c>
      <c r="AB1412" s="1566"/>
      <c r="AC1412" s="1566"/>
      <c r="AD1412" s="1566"/>
      <c r="AE1412" s="1566"/>
      <c r="AF1412" s="1566"/>
      <c r="AG1412" s="1566">
        <v>0</v>
      </c>
      <c r="AH1412" s="1566"/>
      <c r="AI1412" s="1566"/>
      <c r="AJ1412" s="1566"/>
      <c r="AK1412" s="1566"/>
    </row>
    <row r="1413" spans="2:37" ht="9.4" customHeight="1">
      <c r="B1413" s="1568" t="s">
        <v>1326</v>
      </c>
      <c r="C1413" s="1568"/>
      <c r="D1413" s="1568"/>
      <c r="E1413" s="1568" t="s">
        <v>2651</v>
      </c>
      <c r="F1413" s="1568"/>
      <c r="G1413" s="1568"/>
      <c r="H1413" s="1568"/>
      <c r="J1413" s="1568" t="s">
        <v>2428</v>
      </c>
      <c r="K1413" s="1568"/>
      <c r="L1413" s="1568"/>
      <c r="M1413" s="1566">
        <v>0</v>
      </c>
      <c r="N1413" s="1566"/>
      <c r="O1413" s="1566"/>
      <c r="P1413" s="1566">
        <v>0</v>
      </c>
      <c r="Q1413" s="1566"/>
      <c r="R1413" s="1566"/>
      <c r="S1413" s="1566">
        <v>58210.37</v>
      </c>
      <c r="T1413" s="1566"/>
      <c r="U1413" s="1566"/>
      <c r="V1413" s="1566"/>
      <c r="W1413" s="1566">
        <v>58210.37</v>
      </c>
      <c r="X1413" s="1566"/>
      <c r="Y1413" s="1566"/>
      <c r="Z1413" s="1566"/>
      <c r="AA1413" s="1566">
        <v>0</v>
      </c>
      <c r="AB1413" s="1566"/>
      <c r="AC1413" s="1566"/>
      <c r="AD1413" s="1566"/>
      <c r="AE1413" s="1566"/>
      <c r="AF1413" s="1566"/>
      <c r="AG1413" s="1566">
        <v>0</v>
      </c>
      <c r="AH1413" s="1566"/>
      <c r="AI1413" s="1566"/>
      <c r="AJ1413" s="1566"/>
      <c r="AK1413" s="1566"/>
    </row>
    <row r="1414" spans="2:37" ht="9.1999999999999993" customHeight="1">
      <c r="J1414" s="1568"/>
      <c r="K1414" s="1568"/>
      <c r="L1414" s="1568"/>
    </row>
    <row r="1415" spans="2:37" ht="8.4499999999999993" customHeight="1">
      <c r="B1415" s="1568" t="s">
        <v>1326</v>
      </c>
      <c r="C1415" s="1568"/>
      <c r="D1415" s="1568"/>
      <c r="E1415" s="1568" t="s">
        <v>6255</v>
      </c>
      <c r="F1415" s="1568"/>
      <c r="G1415" s="1568"/>
      <c r="H1415" s="1568"/>
      <c r="J1415" s="1568" t="s">
        <v>2421</v>
      </c>
      <c r="K1415" s="1568"/>
      <c r="L1415" s="1568"/>
      <c r="M1415" s="1566">
        <v>0</v>
      </c>
      <c r="N1415" s="1566"/>
      <c r="O1415" s="1566"/>
      <c r="P1415" s="1566">
        <v>0</v>
      </c>
      <c r="Q1415" s="1566"/>
      <c r="R1415" s="1566"/>
      <c r="S1415" s="1566">
        <v>1600</v>
      </c>
      <c r="T1415" s="1566"/>
      <c r="U1415" s="1566"/>
      <c r="V1415" s="1566"/>
      <c r="W1415" s="1566">
        <v>1600</v>
      </c>
      <c r="X1415" s="1566"/>
      <c r="Y1415" s="1566"/>
      <c r="Z1415" s="1566"/>
      <c r="AA1415" s="1566">
        <v>0</v>
      </c>
      <c r="AB1415" s="1566"/>
      <c r="AC1415" s="1566"/>
      <c r="AD1415" s="1566"/>
      <c r="AE1415" s="1566"/>
      <c r="AF1415" s="1566"/>
      <c r="AG1415" s="1566">
        <v>0</v>
      </c>
      <c r="AH1415" s="1566"/>
      <c r="AI1415" s="1566"/>
      <c r="AJ1415" s="1566"/>
      <c r="AK1415" s="1566"/>
    </row>
    <row r="1416" spans="2:37" ht="9.4" customHeight="1">
      <c r="B1416" s="1568" t="s">
        <v>1326</v>
      </c>
      <c r="C1416" s="1568"/>
      <c r="D1416" s="1568"/>
      <c r="E1416" s="1568" t="s">
        <v>2652</v>
      </c>
      <c r="F1416" s="1568"/>
      <c r="G1416" s="1568"/>
      <c r="H1416" s="1568"/>
      <c r="J1416" s="1568" t="s">
        <v>2423</v>
      </c>
      <c r="K1416" s="1568"/>
      <c r="L1416" s="1568"/>
      <c r="M1416" s="1566">
        <v>0</v>
      </c>
      <c r="N1416" s="1566"/>
      <c r="O1416" s="1566"/>
      <c r="P1416" s="1566">
        <v>0</v>
      </c>
      <c r="Q1416" s="1566"/>
      <c r="R1416" s="1566"/>
      <c r="S1416" s="1566">
        <v>8571.5</v>
      </c>
      <c r="T1416" s="1566"/>
      <c r="U1416" s="1566"/>
      <c r="V1416" s="1566"/>
      <c r="W1416" s="1566">
        <v>8571.5</v>
      </c>
      <c r="X1416" s="1566"/>
      <c r="Y1416" s="1566"/>
      <c r="Z1416" s="1566"/>
      <c r="AA1416" s="1566">
        <v>0</v>
      </c>
      <c r="AB1416" s="1566"/>
      <c r="AC1416" s="1566"/>
      <c r="AD1416" s="1566"/>
      <c r="AE1416" s="1566"/>
      <c r="AF1416" s="1566"/>
      <c r="AG1416" s="1566">
        <v>0</v>
      </c>
      <c r="AH1416" s="1566"/>
      <c r="AI1416" s="1566"/>
      <c r="AJ1416" s="1566"/>
      <c r="AK1416" s="1566"/>
    </row>
    <row r="1417" spans="2:37" ht="9.4" customHeight="1">
      <c r="B1417" s="1568" t="s">
        <v>1326</v>
      </c>
      <c r="C1417" s="1568"/>
      <c r="D1417" s="1568"/>
      <c r="E1417" s="1568" t="s">
        <v>6256</v>
      </c>
      <c r="F1417" s="1568"/>
      <c r="G1417" s="1568"/>
      <c r="H1417" s="1568"/>
      <c r="J1417" s="1568" t="s">
        <v>2428</v>
      </c>
      <c r="K1417" s="1568"/>
      <c r="L1417" s="1568"/>
      <c r="M1417" s="1566">
        <v>0</v>
      </c>
      <c r="N1417" s="1566"/>
      <c r="O1417" s="1566"/>
      <c r="P1417" s="1566">
        <v>0</v>
      </c>
      <c r="Q1417" s="1566"/>
      <c r="R1417" s="1566"/>
      <c r="S1417" s="1566">
        <v>42002.35</v>
      </c>
      <c r="T1417" s="1566"/>
      <c r="U1417" s="1566"/>
      <c r="V1417" s="1566"/>
      <c r="W1417" s="1566">
        <v>42002.35</v>
      </c>
      <c r="X1417" s="1566"/>
      <c r="Y1417" s="1566"/>
      <c r="Z1417" s="1566"/>
      <c r="AA1417" s="1566">
        <v>0</v>
      </c>
      <c r="AB1417" s="1566"/>
      <c r="AC1417" s="1566"/>
      <c r="AD1417" s="1566"/>
      <c r="AE1417" s="1566"/>
      <c r="AF1417" s="1566"/>
      <c r="AG1417" s="1566">
        <v>0</v>
      </c>
      <c r="AH1417" s="1566"/>
      <c r="AI1417" s="1566"/>
      <c r="AJ1417" s="1566"/>
      <c r="AK1417" s="1566"/>
    </row>
    <row r="1418" spans="2:37" ht="9.1999999999999993" customHeight="1">
      <c r="J1418" s="1568"/>
      <c r="K1418" s="1568"/>
      <c r="L1418" s="1568"/>
    </row>
    <row r="1419" spans="2:37" ht="8.4499999999999993" customHeight="1">
      <c r="B1419" s="1568" t="s">
        <v>1326</v>
      </c>
      <c r="C1419" s="1568"/>
      <c r="D1419" s="1568"/>
      <c r="E1419" s="1568" t="s">
        <v>6257</v>
      </c>
      <c r="F1419" s="1568"/>
      <c r="G1419" s="1568"/>
      <c r="H1419" s="1568"/>
      <c r="J1419" s="1568" t="s">
        <v>2421</v>
      </c>
      <c r="K1419" s="1568"/>
      <c r="L1419" s="1568"/>
      <c r="M1419" s="1566">
        <v>0</v>
      </c>
      <c r="N1419" s="1566"/>
      <c r="O1419" s="1566"/>
      <c r="P1419" s="1566">
        <v>0</v>
      </c>
      <c r="Q1419" s="1566"/>
      <c r="R1419" s="1566"/>
      <c r="S1419" s="1566">
        <v>3800</v>
      </c>
      <c r="T1419" s="1566"/>
      <c r="U1419" s="1566"/>
      <c r="V1419" s="1566"/>
      <c r="W1419" s="1566">
        <v>3800</v>
      </c>
      <c r="X1419" s="1566"/>
      <c r="Y1419" s="1566"/>
      <c r="Z1419" s="1566"/>
      <c r="AA1419" s="1566">
        <v>0</v>
      </c>
      <c r="AB1419" s="1566"/>
      <c r="AC1419" s="1566"/>
      <c r="AD1419" s="1566"/>
      <c r="AE1419" s="1566"/>
      <c r="AF1419" s="1566"/>
      <c r="AG1419" s="1566">
        <v>0</v>
      </c>
      <c r="AH1419" s="1566"/>
      <c r="AI1419" s="1566"/>
      <c r="AJ1419" s="1566"/>
      <c r="AK1419" s="1566"/>
    </row>
    <row r="1420" spans="2:37" ht="9.4" customHeight="1">
      <c r="B1420" s="1568" t="s">
        <v>1326</v>
      </c>
      <c r="C1420" s="1568"/>
      <c r="D1420" s="1568"/>
      <c r="E1420" s="1568" t="s">
        <v>2653</v>
      </c>
      <c r="F1420" s="1568"/>
      <c r="G1420" s="1568"/>
      <c r="H1420" s="1568"/>
      <c r="J1420" s="1568" t="s">
        <v>2423</v>
      </c>
      <c r="K1420" s="1568"/>
      <c r="L1420" s="1568"/>
      <c r="M1420" s="1566">
        <v>0</v>
      </c>
      <c r="N1420" s="1566"/>
      <c r="O1420" s="1566"/>
      <c r="P1420" s="1566">
        <v>0</v>
      </c>
      <c r="Q1420" s="1566"/>
      <c r="R1420" s="1566"/>
      <c r="S1420" s="1566">
        <v>20630.86</v>
      </c>
      <c r="T1420" s="1566"/>
      <c r="U1420" s="1566"/>
      <c r="V1420" s="1566"/>
      <c r="W1420" s="1566">
        <v>20630.86</v>
      </c>
      <c r="X1420" s="1566"/>
      <c r="Y1420" s="1566"/>
      <c r="Z1420" s="1566"/>
      <c r="AA1420" s="1566">
        <v>0</v>
      </c>
      <c r="AB1420" s="1566"/>
      <c r="AC1420" s="1566"/>
      <c r="AD1420" s="1566"/>
      <c r="AE1420" s="1566"/>
      <c r="AF1420" s="1566"/>
      <c r="AG1420" s="1566">
        <v>0</v>
      </c>
      <c r="AH1420" s="1566"/>
      <c r="AI1420" s="1566"/>
      <c r="AJ1420" s="1566"/>
      <c r="AK1420" s="1566"/>
    </row>
    <row r="1421" spans="2:37" ht="9.4" customHeight="1">
      <c r="B1421" s="1568" t="s">
        <v>1326</v>
      </c>
      <c r="C1421" s="1568"/>
      <c r="D1421" s="1568"/>
      <c r="E1421" s="1568" t="s">
        <v>2654</v>
      </c>
      <c r="F1421" s="1568"/>
      <c r="G1421" s="1568"/>
      <c r="H1421" s="1568"/>
      <c r="J1421" s="1568" t="s">
        <v>2428</v>
      </c>
      <c r="K1421" s="1568"/>
      <c r="L1421" s="1568"/>
      <c r="M1421" s="1566">
        <v>0</v>
      </c>
      <c r="N1421" s="1566"/>
      <c r="O1421" s="1566"/>
      <c r="P1421" s="1566">
        <v>0</v>
      </c>
      <c r="Q1421" s="1566"/>
      <c r="R1421" s="1566"/>
      <c r="S1421" s="1566">
        <v>38325.379999999997</v>
      </c>
      <c r="T1421" s="1566"/>
      <c r="U1421" s="1566"/>
      <c r="V1421" s="1566"/>
      <c r="W1421" s="1566">
        <v>38325.379999999997</v>
      </c>
      <c r="X1421" s="1566"/>
      <c r="Y1421" s="1566"/>
      <c r="Z1421" s="1566"/>
      <c r="AA1421" s="1566">
        <v>0</v>
      </c>
      <c r="AB1421" s="1566"/>
      <c r="AC1421" s="1566"/>
      <c r="AD1421" s="1566"/>
      <c r="AE1421" s="1566"/>
      <c r="AF1421" s="1566"/>
      <c r="AG1421" s="1566">
        <v>0</v>
      </c>
      <c r="AH1421" s="1566"/>
      <c r="AI1421" s="1566"/>
      <c r="AJ1421" s="1566"/>
      <c r="AK1421" s="1566"/>
    </row>
    <row r="1422" spans="2:37" ht="9.1999999999999993" customHeight="1">
      <c r="J1422" s="1568"/>
      <c r="K1422" s="1568"/>
      <c r="L1422" s="1568"/>
    </row>
    <row r="1423" spans="2:37" ht="8.4499999999999993" customHeight="1">
      <c r="B1423" s="1568" t="s">
        <v>1326</v>
      </c>
      <c r="C1423" s="1568"/>
      <c r="D1423" s="1568"/>
      <c r="E1423" s="1568" t="s">
        <v>2655</v>
      </c>
      <c r="F1423" s="1568"/>
      <c r="G1423" s="1568"/>
      <c r="H1423" s="1568"/>
      <c r="J1423" s="1568" t="s">
        <v>2392</v>
      </c>
      <c r="K1423" s="1568"/>
      <c r="L1423" s="1568"/>
      <c r="M1423" s="1566">
        <v>0</v>
      </c>
      <c r="N1423" s="1566"/>
      <c r="O1423" s="1566"/>
      <c r="P1423" s="1566">
        <v>0</v>
      </c>
      <c r="Q1423" s="1566"/>
      <c r="R1423" s="1566"/>
      <c r="S1423" s="1566">
        <v>42559.8</v>
      </c>
      <c r="T1423" s="1566"/>
      <c r="U1423" s="1566"/>
      <c r="V1423" s="1566"/>
      <c r="W1423" s="1566">
        <v>42559.8</v>
      </c>
      <c r="X1423" s="1566"/>
      <c r="Y1423" s="1566"/>
      <c r="Z1423" s="1566"/>
      <c r="AA1423" s="1566">
        <v>0</v>
      </c>
      <c r="AB1423" s="1566"/>
      <c r="AC1423" s="1566"/>
      <c r="AD1423" s="1566"/>
      <c r="AE1423" s="1566"/>
      <c r="AF1423" s="1566"/>
      <c r="AG1423" s="1566">
        <v>0</v>
      </c>
      <c r="AH1423" s="1566"/>
      <c r="AI1423" s="1566"/>
      <c r="AJ1423" s="1566"/>
      <c r="AK1423" s="1566"/>
    </row>
    <row r="1424" spans="2:37" ht="9.4" customHeight="1">
      <c r="B1424" s="1568" t="s">
        <v>1326</v>
      </c>
      <c r="C1424" s="1568"/>
      <c r="D1424" s="1568"/>
      <c r="E1424" s="1568" t="s">
        <v>3294</v>
      </c>
      <c r="F1424" s="1568"/>
      <c r="G1424" s="1568"/>
      <c r="H1424" s="1568"/>
      <c r="J1424" s="1568" t="s">
        <v>2460</v>
      </c>
      <c r="K1424" s="1568"/>
      <c r="L1424" s="1568"/>
      <c r="M1424" s="1566">
        <v>0</v>
      </c>
      <c r="N1424" s="1566"/>
      <c r="O1424" s="1566"/>
      <c r="P1424" s="1566">
        <v>0</v>
      </c>
      <c r="Q1424" s="1566"/>
      <c r="R1424" s="1566"/>
      <c r="S1424" s="1566">
        <v>2026.19</v>
      </c>
      <c r="T1424" s="1566"/>
      <c r="U1424" s="1566"/>
      <c r="V1424" s="1566"/>
      <c r="W1424" s="1566">
        <v>2026.19</v>
      </c>
      <c r="X1424" s="1566"/>
      <c r="Y1424" s="1566"/>
      <c r="Z1424" s="1566"/>
      <c r="AA1424" s="1566">
        <v>0</v>
      </c>
      <c r="AB1424" s="1566"/>
      <c r="AC1424" s="1566"/>
      <c r="AD1424" s="1566"/>
      <c r="AE1424" s="1566"/>
      <c r="AF1424" s="1566"/>
      <c r="AG1424" s="1566">
        <v>0</v>
      </c>
      <c r="AH1424" s="1566"/>
      <c r="AI1424" s="1566"/>
      <c r="AJ1424" s="1566"/>
      <c r="AK1424" s="1566"/>
    </row>
    <row r="1425" spans="1:38" ht="9.4" customHeight="1">
      <c r="B1425" s="1568" t="s">
        <v>1326</v>
      </c>
      <c r="C1425" s="1568"/>
      <c r="D1425" s="1568"/>
      <c r="E1425" s="1568" t="s">
        <v>2656</v>
      </c>
      <c r="F1425" s="1568"/>
      <c r="G1425" s="1568"/>
      <c r="H1425" s="1568"/>
      <c r="J1425" s="1568" t="s">
        <v>2401</v>
      </c>
      <c r="K1425" s="1568"/>
      <c r="L1425" s="1568"/>
      <c r="M1425" s="1566">
        <v>0</v>
      </c>
      <c r="N1425" s="1566"/>
      <c r="O1425" s="1566"/>
      <c r="P1425" s="1566">
        <v>0</v>
      </c>
      <c r="Q1425" s="1566"/>
      <c r="R1425" s="1566"/>
      <c r="S1425" s="1566">
        <v>7235.18</v>
      </c>
      <c r="T1425" s="1566"/>
      <c r="U1425" s="1566"/>
      <c r="V1425" s="1566"/>
      <c r="W1425" s="1566">
        <v>7235.18</v>
      </c>
      <c r="X1425" s="1566"/>
      <c r="Y1425" s="1566"/>
      <c r="Z1425" s="1566"/>
      <c r="AA1425" s="1566">
        <v>0</v>
      </c>
      <c r="AB1425" s="1566"/>
      <c r="AC1425" s="1566"/>
      <c r="AD1425" s="1566"/>
      <c r="AE1425" s="1566"/>
      <c r="AF1425" s="1566"/>
      <c r="AG1425" s="1566">
        <v>0</v>
      </c>
      <c r="AH1425" s="1566"/>
      <c r="AI1425" s="1566"/>
      <c r="AJ1425" s="1566"/>
      <c r="AK1425" s="1566"/>
    </row>
    <row r="1426" spans="1:38" ht="9.4" customHeight="1">
      <c r="B1426" s="1568" t="s">
        <v>1326</v>
      </c>
      <c r="C1426" s="1568"/>
      <c r="D1426" s="1568"/>
      <c r="E1426" s="1568" t="s">
        <v>2657</v>
      </c>
      <c r="F1426" s="1568"/>
      <c r="G1426" s="1568"/>
      <c r="H1426" s="1568"/>
      <c r="J1426" s="1568" t="s">
        <v>2403</v>
      </c>
      <c r="K1426" s="1568"/>
      <c r="L1426" s="1568"/>
      <c r="M1426" s="1566">
        <v>0</v>
      </c>
      <c r="N1426" s="1566"/>
      <c r="O1426" s="1566"/>
      <c r="P1426" s="1566">
        <v>0</v>
      </c>
      <c r="Q1426" s="1566"/>
      <c r="R1426" s="1566"/>
      <c r="S1426" s="1566">
        <v>328.15</v>
      </c>
      <c r="T1426" s="1566"/>
      <c r="U1426" s="1566"/>
      <c r="V1426" s="1566"/>
      <c r="W1426" s="1566">
        <v>328.15</v>
      </c>
      <c r="X1426" s="1566"/>
      <c r="Y1426" s="1566"/>
      <c r="Z1426" s="1566"/>
      <c r="AA1426" s="1566">
        <v>0</v>
      </c>
      <c r="AB1426" s="1566"/>
      <c r="AC1426" s="1566"/>
      <c r="AD1426" s="1566"/>
      <c r="AE1426" s="1566"/>
      <c r="AF1426" s="1566"/>
      <c r="AG1426" s="1566">
        <v>0</v>
      </c>
      <c r="AH1426" s="1566"/>
      <c r="AI1426" s="1566"/>
      <c r="AJ1426" s="1566"/>
      <c r="AK1426" s="1566"/>
    </row>
    <row r="1427" spans="1:38" ht="9.4" customHeight="1">
      <c r="B1427" s="1568" t="s">
        <v>1326</v>
      </c>
      <c r="C1427" s="1568"/>
      <c r="D1427" s="1568"/>
      <c r="E1427" s="1568" t="s">
        <v>2658</v>
      </c>
      <c r="F1427" s="1568"/>
      <c r="G1427" s="1568"/>
      <c r="H1427" s="1568"/>
      <c r="J1427" s="1568" t="s">
        <v>2405</v>
      </c>
      <c r="K1427" s="1568"/>
      <c r="L1427" s="1568"/>
      <c r="M1427" s="1566">
        <v>0</v>
      </c>
      <c r="N1427" s="1566"/>
      <c r="O1427" s="1566"/>
      <c r="P1427" s="1566">
        <v>0</v>
      </c>
      <c r="Q1427" s="1566"/>
      <c r="R1427" s="1566"/>
      <c r="S1427" s="1566">
        <v>5354.5</v>
      </c>
      <c r="T1427" s="1566"/>
      <c r="U1427" s="1566"/>
      <c r="V1427" s="1566"/>
      <c r="W1427" s="1566">
        <v>5354.5</v>
      </c>
      <c r="X1427" s="1566"/>
      <c r="Y1427" s="1566"/>
      <c r="Z1427" s="1566"/>
      <c r="AA1427" s="1566">
        <v>0</v>
      </c>
      <c r="AB1427" s="1566"/>
      <c r="AC1427" s="1566"/>
      <c r="AD1427" s="1566"/>
      <c r="AE1427" s="1566"/>
      <c r="AF1427" s="1566"/>
      <c r="AG1427" s="1566">
        <v>0</v>
      </c>
      <c r="AH1427" s="1566"/>
      <c r="AI1427" s="1566"/>
      <c r="AJ1427" s="1566"/>
      <c r="AK1427" s="1566"/>
    </row>
    <row r="1428" spans="1:38" ht="9.4" customHeight="1">
      <c r="B1428" s="1568" t="s">
        <v>1326</v>
      </c>
      <c r="C1428" s="1568"/>
      <c r="D1428" s="1568"/>
      <c r="E1428" s="1568" t="s">
        <v>2659</v>
      </c>
      <c r="F1428" s="1568"/>
      <c r="G1428" s="1568"/>
      <c r="H1428" s="1568"/>
      <c r="J1428" s="1568" t="s">
        <v>2407</v>
      </c>
      <c r="K1428" s="1568"/>
      <c r="L1428" s="1568"/>
      <c r="M1428" s="1566">
        <v>0</v>
      </c>
      <c r="N1428" s="1566"/>
      <c r="O1428" s="1566"/>
      <c r="P1428" s="1566">
        <v>0</v>
      </c>
      <c r="Q1428" s="1566"/>
      <c r="R1428" s="1566"/>
      <c r="S1428" s="1566">
        <v>4833.9799999999996</v>
      </c>
      <c r="T1428" s="1566"/>
      <c r="U1428" s="1566"/>
      <c r="V1428" s="1566"/>
      <c r="W1428" s="1566">
        <v>4833.9799999999996</v>
      </c>
      <c r="X1428" s="1566"/>
      <c r="Y1428" s="1566"/>
      <c r="Z1428" s="1566"/>
      <c r="AA1428" s="1566">
        <v>0</v>
      </c>
      <c r="AB1428" s="1566"/>
      <c r="AC1428" s="1566"/>
      <c r="AD1428" s="1566"/>
      <c r="AE1428" s="1566"/>
      <c r="AF1428" s="1566"/>
      <c r="AG1428" s="1566">
        <v>0</v>
      </c>
      <c r="AH1428" s="1566"/>
      <c r="AI1428" s="1566"/>
      <c r="AJ1428" s="1566"/>
      <c r="AK1428" s="1566"/>
    </row>
    <row r="1429" spans="1:38" ht="9.4" customHeight="1">
      <c r="B1429" s="1568" t="s">
        <v>1326</v>
      </c>
      <c r="C1429" s="1568"/>
      <c r="D1429" s="1568"/>
      <c r="E1429" s="1568" t="s">
        <v>2660</v>
      </c>
      <c r="F1429" s="1568"/>
      <c r="G1429" s="1568"/>
      <c r="H1429" s="1568"/>
      <c r="J1429" s="1568" t="s">
        <v>2448</v>
      </c>
      <c r="K1429" s="1568"/>
      <c r="L1429" s="1568"/>
      <c r="M1429" s="1566">
        <v>0</v>
      </c>
      <c r="N1429" s="1566"/>
      <c r="O1429" s="1566"/>
      <c r="P1429" s="1566">
        <v>0</v>
      </c>
      <c r="Q1429" s="1566"/>
      <c r="R1429" s="1566"/>
      <c r="S1429" s="1566">
        <v>260058.8</v>
      </c>
      <c r="T1429" s="1566"/>
      <c r="U1429" s="1566"/>
      <c r="V1429" s="1566"/>
      <c r="W1429" s="1566">
        <v>260058.8</v>
      </c>
      <c r="X1429" s="1566"/>
      <c r="Y1429" s="1566"/>
      <c r="Z1429" s="1566"/>
      <c r="AA1429" s="1566">
        <v>0</v>
      </c>
      <c r="AB1429" s="1566"/>
      <c r="AC1429" s="1566"/>
      <c r="AD1429" s="1566"/>
      <c r="AE1429" s="1566"/>
      <c r="AF1429" s="1566"/>
      <c r="AG1429" s="1566">
        <v>0</v>
      </c>
      <c r="AH1429" s="1566"/>
      <c r="AI1429" s="1566"/>
      <c r="AJ1429" s="1566"/>
      <c r="AK1429" s="1566"/>
    </row>
    <row r="1430" spans="1:38" ht="9.4" customHeight="1">
      <c r="B1430" s="1568" t="s">
        <v>1326</v>
      </c>
      <c r="C1430" s="1568"/>
      <c r="D1430" s="1568"/>
      <c r="E1430" s="1568" t="s">
        <v>6258</v>
      </c>
      <c r="F1430" s="1568"/>
      <c r="G1430" s="1568"/>
      <c r="H1430" s="1568"/>
      <c r="J1430" s="1568" t="s">
        <v>2450</v>
      </c>
      <c r="K1430" s="1568"/>
      <c r="L1430" s="1568"/>
      <c r="M1430" s="1566">
        <v>0</v>
      </c>
      <c r="N1430" s="1566"/>
      <c r="O1430" s="1566"/>
      <c r="P1430" s="1566">
        <v>0</v>
      </c>
      <c r="Q1430" s="1566"/>
      <c r="R1430" s="1566"/>
      <c r="S1430" s="1566">
        <v>12150</v>
      </c>
      <c r="T1430" s="1566"/>
      <c r="U1430" s="1566"/>
      <c r="V1430" s="1566"/>
      <c r="W1430" s="1566">
        <v>12150</v>
      </c>
      <c r="X1430" s="1566"/>
      <c r="Y1430" s="1566"/>
      <c r="Z1430" s="1566"/>
      <c r="AA1430" s="1566">
        <v>0</v>
      </c>
      <c r="AB1430" s="1566"/>
      <c r="AC1430" s="1566"/>
      <c r="AD1430" s="1566"/>
      <c r="AE1430" s="1566"/>
      <c r="AF1430" s="1566"/>
      <c r="AG1430" s="1566">
        <v>0</v>
      </c>
      <c r="AH1430" s="1566"/>
      <c r="AI1430" s="1566"/>
      <c r="AJ1430" s="1566"/>
      <c r="AK1430" s="1566"/>
    </row>
    <row r="1431" spans="1:38" ht="9.4" customHeight="1">
      <c r="B1431" s="1568" t="s">
        <v>1326</v>
      </c>
      <c r="C1431" s="1568"/>
      <c r="D1431" s="1568"/>
      <c r="E1431" s="1568" t="s">
        <v>6788</v>
      </c>
      <c r="F1431" s="1568"/>
      <c r="G1431" s="1568"/>
      <c r="H1431" s="1568"/>
      <c r="J1431" s="1568" t="s">
        <v>2448</v>
      </c>
      <c r="K1431" s="1568"/>
      <c r="L1431" s="1568"/>
      <c r="M1431" s="1566">
        <v>0</v>
      </c>
      <c r="N1431" s="1566"/>
      <c r="O1431" s="1566"/>
      <c r="P1431" s="1566">
        <v>0</v>
      </c>
      <c r="Q1431" s="1566"/>
      <c r="R1431" s="1566"/>
      <c r="S1431" s="1566">
        <v>85841</v>
      </c>
      <c r="T1431" s="1566"/>
      <c r="U1431" s="1566"/>
      <c r="V1431" s="1566"/>
      <c r="W1431" s="1566">
        <v>85841</v>
      </c>
      <c r="X1431" s="1566"/>
      <c r="Y1431" s="1566"/>
      <c r="Z1431" s="1566"/>
      <c r="AA1431" s="1566">
        <v>0</v>
      </c>
      <c r="AB1431" s="1566"/>
      <c r="AC1431" s="1566"/>
      <c r="AD1431" s="1566"/>
      <c r="AE1431" s="1566"/>
      <c r="AF1431" s="1566"/>
      <c r="AG1431" s="1566">
        <v>0</v>
      </c>
      <c r="AH1431" s="1566"/>
      <c r="AI1431" s="1566"/>
      <c r="AJ1431" s="1566"/>
      <c r="AK1431" s="1566"/>
    </row>
    <row r="1432" spans="1:38" ht="9.6" customHeight="1"/>
    <row r="1433" spans="1:38" ht="14.1" customHeight="1">
      <c r="AG1433" s="1565" t="s">
        <v>2742</v>
      </c>
      <c r="AH1433" s="1565"/>
      <c r="AI1433" s="1565"/>
      <c r="AJ1433" s="1565"/>
      <c r="AK1433" s="1565"/>
      <c r="AL1433" s="1565"/>
    </row>
    <row r="1434" spans="1:38" ht="7.15" customHeight="1">
      <c r="D1434" s="1578" t="s">
        <v>2992</v>
      </c>
      <c r="E1434" s="1578"/>
      <c r="F1434" s="1578"/>
      <c r="G1434" s="1578"/>
      <c r="H1434" s="1578"/>
      <c r="I1434" s="1578"/>
      <c r="J1434" s="1578"/>
      <c r="K1434" s="1578"/>
      <c r="L1434" s="1578"/>
      <c r="M1434" s="1578"/>
      <c r="N1434" s="1578"/>
      <c r="O1434" s="1578"/>
      <c r="P1434" s="1578"/>
      <c r="Q1434" s="1578"/>
      <c r="R1434" s="1578"/>
      <c r="S1434" s="1578"/>
      <c r="T1434" s="1578"/>
      <c r="U1434" s="1578"/>
      <c r="V1434" s="1578"/>
      <c r="W1434" s="1578"/>
      <c r="X1434" s="1578"/>
      <c r="Y1434" s="1578"/>
      <c r="Z1434" s="1578"/>
      <c r="AA1434" s="1578"/>
      <c r="AB1434" s="1578"/>
      <c r="AC1434" s="1578"/>
      <c r="AD1434" s="1578"/>
      <c r="AE1434" s="1578"/>
      <c r="AF1434" s="1578"/>
      <c r="AG1434" s="1578"/>
      <c r="AH1434" s="1578"/>
    </row>
    <row r="1435" spans="1:38" ht="9.6" customHeight="1">
      <c r="A1435" s="1579"/>
      <c r="B1435" s="1579"/>
      <c r="C1435" s="1579"/>
      <c r="D1435" s="1579"/>
      <c r="E1435" s="1579"/>
      <c r="F1435" s="1579"/>
      <c r="G1435" s="1579"/>
      <c r="H1435" s="1579"/>
      <c r="I1435" s="1579"/>
      <c r="J1435" s="1578"/>
      <c r="K1435" s="1578"/>
      <c r="L1435" s="1578"/>
      <c r="M1435" s="1578"/>
      <c r="N1435" s="1578"/>
      <c r="O1435" s="1578"/>
      <c r="P1435" s="1578"/>
      <c r="Q1435" s="1578"/>
      <c r="R1435" s="1578"/>
      <c r="S1435" s="1578"/>
      <c r="T1435" s="1578"/>
      <c r="U1435" s="1578"/>
      <c r="V1435" s="1578"/>
      <c r="W1435" s="1578"/>
      <c r="X1435" s="1578"/>
      <c r="Y1435" s="1578"/>
      <c r="Z1435" s="1578"/>
      <c r="AA1435" s="1578"/>
      <c r="AB1435" s="1578"/>
      <c r="AC1435" s="1578"/>
      <c r="AD1435" s="1578"/>
      <c r="AE1435" s="1578"/>
      <c r="AF1435" s="1578"/>
      <c r="AG1435" s="1578"/>
      <c r="AH1435" s="1578"/>
    </row>
    <row r="1436" spans="1:38" ht="13.35" customHeight="1">
      <c r="A1436" s="1579"/>
      <c r="B1436" s="1579"/>
      <c r="C1436" s="1579"/>
      <c r="D1436" s="1579"/>
      <c r="E1436" s="1579"/>
      <c r="F1436" s="1579"/>
      <c r="G1436" s="1579"/>
      <c r="H1436" s="1579"/>
      <c r="I1436" s="1579"/>
      <c r="J1436" s="1580" t="s">
        <v>79</v>
      </c>
      <c r="K1436" s="1580"/>
      <c r="L1436" s="1580"/>
      <c r="M1436" s="1580"/>
      <c r="N1436" s="1580"/>
      <c r="O1436" s="1580"/>
      <c r="P1436" s="1580"/>
      <c r="Q1436" s="1580"/>
      <c r="R1436" s="1580"/>
      <c r="S1436" s="1580"/>
      <c r="T1436" s="1580"/>
      <c r="U1436" s="1580"/>
      <c r="V1436" s="1580"/>
      <c r="W1436" s="1580"/>
      <c r="X1436" s="1580"/>
      <c r="Y1436" s="1580"/>
      <c r="Z1436" s="1580"/>
      <c r="AA1436" s="1580"/>
      <c r="AB1436" s="1580"/>
      <c r="AC1436" s="1580"/>
      <c r="AD1436" s="1580"/>
      <c r="AE1436" s="1580"/>
      <c r="AF1436" s="1580"/>
    </row>
    <row r="1437" spans="1:38" ht="5.25" customHeight="1">
      <c r="A1437" s="1579"/>
      <c r="B1437" s="1579"/>
      <c r="C1437" s="1579"/>
      <c r="D1437" s="1579"/>
      <c r="E1437" s="1579"/>
      <c r="F1437" s="1579"/>
      <c r="G1437" s="1579"/>
      <c r="H1437" s="1579"/>
      <c r="I1437" s="1579"/>
      <c r="J1437" s="1573" t="s">
        <v>6760</v>
      </c>
      <c r="K1437" s="1573"/>
      <c r="L1437" s="1573"/>
      <c r="M1437" s="1573"/>
      <c r="N1437" s="1573"/>
      <c r="O1437" s="1573"/>
      <c r="P1437" s="1573"/>
      <c r="Q1437" s="1573"/>
      <c r="R1437" s="1573"/>
      <c r="S1437" s="1573"/>
      <c r="T1437" s="1573"/>
      <c r="U1437" s="1573"/>
      <c r="V1437" s="1573"/>
      <c r="W1437" s="1573"/>
      <c r="X1437" s="1573"/>
      <c r="Y1437" s="1573"/>
      <c r="Z1437" s="1573"/>
      <c r="AA1437" s="1573"/>
      <c r="AB1437" s="1573"/>
      <c r="AC1437" s="1573"/>
      <c r="AD1437" s="1573"/>
      <c r="AE1437" s="1573"/>
    </row>
    <row r="1438" spans="1:38" ht="8.1" customHeight="1">
      <c r="C1438" s="1572" t="s">
        <v>1920</v>
      </c>
      <c r="D1438" s="1572"/>
      <c r="E1438" s="1572"/>
      <c r="F1438" s="1572"/>
      <c r="G1438" s="1572"/>
      <c r="H1438" s="1572"/>
      <c r="I1438" s="1572"/>
      <c r="J1438" s="1572"/>
      <c r="K1438" s="1573"/>
      <c r="L1438" s="1573"/>
      <c r="M1438" s="1573"/>
      <c r="N1438" s="1573"/>
      <c r="O1438" s="1573"/>
      <c r="P1438" s="1573"/>
      <c r="Q1438" s="1573"/>
      <c r="R1438" s="1573"/>
      <c r="S1438" s="1573"/>
      <c r="T1438" s="1573"/>
      <c r="U1438" s="1573"/>
      <c r="V1438" s="1573"/>
      <c r="W1438" s="1573"/>
      <c r="X1438" s="1573"/>
      <c r="Y1438" s="1574" t="s">
        <v>5920</v>
      </c>
      <c r="Z1438" s="1574"/>
      <c r="AA1438" s="1574"/>
      <c r="AB1438" s="1574"/>
      <c r="AC1438" s="1574"/>
      <c r="AD1438" s="1574"/>
      <c r="AE1438" s="1574"/>
      <c r="AF1438" s="1574"/>
      <c r="AG1438" s="1574"/>
      <c r="AH1438" s="1575" t="s">
        <v>6761</v>
      </c>
      <c r="AI1438" s="1575"/>
      <c r="AJ1438" s="1575"/>
      <c r="AK1438" s="1575"/>
      <c r="AL1438" s="1575"/>
    </row>
    <row r="1439" spans="1:38" ht="6" customHeight="1">
      <c r="C1439" s="1572"/>
      <c r="D1439" s="1572"/>
      <c r="E1439" s="1572"/>
      <c r="F1439" s="1572"/>
      <c r="G1439" s="1572"/>
      <c r="H1439" s="1572"/>
      <c r="I1439" s="1572"/>
      <c r="J1439" s="1572"/>
      <c r="K1439" s="1576" t="s">
        <v>1999</v>
      </c>
      <c r="L1439" s="1576"/>
      <c r="M1439" s="1576"/>
      <c r="N1439" s="1576"/>
      <c r="O1439" s="1576"/>
      <c r="P1439" s="1576"/>
      <c r="Q1439" s="1576"/>
      <c r="R1439" s="1576"/>
      <c r="S1439" s="1576"/>
      <c r="T1439" s="1576"/>
      <c r="U1439" s="1576"/>
      <c r="V1439" s="1576"/>
      <c r="W1439" s="1576"/>
      <c r="X1439" s="1576"/>
      <c r="Y1439" s="1574"/>
      <c r="Z1439" s="1574"/>
      <c r="AA1439" s="1574"/>
      <c r="AB1439" s="1574"/>
      <c r="AC1439" s="1574"/>
      <c r="AD1439" s="1574"/>
      <c r="AE1439" s="1574"/>
      <c r="AF1439" s="1574"/>
      <c r="AG1439" s="1574"/>
      <c r="AH1439" s="1575"/>
      <c r="AI1439" s="1575"/>
      <c r="AJ1439" s="1575"/>
      <c r="AK1439" s="1575"/>
      <c r="AL1439" s="1575"/>
    </row>
    <row r="1440" spans="1:38" ht="7.35" customHeight="1">
      <c r="C1440" s="1572" t="s">
        <v>1998</v>
      </c>
      <c r="D1440" s="1572"/>
      <c r="E1440" s="1572"/>
      <c r="F1440" s="1572"/>
      <c r="G1440" s="1577"/>
      <c r="H1440" s="1577"/>
      <c r="I1440" s="1577"/>
      <c r="J1440" s="1577"/>
      <c r="K1440" s="1577"/>
      <c r="L1440" s="1577"/>
      <c r="M1440" s="1577"/>
      <c r="N1440" s="1577"/>
      <c r="O1440" s="1577"/>
      <c r="P1440" s="1577"/>
      <c r="Q1440" s="1577"/>
      <c r="R1440" s="1577"/>
      <c r="S1440" s="1577"/>
      <c r="T1440" s="1577"/>
      <c r="U1440" s="1577"/>
      <c r="V1440" s="1577"/>
      <c r="W1440" s="1577"/>
      <c r="X1440" s="1577"/>
      <c r="Y1440" s="1577"/>
      <c r="Z1440" s="1577"/>
      <c r="AA1440" s="1577"/>
      <c r="AB1440" s="1577"/>
      <c r="AC1440" s="1577"/>
      <c r="AD1440" s="1577"/>
      <c r="AE1440" s="1577"/>
      <c r="AF1440" s="1574"/>
      <c r="AG1440" s="1574"/>
      <c r="AH1440" s="1574" t="s">
        <v>6762</v>
      </c>
      <c r="AI1440" s="1574"/>
    </row>
    <row r="1441" spans="2:37" ht="6.75" customHeight="1">
      <c r="G1441" s="1577"/>
      <c r="H1441" s="1577"/>
      <c r="I1441" s="1577"/>
      <c r="J1441" s="1577"/>
      <c r="K1441" s="1577"/>
      <c r="L1441" s="1577"/>
      <c r="M1441" s="1577"/>
      <c r="N1441" s="1577"/>
      <c r="O1441" s="1577"/>
      <c r="P1441" s="1577"/>
      <c r="Q1441" s="1577"/>
      <c r="R1441" s="1577"/>
      <c r="S1441" s="1577"/>
      <c r="T1441" s="1577"/>
      <c r="U1441" s="1577"/>
      <c r="V1441" s="1577"/>
      <c r="W1441" s="1577"/>
      <c r="X1441" s="1577"/>
      <c r="Y1441" s="1577"/>
      <c r="Z1441" s="1577"/>
      <c r="AA1441" s="1577"/>
      <c r="AB1441" s="1577"/>
      <c r="AC1441" s="1577"/>
      <c r="AD1441" s="1577"/>
      <c r="AE1441" s="1577"/>
      <c r="AF1441" s="1574"/>
      <c r="AG1441" s="1574"/>
      <c r="AH1441" s="1574"/>
      <c r="AI1441" s="1574"/>
    </row>
    <row r="1442" spans="2:37" ht="11.25" customHeight="1">
      <c r="O1442" s="1570" t="s">
        <v>1318</v>
      </c>
      <c r="P1442" s="1570"/>
      <c r="Q1442" s="1570"/>
      <c r="V1442" s="1570" t="s">
        <v>1319</v>
      </c>
      <c r="W1442" s="1570"/>
      <c r="X1442" s="1570"/>
      <c r="Y1442" s="1570"/>
      <c r="AD1442" s="1570" t="s">
        <v>1320</v>
      </c>
      <c r="AE1442" s="1570"/>
      <c r="AF1442" s="1570"/>
      <c r="AG1442" s="1570"/>
      <c r="AH1442" s="1570"/>
      <c r="AI1442" s="1570"/>
      <c r="AJ1442" s="1570"/>
    </row>
    <row r="1443" spans="2:37" ht="8.4499999999999993" customHeight="1">
      <c r="B1443" s="1571" t="s">
        <v>1321</v>
      </c>
      <c r="C1443" s="1571"/>
      <c r="D1443" s="1571"/>
      <c r="E1443" s="1571" t="s">
        <v>1322</v>
      </c>
      <c r="F1443" s="1571"/>
      <c r="G1443" s="1571"/>
      <c r="J1443" s="1571" t="s">
        <v>1323</v>
      </c>
      <c r="K1443" s="1571"/>
      <c r="L1443" s="1571"/>
      <c r="M1443" s="1571"/>
      <c r="N1443" s="1571"/>
      <c r="O1443" s="1402" t="s">
        <v>1324</v>
      </c>
      <c r="Q1443" s="1569" t="s">
        <v>1325</v>
      </c>
      <c r="R1443" s="1569"/>
      <c r="U1443" s="1569" t="s">
        <v>1324</v>
      </c>
      <c r="V1443" s="1569"/>
      <c r="X1443" s="1569" t="s">
        <v>1325</v>
      </c>
      <c r="Y1443" s="1569"/>
      <c r="Z1443" s="1569"/>
      <c r="AC1443" s="1569" t="s">
        <v>1324</v>
      </c>
      <c r="AD1443" s="1569"/>
      <c r="AE1443" s="1569"/>
      <c r="AF1443" s="1569"/>
      <c r="AH1443" s="1569" t="s">
        <v>1325</v>
      </c>
      <c r="AI1443" s="1569"/>
      <c r="AJ1443" s="1569"/>
      <c r="AK1443" s="1569"/>
    </row>
    <row r="1444" spans="2:37" ht="9.9499999999999993" customHeight="1">
      <c r="B1444" s="1568" t="s">
        <v>1326</v>
      </c>
      <c r="C1444" s="1568"/>
      <c r="D1444" s="1568"/>
      <c r="E1444" s="1568" t="s">
        <v>6789</v>
      </c>
      <c r="F1444" s="1568"/>
      <c r="G1444" s="1568"/>
      <c r="H1444" s="1568"/>
      <c r="J1444" s="1568" t="s">
        <v>2448</v>
      </c>
      <c r="K1444" s="1568"/>
      <c r="L1444" s="1568"/>
      <c r="M1444" s="1566">
        <v>0</v>
      </c>
      <c r="N1444" s="1566"/>
      <c r="O1444" s="1566"/>
      <c r="P1444" s="1566">
        <v>0</v>
      </c>
      <c r="Q1444" s="1566"/>
      <c r="R1444" s="1566"/>
      <c r="S1444" s="1566">
        <v>958</v>
      </c>
      <c r="T1444" s="1566"/>
      <c r="U1444" s="1566"/>
      <c r="V1444" s="1566"/>
      <c r="W1444" s="1566">
        <v>958</v>
      </c>
      <c r="X1444" s="1566"/>
      <c r="Y1444" s="1566"/>
      <c r="Z1444" s="1566"/>
      <c r="AA1444" s="1566">
        <v>0</v>
      </c>
      <c r="AB1444" s="1566"/>
      <c r="AC1444" s="1566"/>
      <c r="AD1444" s="1566"/>
      <c r="AE1444" s="1566"/>
      <c r="AF1444" s="1566"/>
      <c r="AG1444" s="1566">
        <v>0</v>
      </c>
      <c r="AH1444" s="1566"/>
      <c r="AI1444" s="1566"/>
      <c r="AJ1444" s="1566"/>
      <c r="AK1444" s="1566"/>
    </row>
    <row r="1445" spans="2:37" ht="9.4" customHeight="1">
      <c r="B1445" s="1568" t="s">
        <v>1326</v>
      </c>
      <c r="C1445" s="1568"/>
      <c r="D1445" s="1568"/>
      <c r="E1445" s="1568" t="s">
        <v>6259</v>
      </c>
      <c r="F1445" s="1568"/>
      <c r="G1445" s="1568"/>
      <c r="H1445" s="1568"/>
      <c r="J1445" s="1568" t="s">
        <v>2450</v>
      </c>
      <c r="K1445" s="1568"/>
      <c r="L1445" s="1568"/>
      <c r="M1445" s="1566">
        <v>0</v>
      </c>
      <c r="N1445" s="1566"/>
      <c r="O1445" s="1566"/>
      <c r="P1445" s="1566">
        <v>0</v>
      </c>
      <c r="Q1445" s="1566"/>
      <c r="R1445" s="1566"/>
      <c r="S1445" s="1566">
        <v>0</v>
      </c>
      <c r="T1445" s="1566"/>
      <c r="U1445" s="1566"/>
      <c r="V1445" s="1566"/>
      <c r="W1445" s="1566">
        <v>0</v>
      </c>
      <c r="X1445" s="1566"/>
      <c r="Y1445" s="1566"/>
      <c r="Z1445" s="1566"/>
      <c r="AA1445" s="1566">
        <v>0</v>
      </c>
      <c r="AB1445" s="1566"/>
      <c r="AC1445" s="1566"/>
      <c r="AD1445" s="1566"/>
      <c r="AE1445" s="1566"/>
      <c r="AF1445" s="1566"/>
      <c r="AG1445" s="1566">
        <v>0</v>
      </c>
      <c r="AH1445" s="1566"/>
      <c r="AI1445" s="1566"/>
      <c r="AJ1445" s="1566"/>
      <c r="AK1445" s="1566"/>
    </row>
    <row r="1446" spans="2:37" ht="9.4" customHeight="1">
      <c r="B1446" s="1568" t="s">
        <v>1326</v>
      </c>
      <c r="C1446" s="1568"/>
      <c r="D1446" s="1568"/>
      <c r="E1446" s="1568" t="s">
        <v>6790</v>
      </c>
      <c r="F1446" s="1568"/>
      <c r="G1446" s="1568"/>
      <c r="H1446" s="1568"/>
      <c r="J1446" s="1568" t="s">
        <v>2448</v>
      </c>
      <c r="K1446" s="1568"/>
      <c r="L1446" s="1568"/>
      <c r="M1446" s="1566">
        <v>0</v>
      </c>
      <c r="N1446" s="1566"/>
      <c r="O1446" s="1566"/>
      <c r="P1446" s="1566">
        <v>0</v>
      </c>
      <c r="Q1446" s="1566"/>
      <c r="R1446" s="1566"/>
      <c r="S1446" s="1566">
        <v>3323</v>
      </c>
      <c r="T1446" s="1566"/>
      <c r="U1446" s="1566"/>
      <c r="V1446" s="1566"/>
      <c r="W1446" s="1566">
        <v>3323</v>
      </c>
      <c r="X1446" s="1566"/>
      <c r="Y1446" s="1566"/>
      <c r="Z1446" s="1566"/>
      <c r="AA1446" s="1566">
        <v>0</v>
      </c>
      <c r="AB1446" s="1566"/>
      <c r="AC1446" s="1566"/>
      <c r="AD1446" s="1566"/>
      <c r="AE1446" s="1566"/>
      <c r="AF1446" s="1566"/>
      <c r="AG1446" s="1566">
        <v>0</v>
      </c>
      <c r="AH1446" s="1566"/>
      <c r="AI1446" s="1566"/>
      <c r="AJ1446" s="1566"/>
      <c r="AK1446" s="1566"/>
    </row>
    <row r="1447" spans="2:37" ht="9.4" customHeight="1">
      <c r="B1447" s="1568" t="s">
        <v>1326</v>
      </c>
      <c r="C1447" s="1568"/>
      <c r="D1447" s="1568"/>
      <c r="E1447" s="1568" t="s">
        <v>6518</v>
      </c>
      <c r="F1447" s="1568"/>
      <c r="G1447" s="1568"/>
      <c r="H1447" s="1568"/>
      <c r="J1447" s="1568" t="s">
        <v>2450</v>
      </c>
      <c r="K1447" s="1568"/>
      <c r="L1447" s="1568"/>
      <c r="M1447" s="1566">
        <v>0</v>
      </c>
      <c r="N1447" s="1566"/>
      <c r="O1447" s="1566"/>
      <c r="P1447" s="1566">
        <v>0</v>
      </c>
      <c r="Q1447" s="1566"/>
      <c r="R1447" s="1566"/>
      <c r="S1447" s="1566">
        <v>56000</v>
      </c>
      <c r="T1447" s="1566"/>
      <c r="U1447" s="1566"/>
      <c r="V1447" s="1566"/>
      <c r="W1447" s="1566">
        <v>56000</v>
      </c>
      <c r="X1447" s="1566"/>
      <c r="Y1447" s="1566"/>
      <c r="Z1447" s="1566"/>
      <c r="AA1447" s="1566">
        <v>0</v>
      </c>
      <c r="AB1447" s="1566"/>
      <c r="AC1447" s="1566"/>
      <c r="AD1447" s="1566"/>
      <c r="AE1447" s="1566"/>
      <c r="AF1447" s="1566"/>
      <c r="AG1447" s="1566">
        <v>0</v>
      </c>
      <c r="AH1447" s="1566"/>
      <c r="AI1447" s="1566"/>
      <c r="AJ1447" s="1566"/>
      <c r="AK1447" s="1566"/>
    </row>
    <row r="1448" spans="2:37" ht="9.4" customHeight="1">
      <c r="B1448" s="1568" t="s">
        <v>1326</v>
      </c>
      <c r="C1448" s="1568"/>
      <c r="D1448" s="1568"/>
      <c r="E1448" s="1568" t="s">
        <v>2661</v>
      </c>
      <c r="F1448" s="1568"/>
      <c r="G1448" s="1568"/>
      <c r="H1448" s="1568"/>
      <c r="J1448" s="1568" t="s">
        <v>2392</v>
      </c>
      <c r="K1448" s="1568"/>
      <c r="L1448" s="1568"/>
      <c r="M1448" s="1566">
        <v>0</v>
      </c>
      <c r="N1448" s="1566"/>
      <c r="O1448" s="1566"/>
      <c r="P1448" s="1566">
        <v>0</v>
      </c>
      <c r="Q1448" s="1566"/>
      <c r="R1448" s="1566"/>
      <c r="S1448" s="1566">
        <v>333184.2</v>
      </c>
      <c r="T1448" s="1566"/>
      <c r="U1448" s="1566"/>
      <c r="V1448" s="1566"/>
      <c r="W1448" s="1566">
        <v>333184.2</v>
      </c>
      <c r="X1448" s="1566"/>
      <c r="Y1448" s="1566"/>
      <c r="Z1448" s="1566"/>
      <c r="AA1448" s="1566">
        <v>0</v>
      </c>
      <c r="AB1448" s="1566"/>
      <c r="AC1448" s="1566"/>
      <c r="AD1448" s="1566"/>
      <c r="AE1448" s="1566"/>
      <c r="AF1448" s="1566"/>
      <c r="AG1448" s="1566">
        <v>0</v>
      </c>
      <c r="AH1448" s="1566"/>
      <c r="AI1448" s="1566"/>
      <c r="AJ1448" s="1566"/>
      <c r="AK1448" s="1566"/>
    </row>
    <row r="1449" spans="2:37" ht="9.4" customHeight="1">
      <c r="B1449" s="1568" t="s">
        <v>1326</v>
      </c>
      <c r="C1449" s="1568"/>
      <c r="D1449" s="1568"/>
      <c r="E1449" s="1568" t="s">
        <v>2662</v>
      </c>
      <c r="F1449" s="1568"/>
      <c r="G1449" s="1568"/>
      <c r="H1449" s="1568"/>
      <c r="J1449" s="1568" t="s">
        <v>2401</v>
      </c>
      <c r="K1449" s="1568"/>
      <c r="L1449" s="1568"/>
      <c r="M1449" s="1566">
        <v>0</v>
      </c>
      <c r="N1449" s="1566"/>
      <c r="O1449" s="1566"/>
      <c r="P1449" s="1566">
        <v>0</v>
      </c>
      <c r="Q1449" s="1566"/>
      <c r="R1449" s="1566"/>
      <c r="S1449" s="1566">
        <v>56251.74</v>
      </c>
      <c r="T1449" s="1566"/>
      <c r="U1449" s="1566"/>
      <c r="V1449" s="1566"/>
      <c r="W1449" s="1566">
        <v>56251.74</v>
      </c>
      <c r="X1449" s="1566"/>
      <c r="Y1449" s="1566"/>
      <c r="Z1449" s="1566"/>
      <c r="AA1449" s="1566">
        <v>0</v>
      </c>
      <c r="AB1449" s="1566"/>
      <c r="AC1449" s="1566"/>
      <c r="AD1449" s="1566"/>
      <c r="AE1449" s="1566"/>
      <c r="AF1449" s="1566"/>
      <c r="AG1449" s="1566">
        <v>0</v>
      </c>
      <c r="AH1449" s="1566"/>
      <c r="AI1449" s="1566"/>
      <c r="AJ1449" s="1566"/>
      <c r="AK1449" s="1566"/>
    </row>
    <row r="1450" spans="2:37" ht="9.4" customHeight="1">
      <c r="B1450" s="1568" t="s">
        <v>1326</v>
      </c>
      <c r="C1450" s="1568"/>
      <c r="D1450" s="1568"/>
      <c r="E1450" s="1568" t="s">
        <v>2663</v>
      </c>
      <c r="F1450" s="1568"/>
      <c r="G1450" s="1568"/>
      <c r="H1450" s="1568"/>
      <c r="J1450" s="1568" t="s">
        <v>2403</v>
      </c>
      <c r="K1450" s="1568"/>
      <c r="L1450" s="1568"/>
      <c r="M1450" s="1566">
        <v>0</v>
      </c>
      <c r="N1450" s="1566"/>
      <c r="O1450" s="1566"/>
      <c r="P1450" s="1566">
        <v>0</v>
      </c>
      <c r="Q1450" s="1566"/>
      <c r="R1450" s="1566"/>
      <c r="S1450" s="1566">
        <v>2461.12</v>
      </c>
      <c r="T1450" s="1566"/>
      <c r="U1450" s="1566"/>
      <c r="V1450" s="1566"/>
      <c r="W1450" s="1566">
        <v>2461.12</v>
      </c>
      <c r="X1450" s="1566"/>
      <c r="Y1450" s="1566"/>
      <c r="Z1450" s="1566"/>
      <c r="AA1450" s="1566">
        <v>0</v>
      </c>
      <c r="AB1450" s="1566"/>
      <c r="AC1450" s="1566"/>
      <c r="AD1450" s="1566"/>
      <c r="AE1450" s="1566"/>
      <c r="AF1450" s="1566"/>
      <c r="AG1450" s="1566">
        <v>0</v>
      </c>
      <c r="AH1450" s="1566"/>
      <c r="AI1450" s="1566"/>
      <c r="AJ1450" s="1566"/>
      <c r="AK1450" s="1566"/>
    </row>
    <row r="1451" spans="2:37" ht="9.4" customHeight="1">
      <c r="B1451" s="1568" t="s">
        <v>1326</v>
      </c>
      <c r="C1451" s="1568"/>
      <c r="D1451" s="1568"/>
      <c r="E1451" s="1568" t="s">
        <v>2664</v>
      </c>
      <c r="F1451" s="1568"/>
      <c r="G1451" s="1568"/>
      <c r="H1451" s="1568"/>
      <c r="J1451" s="1568" t="s">
        <v>2405</v>
      </c>
      <c r="K1451" s="1568"/>
      <c r="L1451" s="1568"/>
      <c r="M1451" s="1566">
        <v>0</v>
      </c>
      <c r="N1451" s="1566"/>
      <c r="O1451" s="1566"/>
      <c r="P1451" s="1566">
        <v>0</v>
      </c>
      <c r="Q1451" s="1566"/>
      <c r="R1451" s="1566"/>
      <c r="S1451" s="1566">
        <v>27961.439999999999</v>
      </c>
      <c r="T1451" s="1566"/>
      <c r="U1451" s="1566"/>
      <c r="V1451" s="1566"/>
      <c r="W1451" s="1566">
        <v>27961.439999999999</v>
      </c>
      <c r="X1451" s="1566"/>
      <c r="Y1451" s="1566"/>
      <c r="Z1451" s="1566"/>
      <c r="AA1451" s="1566">
        <v>0</v>
      </c>
      <c r="AB1451" s="1566"/>
      <c r="AC1451" s="1566"/>
      <c r="AD1451" s="1566"/>
      <c r="AE1451" s="1566"/>
      <c r="AF1451" s="1566"/>
      <c r="AG1451" s="1566">
        <v>0</v>
      </c>
      <c r="AH1451" s="1566"/>
      <c r="AI1451" s="1566"/>
      <c r="AJ1451" s="1566"/>
      <c r="AK1451" s="1566"/>
    </row>
    <row r="1452" spans="2:37" ht="9.4" customHeight="1">
      <c r="B1452" s="1568" t="s">
        <v>1326</v>
      </c>
      <c r="C1452" s="1568"/>
      <c r="D1452" s="1568"/>
      <c r="E1452" s="1568" t="s">
        <v>2665</v>
      </c>
      <c r="F1452" s="1568"/>
      <c r="G1452" s="1568"/>
      <c r="H1452" s="1568"/>
      <c r="J1452" s="1568" t="s">
        <v>2407</v>
      </c>
      <c r="K1452" s="1568"/>
      <c r="L1452" s="1568"/>
      <c r="M1452" s="1566">
        <v>0</v>
      </c>
      <c r="N1452" s="1566"/>
      <c r="O1452" s="1566"/>
      <c r="P1452" s="1566">
        <v>0</v>
      </c>
      <c r="Q1452" s="1566"/>
      <c r="R1452" s="1566"/>
      <c r="S1452" s="1566">
        <v>21508.799999999999</v>
      </c>
      <c r="T1452" s="1566"/>
      <c r="U1452" s="1566"/>
      <c r="V1452" s="1566"/>
      <c r="W1452" s="1566">
        <v>21508.799999999999</v>
      </c>
      <c r="X1452" s="1566"/>
      <c r="Y1452" s="1566"/>
      <c r="Z1452" s="1566"/>
      <c r="AA1452" s="1566">
        <v>0</v>
      </c>
      <c r="AB1452" s="1566"/>
      <c r="AC1452" s="1566"/>
      <c r="AD1452" s="1566"/>
      <c r="AE1452" s="1566"/>
      <c r="AF1452" s="1566"/>
      <c r="AG1452" s="1566">
        <v>0</v>
      </c>
      <c r="AH1452" s="1566"/>
      <c r="AI1452" s="1566"/>
      <c r="AJ1452" s="1566"/>
      <c r="AK1452" s="1566"/>
    </row>
    <row r="1453" spans="2:37" ht="9.4" customHeight="1">
      <c r="B1453" s="1568" t="s">
        <v>1326</v>
      </c>
      <c r="C1453" s="1568"/>
      <c r="D1453" s="1568"/>
      <c r="E1453" s="1568" t="s">
        <v>3332</v>
      </c>
      <c r="F1453" s="1568"/>
      <c r="G1453" s="1568"/>
      <c r="H1453" s="1568"/>
      <c r="J1453" s="1568" t="s">
        <v>2467</v>
      </c>
      <c r="K1453" s="1568"/>
      <c r="L1453" s="1568"/>
      <c r="M1453" s="1566">
        <v>0</v>
      </c>
      <c r="N1453" s="1566"/>
      <c r="O1453" s="1566"/>
      <c r="P1453" s="1566">
        <v>0</v>
      </c>
      <c r="Q1453" s="1566"/>
      <c r="R1453" s="1566"/>
      <c r="S1453" s="1566">
        <v>1637.94</v>
      </c>
      <c r="T1453" s="1566"/>
      <c r="U1453" s="1566"/>
      <c r="V1453" s="1566"/>
      <c r="W1453" s="1566">
        <v>1637.94</v>
      </c>
      <c r="X1453" s="1566"/>
      <c r="Y1453" s="1566"/>
      <c r="Z1453" s="1566"/>
      <c r="AA1453" s="1566">
        <v>0</v>
      </c>
      <c r="AB1453" s="1566"/>
      <c r="AC1453" s="1566"/>
      <c r="AD1453" s="1566"/>
      <c r="AE1453" s="1566"/>
      <c r="AF1453" s="1566"/>
      <c r="AG1453" s="1566">
        <v>0</v>
      </c>
      <c r="AH1453" s="1566"/>
      <c r="AI1453" s="1566"/>
      <c r="AJ1453" s="1566"/>
      <c r="AK1453" s="1566"/>
    </row>
    <row r="1454" spans="2:37" ht="9.4" customHeight="1">
      <c r="B1454" s="1568" t="s">
        <v>1326</v>
      </c>
      <c r="C1454" s="1568"/>
      <c r="D1454" s="1568"/>
      <c r="E1454" s="1568" t="s">
        <v>6260</v>
      </c>
      <c r="F1454" s="1568"/>
      <c r="G1454" s="1568"/>
      <c r="H1454" s="1568"/>
      <c r="J1454" s="1568" t="s">
        <v>2469</v>
      </c>
      <c r="K1454" s="1568"/>
      <c r="L1454" s="1568"/>
      <c r="M1454" s="1566">
        <v>0</v>
      </c>
      <c r="N1454" s="1566"/>
      <c r="O1454" s="1566"/>
      <c r="P1454" s="1566">
        <v>0</v>
      </c>
      <c r="Q1454" s="1566"/>
      <c r="R1454" s="1566"/>
      <c r="S1454" s="1566">
        <v>0</v>
      </c>
      <c r="T1454" s="1566"/>
      <c r="U1454" s="1566"/>
      <c r="V1454" s="1566"/>
      <c r="W1454" s="1566">
        <v>0</v>
      </c>
      <c r="X1454" s="1566"/>
      <c r="Y1454" s="1566"/>
      <c r="Z1454" s="1566"/>
      <c r="AA1454" s="1566">
        <v>0</v>
      </c>
      <c r="AB1454" s="1566"/>
      <c r="AC1454" s="1566"/>
      <c r="AD1454" s="1566"/>
      <c r="AE1454" s="1566"/>
      <c r="AF1454" s="1566"/>
      <c r="AG1454" s="1566">
        <v>0</v>
      </c>
      <c r="AH1454" s="1566"/>
      <c r="AI1454" s="1566"/>
      <c r="AJ1454" s="1566"/>
      <c r="AK1454" s="1566"/>
    </row>
    <row r="1455" spans="2:37" ht="9.4" customHeight="1">
      <c r="B1455" s="1568" t="s">
        <v>1326</v>
      </c>
      <c r="C1455" s="1568"/>
      <c r="D1455" s="1568"/>
      <c r="E1455" s="1568" t="s">
        <v>6261</v>
      </c>
      <c r="F1455" s="1568"/>
      <c r="G1455" s="1568"/>
      <c r="H1455" s="1568"/>
      <c r="J1455" s="1568" t="s">
        <v>2471</v>
      </c>
      <c r="K1455" s="1568"/>
      <c r="L1455" s="1568"/>
      <c r="M1455" s="1566">
        <v>0</v>
      </c>
      <c r="N1455" s="1566"/>
      <c r="O1455" s="1566"/>
      <c r="P1455" s="1566">
        <v>0</v>
      </c>
      <c r="Q1455" s="1566"/>
      <c r="R1455" s="1566"/>
      <c r="S1455" s="1566">
        <v>5211.1000000000004</v>
      </c>
      <c r="T1455" s="1566"/>
      <c r="U1455" s="1566"/>
      <c r="V1455" s="1566"/>
      <c r="W1455" s="1566">
        <v>5211.1000000000004</v>
      </c>
      <c r="X1455" s="1566"/>
      <c r="Y1455" s="1566"/>
      <c r="Z1455" s="1566"/>
      <c r="AA1455" s="1566">
        <v>0</v>
      </c>
      <c r="AB1455" s="1566"/>
      <c r="AC1455" s="1566"/>
      <c r="AD1455" s="1566"/>
      <c r="AE1455" s="1566"/>
      <c r="AF1455" s="1566"/>
      <c r="AG1455" s="1566">
        <v>0</v>
      </c>
      <c r="AH1455" s="1566"/>
      <c r="AI1455" s="1566"/>
      <c r="AJ1455" s="1566"/>
      <c r="AK1455" s="1566"/>
    </row>
    <row r="1456" spans="2:37" ht="9.4" customHeight="1">
      <c r="B1456" s="1568" t="s">
        <v>1326</v>
      </c>
      <c r="C1456" s="1568"/>
      <c r="D1456" s="1568"/>
      <c r="E1456" s="1568" t="s">
        <v>3333</v>
      </c>
      <c r="F1456" s="1568"/>
      <c r="G1456" s="1568"/>
      <c r="H1456" s="1568"/>
      <c r="J1456" s="1568" t="s">
        <v>2473</v>
      </c>
      <c r="K1456" s="1568"/>
      <c r="L1456" s="1568"/>
      <c r="M1456" s="1566">
        <v>0</v>
      </c>
      <c r="N1456" s="1566"/>
      <c r="O1456" s="1566"/>
      <c r="P1456" s="1566">
        <v>0</v>
      </c>
      <c r="Q1456" s="1566"/>
      <c r="R1456" s="1566"/>
      <c r="S1456" s="1566">
        <v>4514.6000000000004</v>
      </c>
      <c r="T1456" s="1566"/>
      <c r="U1456" s="1566"/>
      <c r="V1456" s="1566"/>
      <c r="W1456" s="1566">
        <v>4514.6000000000004</v>
      </c>
      <c r="X1456" s="1566"/>
      <c r="Y1456" s="1566"/>
      <c r="Z1456" s="1566"/>
      <c r="AA1456" s="1566">
        <v>0</v>
      </c>
      <c r="AB1456" s="1566"/>
      <c r="AC1456" s="1566"/>
      <c r="AD1456" s="1566"/>
      <c r="AE1456" s="1566"/>
      <c r="AF1456" s="1566"/>
      <c r="AG1456" s="1566">
        <v>0</v>
      </c>
      <c r="AH1456" s="1566"/>
      <c r="AI1456" s="1566"/>
      <c r="AJ1456" s="1566"/>
      <c r="AK1456" s="1566"/>
    </row>
    <row r="1457" spans="2:37" ht="9.4" customHeight="1">
      <c r="B1457" s="1568" t="s">
        <v>1326</v>
      </c>
      <c r="C1457" s="1568"/>
      <c r="D1457" s="1568"/>
      <c r="E1457" s="1568" t="s">
        <v>2666</v>
      </c>
      <c r="F1457" s="1568"/>
      <c r="G1457" s="1568"/>
      <c r="H1457" s="1568"/>
      <c r="J1457" s="1568" t="s">
        <v>2421</v>
      </c>
      <c r="K1457" s="1568"/>
      <c r="L1457" s="1568"/>
      <c r="M1457" s="1566">
        <v>0</v>
      </c>
      <c r="N1457" s="1566"/>
      <c r="O1457" s="1566"/>
      <c r="P1457" s="1566">
        <v>0</v>
      </c>
      <c r="Q1457" s="1566"/>
      <c r="R1457" s="1566"/>
      <c r="S1457" s="1566">
        <v>1926.52</v>
      </c>
      <c r="T1457" s="1566"/>
      <c r="U1457" s="1566"/>
      <c r="V1457" s="1566"/>
      <c r="W1457" s="1566">
        <v>1926.52</v>
      </c>
      <c r="X1457" s="1566"/>
      <c r="Y1457" s="1566"/>
      <c r="Z1457" s="1566"/>
      <c r="AA1457" s="1566">
        <v>0</v>
      </c>
      <c r="AB1457" s="1566"/>
      <c r="AC1457" s="1566"/>
      <c r="AD1457" s="1566"/>
      <c r="AE1457" s="1566"/>
      <c r="AF1457" s="1566"/>
      <c r="AG1457" s="1566">
        <v>0</v>
      </c>
      <c r="AH1457" s="1566"/>
      <c r="AI1457" s="1566"/>
      <c r="AJ1457" s="1566"/>
      <c r="AK1457" s="1566"/>
    </row>
    <row r="1458" spans="2:37" ht="9.4" customHeight="1">
      <c r="B1458" s="1568" t="s">
        <v>1326</v>
      </c>
      <c r="C1458" s="1568"/>
      <c r="D1458" s="1568"/>
      <c r="E1458" s="1568" t="s">
        <v>2667</v>
      </c>
      <c r="F1458" s="1568"/>
      <c r="G1458" s="1568"/>
      <c r="H1458" s="1568"/>
      <c r="J1458" s="1568" t="s">
        <v>2423</v>
      </c>
      <c r="K1458" s="1568"/>
      <c r="L1458" s="1568"/>
      <c r="M1458" s="1566">
        <v>0</v>
      </c>
      <c r="N1458" s="1566"/>
      <c r="O1458" s="1566"/>
      <c r="P1458" s="1566">
        <v>0</v>
      </c>
      <c r="Q1458" s="1566"/>
      <c r="R1458" s="1566"/>
      <c r="S1458" s="1566">
        <v>23993.73</v>
      </c>
      <c r="T1458" s="1566"/>
      <c r="U1458" s="1566"/>
      <c r="V1458" s="1566"/>
      <c r="W1458" s="1566">
        <v>23993.73</v>
      </c>
      <c r="X1458" s="1566"/>
      <c r="Y1458" s="1566"/>
      <c r="Z1458" s="1566"/>
      <c r="AA1458" s="1566">
        <v>0</v>
      </c>
      <c r="AB1458" s="1566"/>
      <c r="AC1458" s="1566"/>
      <c r="AD1458" s="1566"/>
      <c r="AE1458" s="1566"/>
      <c r="AF1458" s="1566"/>
      <c r="AG1458" s="1566">
        <v>0</v>
      </c>
      <c r="AH1458" s="1566"/>
      <c r="AI1458" s="1566"/>
      <c r="AJ1458" s="1566"/>
      <c r="AK1458" s="1566"/>
    </row>
    <row r="1459" spans="2:37" ht="9.4" customHeight="1">
      <c r="B1459" s="1568" t="s">
        <v>1326</v>
      </c>
      <c r="C1459" s="1568"/>
      <c r="D1459" s="1568"/>
      <c r="E1459" s="1568" t="s">
        <v>6262</v>
      </c>
      <c r="F1459" s="1568"/>
      <c r="G1459" s="1568"/>
      <c r="H1459" s="1568"/>
      <c r="J1459" s="1568" t="s">
        <v>2479</v>
      </c>
      <c r="K1459" s="1568"/>
      <c r="L1459" s="1568"/>
      <c r="M1459" s="1566">
        <v>0</v>
      </c>
      <c r="N1459" s="1566"/>
      <c r="O1459" s="1566"/>
      <c r="P1459" s="1566">
        <v>0</v>
      </c>
      <c r="Q1459" s="1566"/>
      <c r="R1459" s="1566"/>
      <c r="S1459" s="1566">
        <v>1407.75</v>
      </c>
      <c r="T1459" s="1566"/>
      <c r="U1459" s="1566"/>
      <c r="V1459" s="1566"/>
      <c r="W1459" s="1566">
        <v>1407.75</v>
      </c>
      <c r="X1459" s="1566"/>
      <c r="Y1459" s="1566"/>
      <c r="Z1459" s="1566"/>
      <c r="AA1459" s="1566">
        <v>0</v>
      </c>
      <c r="AB1459" s="1566"/>
      <c r="AC1459" s="1566"/>
      <c r="AD1459" s="1566"/>
      <c r="AE1459" s="1566"/>
      <c r="AF1459" s="1566"/>
      <c r="AG1459" s="1566">
        <v>0</v>
      </c>
      <c r="AH1459" s="1566"/>
      <c r="AI1459" s="1566"/>
      <c r="AJ1459" s="1566"/>
      <c r="AK1459" s="1566"/>
    </row>
    <row r="1460" spans="2:37" ht="9.4" customHeight="1">
      <c r="B1460" s="1568" t="s">
        <v>1326</v>
      </c>
      <c r="C1460" s="1568"/>
      <c r="D1460" s="1568"/>
      <c r="E1460" s="1568" t="s">
        <v>3334</v>
      </c>
      <c r="F1460" s="1568"/>
      <c r="G1460" s="1568"/>
      <c r="H1460" s="1568"/>
      <c r="J1460" s="1568" t="s">
        <v>2481</v>
      </c>
      <c r="K1460" s="1568"/>
      <c r="L1460" s="1568"/>
      <c r="M1460" s="1566">
        <v>0</v>
      </c>
      <c r="N1460" s="1566"/>
      <c r="O1460" s="1566"/>
      <c r="P1460" s="1566">
        <v>0</v>
      </c>
      <c r="Q1460" s="1566"/>
      <c r="R1460" s="1566"/>
      <c r="S1460" s="1566">
        <v>24776.53</v>
      </c>
      <c r="T1460" s="1566"/>
      <c r="U1460" s="1566"/>
      <c r="V1460" s="1566"/>
      <c r="W1460" s="1566">
        <v>24776.53</v>
      </c>
      <c r="X1460" s="1566"/>
      <c r="Y1460" s="1566"/>
      <c r="Z1460" s="1566"/>
      <c r="AA1460" s="1566">
        <v>0</v>
      </c>
      <c r="AB1460" s="1566"/>
      <c r="AC1460" s="1566"/>
      <c r="AD1460" s="1566"/>
      <c r="AE1460" s="1566"/>
      <c r="AF1460" s="1566"/>
      <c r="AG1460" s="1566">
        <v>0</v>
      </c>
      <c r="AH1460" s="1566"/>
      <c r="AI1460" s="1566"/>
      <c r="AJ1460" s="1566"/>
      <c r="AK1460" s="1566"/>
    </row>
    <row r="1461" spans="2:37" ht="9.4" customHeight="1">
      <c r="B1461" s="1568" t="s">
        <v>1326</v>
      </c>
      <c r="C1461" s="1568"/>
      <c r="D1461" s="1568"/>
      <c r="E1461" s="1568" t="s">
        <v>4083</v>
      </c>
      <c r="F1461" s="1568"/>
      <c r="G1461" s="1568"/>
      <c r="H1461" s="1568"/>
      <c r="J1461" s="1568" t="s">
        <v>2483</v>
      </c>
      <c r="K1461" s="1568"/>
      <c r="L1461" s="1568"/>
      <c r="M1461" s="1566">
        <v>0</v>
      </c>
      <c r="N1461" s="1566"/>
      <c r="O1461" s="1566"/>
      <c r="P1461" s="1566">
        <v>0</v>
      </c>
      <c r="Q1461" s="1566"/>
      <c r="R1461" s="1566"/>
      <c r="S1461" s="1566">
        <v>263.61</v>
      </c>
      <c r="T1461" s="1566"/>
      <c r="U1461" s="1566"/>
      <c r="V1461" s="1566"/>
      <c r="W1461" s="1566">
        <v>263.61</v>
      </c>
      <c r="X1461" s="1566"/>
      <c r="Y1461" s="1566"/>
      <c r="Z1461" s="1566"/>
      <c r="AA1461" s="1566">
        <v>0</v>
      </c>
      <c r="AB1461" s="1566"/>
      <c r="AC1461" s="1566"/>
      <c r="AD1461" s="1566"/>
      <c r="AE1461" s="1566"/>
      <c r="AF1461" s="1566"/>
      <c r="AG1461" s="1566">
        <v>0</v>
      </c>
      <c r="AH1461" s="1566"/>
      <c r="AI1461" s="1566"/>
      <c r="AJ1461" s="1566"/>
      <c r="AK1461" s="1566"/>
    </row>
    <row r="1462" spans="2:37" ht="9.4" customHeight="1">
      <c r="B1462" s="1568" t="s">
        <v>1326</v>
      </c>
      <c r="C1462" s="1568"/>
      <c r="D1462" s="1568"/>
      <c r="E1462" s="1568" t="s">
        <v>6263</v>
      </c>
      <c r="F1462" s="1568"/>
      <c r="G1462" s="1568"/>
      <c r="H1462" s="1568"/>
      <c r="J1462" s="1568" t="s">
        <v>2487</v>
      </c>
      <c r="K1462" s="1568"/>
      <c r="L1462" s="1568"/>
      <c r="M1462" s="1566">
        <v>0</v>
      </c>
      <c r="N1462" s="1566"/>
      <c r="O1462" s="1566"/>
      <c r="P1462" s="1566">
        <v>0</v>
      </c>
      <c r="Q1462" s="1566"/>
      <c r="R1462" s="1566"/>
      <c r="S1462" s="1566">
        <v>3000</v>
      </c>
      <c r="T1462" s="1566"/>
      <c r="U1462" s="1566"/>
      <c r="V1462" s="1566"/>
      <c r="W1462" s="1566">
        <v>3000</v>
      </c>
      <c r="X1462" s="1566"/>
      <c r="Y1462" s="1566"/>
      <c r="Z1462" s="1566"/>
      <c r="AA1462" s="1566">
        <v>0</v>
      </c>
      <c r="AB1462" s="1566"/>
      <c r="AC1462" s="1566"/>
      <c r="AD1462" s="1566"/>
      <c r="AE1462" s="1566"/>
      <c r="AF1462" s="1566"/>
      <c r="AG1462" s="1566">
        <v>0</v>
      </c>
      <c r="AH1462" s="1566"/>
      <c r="AI1462" s="1566"/>
      <c r="AJ1462" s="1566"/>
      <c r="AK1462" s="1566"/>
    </row>
    <row r="1463" spans="2:37" ht="9.4" customHeight="1">
      <c r="B1463" s="1568" t="s">
        <v>1326</v>
      </c>
      <c r="C1463" s="1568"/>
      <c r="D1463" s="1568"/>
      <c r="E1463" s="1568" t="s">
        <v>2668</v>
      </c>
      <c r="F1463" s="1568"/>
      <c r="G1463" s="1568"/>
      <c r="H1463" s="1568"/>
      <c r="J1463" s="1568" t="s">
        <v>2491</v>
      </c>
      <c r="K1463" s="1568"/>
      <c r="L1463" s="1568"/>
      <c r="M1463" s="1566">
        <v>0</v>
      </c>
      <c r="N1463" s="1566"/>
      <c r="O1463" s="1566"/>
      <c r="P1463" s="1566">
        <v>0</v>
      </c>
      <c r="Q1463" s="1566"/>
      <c r="R1463" s="1566"/>
      <c r="S1463" s="1566">
        <v>25956.639999999999</v>
      </c>
      <c r="T1463" s="1566"/>
      <c r="U1463" s="1566"/>
      <c r="V1463" s="1566"/>
      <c r="W1463" s="1566">
        <v>25956.639999999999</v>
      </c>
      <c r="X1463" s="1566"/>
      <c r="Y1463" s="1566"/>
      <c r="Z1463" s="1566"/>
      <c r="AA1463" s="1566">
        <v>0</v>
      </c>
      <c r="AB1463" s="1566"/>
      <c r="AC1463" s="1566"/>
      <c r="AD1463" s="1566"/>
      <c r="AE1463" s="1566"/>
      <c r="AF1463" s="1566"/>
      <c r="AG1463" s="1566">
        <v>0</v>
      </c>
      <c r="AH1463" s="1566"/>
      <c r="AI1463" s="1566"/>
      <c r="AJ1463" s="1566"/>
      <c r="AK1463" s="1566"/>
    </row>
    <row r="1464" spans="2:37" ht="9.4" customHeight="1">
      <c r="B1464" s="1568" t="s">
        <v>1326</v>
      </c>
      <c r="C1464" s="1568"/>
      <c r="D1464" s="1568"/>
      <c r="E1464" s="1568" t="s">
        <v>2669</v>
      </c>
      <c r="F1464" s="1568"/>
      <c r="G1464" s="1568"/>
      <c r="H1464" s="1568"/>
      <c r="J1464" s="1568" t="s">
        <v>2493</v>
      </c>
      <c r="K1464" s="1568"/>
      <c r="L1464" s="1568"/>
      <c r="M1464" s="1566">
        <v>0</v>
      </c>
      <c r="N1464" s="1566"/>
      <c r="O1464" s="1566"/>
      <c r="P1464" s="1566">
        <v>0</v>
      </c>
      <c r="Q1464" s="1566"/>
      <c r="R1464" s="1566"/>
      <c r="S1464" s="1566">
        <v>0</v>
      </c>
      <c r="T1464" s="1566"/>
      <c r="U1464" s="1566"/>
      <c r="V1464" s="1566"/>
      <c r="W1464" s="1566">
        <v>0</v>
      </c>
      <c r="X1464" s="1566"/>
      <c r="Y1464" s="1566"/>
      <c r="Z1464" s="1566"/>
      <c r="AA1464" s="1566">
        <v>0</v>
      </c>
      <c r="AB1464" s="1566"/>
      <c r="AC1464" s="1566"/>
      <c r="AD1464" s="1566"/>
      <c r="AE1464" s="1566"/>
      <c r="AF1464" s="1566"/>
      <c r="AG1464" s="1566">
        <v>0</v>
      </c>
      <c r="AH1464" s="1566"/>
      <c r="AI1464" s="1566"/>
      <c r="AJ1464" s="1566"/>
      <c r="AK1464" s="1566"/>
    </row>
    <row r="1465" spans="2:37" ht="9.4" customHeight="1">
      <c r="B1465" s="1568" t="s">
        <v>1326</v>
      </c>
      <c r="C1465" s="1568"/>
      <c r="D1465" s="1568"/>
      <c r="E1465" s="1568" t="s">
        <v>2670</v>
      </c>
      <c r="F1465" s="1568"/>
      <c r="G1465" s="1568"/>
      <c r="H1465" s="1568"/>
      <c r="J1465" s="1568" t="s">
        <v>2495</v>
      </c>
      <c r="K1465" s="1568"/>
      <c r="L1465" s="1568"/>
      <c r="M1465" s="1566">
        <v>0</v>
      </c>
      <c r="N1465" s="1566"/>
      <c r="O1465" s="1566"/>
      <c r="P1465" s="1566">
        <v>0</v>
      </c>
      <c r="Q1465" s="1566"/>
      <c r="R1465" s="1566"/>
      <c r="S1465" s="1566">
        <v>5367.4</v>
      </c>
      <c r="T1465" s="1566"/>
      <c r="U1465" s="1566"/>
      <c r="V1465" s="1566"/>
      <c r="W1465" s="1566">
        <v>5367.4</v>
      </c>
      <c r="X1465" s="1566"/>
      <c r="Y1465" s="1566"/>
      <c r="Z1465" s="1566"/>
      <c r="AA1465" s="1566">
        <v>0</v>
      </c>
      <c r="AB1465" s="1566"/>
      <c r="AC1465" s="1566"/>
      <c r="AD1465" s="1566"/>
      <c r="AE1465" s="1566"/>
      <c r="AF1465" s="1566"/>
      <c r="AG1465" s="1566">
        <v>0</v>
      </c>
      <c r="AH1465" s="1566"/>
      <c r="AI1465" s="1566"/>
      <c r="AJ1465" s="1566"/>
      <c r="AK1465" s="1566"/>
    </row>
    <row r="1466" spans="2:37" ht="9.4" customHeight="1">
      <c r="B1466" s="1568" t="s">
        <v>1326</v>
      </c>
      <c r="C1466" s="1568"/>
      <c r="D1466" s="1568"/>
      <c r="E1466" s="1568" t="s">
        <v>2671</v>
      </c>
      <c r="F1466" s="1568"/>
      <c r="G1466" s="1568"/>
      <c r="H1466" s="1568"/>
      <c r="J1466" s="1568" t="s">
        <v>2426</v>
      </c>
      <c r="K1466" s="1568"/>
      <c r="L1466" s="1568"/>
      <c r="M1466" s="1566">
        <v>0</v>
      </c>
      <c r="N1466" s="1566"/>
      <c r="O1466" s="1566"/>
      <c r="P1466" s="1566">
        <v>0</v>
      </c>
      <c r="Q1466" s="1566"/>
      <c r="R1466" s="1566"/>
      <c r="S1466" s="1566">
        <v>10236.879999999999</v>
      </c>
      <c r="T1466" s="1566"/>
      <c r="U1466" s="1566"/>
      <c r="V1466" s="1566"/>
      <c r="W1466" s="1566">
        <v>10236.879999999999</v>
      </c>
      <c r="X1466" s="1566"/>
      <c r="Y1466" s="1566"/>
      <c r="Z1466" s="1566"/>
      <c r="AA1466" s="1566">
        <v>0</v>
      </c>
      <c r="AB1466" s="1566"/>
      <c r="AC1466" s="1566"/>
      <c r="AD1466" s="1566"/>
      <c r="AE1466" s="1566"/>
      <c r="AF1466" s="1566"/>
      <c r="AG1466" s="1566">
        <v>0</v>
      </c>
      <c r="AH1466" s="1566"/>
      <c r="AI1466" s="1566"/>
      <c r="AJ1466" s="1566"/>
      <c r="AK1466" s="1566"/>
    </row>
    <row r="1467" spans="2:37" ht="9.4" customHeight="1">
      <c r="B1467" s="1568" t="s">
        <v>1326</v>
      </c>
      <c r="C1467" s="1568"/>
      <c r="D1467" s="1568"/>
      <c r="E1467" s="1568" t="s">
        <v>6791</v>
      </c>
      <c r="F1467" s="1568"/>
      <c r="G1467" s="1568"/>
      <c r="H1467" s="1568"/>
      <c r="J1467" s="1568" t="s">
        <v>2498</v>
      </c>
      <c r="K1467" s="1568"/>
      <c r="L1467" s="1568"/>
      <c r="M1467" s="1566">
        <v>0</v>
      </c>
      <c r="N1467" s="1566"/>
      <c r="O1467" s="1566"/>
      <c r="P1467" s="1566">
        <v>0</v>
      </c>
      <c r="Q1467" s="1566"/>
      <c r="R1467" s="1566"/>
      <c r="S1467" s="1566">
        <v>559.16</v>
      </c>
      <c r="T1467" s="1566"/>
      <c r="U1467" s="1566"/>
      <c r="V1467" s="1566"/>
      <c r="W1467" s="1566">
        <v>559.16</v>
      </c>
      <c r="X1467" s="1566"/>
      <c r="Y1467" s="1566"/>
      <c r="Z1467" s="1566"/>
      <c r="AA1467" s="1566">
        <v>0</v>
      </c>
      <c r="AB1467" s="1566"/>
      <c r="AC1467" s="1566"/>
      <c r="AD1467" s="1566"/>
      <c r="AE1467" s="1566"/>
      <c r="AF1467" s="1566"/>
      <c r="AG1467" s="1566">
        <v>0</v>
      </c>
      <c r="AH1467" s="1566"/>
      <c r="AI1467" s="1566"/>
      <c r="AJ1467" s="1566"/>
      <c r="AK1467" s="1566"/>
    </row>
    <row r="1468" spans="2:37" ht="9.4" customHeight="1">
      <c r="B1468" s="1568" t="s">
        <v>1326</v>
      </c>
      <c r="C1468" s="1568"/>
      <c r="D1468" s="1568"/>
      <c r="E1468" s="1568" t="s">
        <v>3335</v>
      </c>
      <c r="F1468" s="1568"/>
      <c r="G1468" s="1568"/>
      <c r="H1468" s="1568"/>
      <c r="J1468" s="1568" t="s">
        <v>2428</v>
      </c>
      <c r="K1468" s="1568"/>
      <c r="L1468" s="1568"/>
      <c r="M1468" s="1566">
        <v>0</v>
      </c>
      <c r="N1468" s="1566"/>
      <c r="O1468" s="1566"/>
      <c r="P1468" s="1566">
        <v>0</v>
      </c>
      <c r="Q1468" s="1566"/>
      <c r="R1468" s="1566"/>
      <c r="S1468" s="1566">
        <v>580</v>
      </c>
      <c r="T1468" s="1566"/>
      <c r="U1468" s="1566"/>
      <c r="V1468" s="1566"/>
      <c r="W1468" s="1566">
        <v>580</v>
      </c>
      <c r="X1468" s="1566"/>
      <c r="Y1468" s="1566"/>
      <c r="Z1468" s="1566"/>
      <c r="AA1468" s="1566">
        <v>0</v>
      </c>
      <c r="AB1468" s="1566"/>
      <c r="AC1468" s="1566"/>
      <c r="AD1468" s="1566"/>
      <c r="AE1468" s="1566"/>
      <c r="AF1468" s="1566"/>
      <c r="AG1468" s="1566">
        <v>0</v>
      </c>
      <c r="AH1468" s="1566"/>
      <c r="AI1468" s="1566"/>
      <c r="AJ1468" s="1566"/>
      <c r="AK1468" s="1566"/>
    </row>
    <row r="1469" spans="2:37" ht="9.1999999999999993" customHeight="1">
      <c r="J1469" s="1568"/>
      <c r="K1469" s="1568"/>
      <c r="L1469" s="1568"/>
    </row>
    <row r="1470" spans="2:37" ht="8.4499999999999993" customHeight="1">
      <c r="B1470" s="1568" t="s">
        <v>1326</v>
      </c>
      <c r="C1470" s="1568"/>
      <c r="D1470" s="1568"/>
      <c r="E1470" s="1568" t="s">
        <v>6264</v>
      </c>
      <c r="F1470" s="1568"/>
      <c r="G1470" s="1568"/>
      <c r="H1470" s="1568"/>
      <c r="J1470" s="1568" t="s">
        <v>2503</v>
      </c>
      <c r="K1470" s="1568"/>
      <c r="L1470" s="1568"/>
      <c r="M1470" s="1566">
        <v>0</v>
      </c>
      <c r="N1470" s="1566"/>
      <c r="O1470" s="1566"/>
      <c r="P1470" s="1566">
        <v>0</v>
      </c>
      <c r="Q1470" s="1566"/>
      <c r="R1470" s="1566"/>
      <c r="S1470" s="1566">
        <v>0</v>
      </c>
      <c r="T1470" s="1566"/>
      <c r="U1470" s="1566"/>
      <c r="V1470" s="1566"/>
      <c r="W1470" s="1566">
        <v>0</v>
      </c>
      <c r="X1470" s="1566"/>
      <c r="Y1470" s="1566"/>
      <c r="Z1470" s="1566"/>
      <c r="AA1470" s="1566">
        <v>0</v>
      </c>
      <c r="AB1470" s="1566"/>
      <c r="AC1470" s="1566"/>
      <c r="AD1470" s="1566"/>
      <c r="AE1470" s="1566"/>
      <c r="AF1470" s="1566"/>
      <c r="AG1470" s="1566">
        <v>0</v>
      </c>
      <c r="AH1470" s="1566"/>
      <c r="AI1470" s="1566"/>
      <c r="AJ1470" s="1566"/>
      <c r="AK1470" s="1566"/>
    </row>
    <row r="1471" spans="2:37" ht="9.4" customHeight="1">
      <c r="B1471" s="1568" t="s">
        <v>1326</v>
      </c>
      <c r="C1471" s="1568"/>
      <c r="D1471" s="1568"/>
      <c r="E1471" s="1568" t="s">
        <v>2673</v>
      </c>
      <c r="F1471" s="1568"/>
      <c r="G1471" s="1568"/>
      <c r="H1471" s="1568"/>
      <c r="J1471" s="1568" t="s">
        <v>2505</v>
      </c>
      <c r="K1471" s="1568"/>
      <c r="L1471" s="1568"/>
      <c r="M1471" s="1566">
        <v>0</v>
      </c>
      <c r="N1471" s="1566"/>
      <c r="O1471" s="1566"/>
      <c r="P1471" s="1566">
        <v>0</v>
      </c>
      <c r="Q1471" s="1566"/>
      <c r="R1471" s="1566"/>
      <c r="S1471" s="1566">
        <v>12752.6</v>
      </c>
      <c r="T1471" s="1566"/>
      <c r="U1471" s="1566"/>
      <c r="V1471" s="1566"/>
      <c r="W1471" s="1566">
        <v>12752.6</v>
      </c>
      <c r="X1471" s="1566"/>
      <c r="Y1471" s="1566"/>
      <c r="Z1471" s="1566"/>
      <c r="AA1471" s="1566">
        <v>0</v>
      </c>
      <c r="AB1471" s="1566"/>
      <c r="AC1471" s="1566"/>
      <c r="AD1471" s="1566"/>
      <c r="AE1471" s="1566"/>
      <c r="AF1471" s="1566"/>
      <c r="AG1471" s="1566">
        <v>0</v>
      </c>
      <c r="AH1471" s="1566"/>
      <c r="AI1471" s="1566"/>
      <c r="AJ1471" s="1566"/>
      <c r="AK1471" s="1566"/>
    </row>
    <row r="1472" spans="2:37" ht="9.1999999999999993" customHeight="1">
      <c r="J1472" s="1568"/>
      <c r="K1472" s="1568"/>
      <c r="L1472" s="1568"/>
    </row>
    <row r="1473" spans="2:37" ht="8.4499999999999993" customHeight="1">
      <c r="B1473" s="1568" t="s">
        <v>1326</v>
      </c>
      <c r="C1473" s="1568"/>
      <c r="D1473" s="1568"/>
      <c r="E1473" s="1568" t="s">
        <v>2674</v>
      </c>
      <c r="F1473" s="1568"/>
      <c r="G1473" s="1568"/>
      <c r="H1473" s="1568"/>
      <c r="J1473" s="1568" t="s">
        <v>2507</v>
      </c>
      <c r="K1473" s="1568"/>
      <c r="L1473" s="1568"/>
      <c r="M1473" s="1566">
        <v>0</v>
      </c>
      <c r="N1473" s="1566"/>
      <c r="O1473" s="1566"/>
      <c r="P1473" s="1566">
        <v>0</v>
      </c>
      <c r="Q1473" s="1566"/>
      <c r="R1473" s="1566"/>
      <c r="S1473" s="1566">
        <v>46510.21</v>
      </c>
      <c r="T1473" s="1566"/>
      <c r="U1473" s="1566"/>
      <c r="V1473" s="1566"/>
      <c r="W1473" s="1566">
        <v>46510.21</v>
      </c>
      <c r="X1473" s="1566"/>
      <c r="Y1473" s="1566"/>
      <c r="Z1473" s="1566"/>
      <c r="AA1473" s="1566">
        <v>0</v>
      </c>
      <c r="AB1473" s="1566"/>
      <c r="AC1473" s="1566"/>
      <c r="AD1473" s="1566"/>
      <c r="AE1473" s="1566"/>
      <c r="AF1473" s="1566"/>
      <c r="AG1473" s="1566">
        <v>0</v>
      </c>
      <c r="AH1473" s="1566"/>
      <c r="AI1473" s="1566"/>
      <c r="AJ1473" s="1566"/>
      <c r="AK1473" s="1566"/>
    </row>
    <row r="1474" spans="2:37" ht="9.4" customHeight="1">
      <c r="B1474" s="1568" t="s">
        <v>1326</v>
      </c>
      <c r="C1474" s="1568"/>
      <c r="D1474" s="1568"/>
      <c r="E1474" s="1568" t="s">
        <v>2675</v>
      </c>
      <c r="F1474" s="1568"/>
      <c r="G1474" s="1568"/>
      <c r="H1474" s="1568"/>
      <c r="J1474" s="1568" t="s">
        <v>2514</v>
      </c>
      <c r="K1474" s="1568"/>
      <c r="L1474" s="1568"/>
      <c r="M1474" s="1566">
        <v>0</v>
      </c>
      <c r="N1474" s="1566"/>
      <c r="O1474" s="1566"/>
      <c r="P1474" s="1566">
        <v>0</v>
      </c>
      <c r="Q1474" s="1566"/>
      <c r="R1474" s="1566"/>
      <c r="S1474" s="1566">
        <v>6650.72</v>
      </c>
      <c r="T1474" s="1566"/>
      <c r="U1474" s="1566"/>
      <c r="V1474" s="1566"/>
      <c r="W1474" s="1566">
        <v>6650.72</v>
      </c>
      <c r="X1474" s="1566"/>
      <c r="Y1474" s="1566"/>
      <c r="Z1474" s="1566"/>
      <c r="AA1474" s="1566">
        <v>0</v>
      </c>
      <c r="AB1474" s="1566"/>
      <c r="AC1474" s="1566"/>
      <c r="AD1474" s="1566"/>
      <c r="AE1474" s="1566"/>
      <c r="AF1474" s="1566"/>
      <c r="AG1474" s="1566">
        <v>0</v>
      </c>
      <c r="AH1474" s="1566"/>
      <c r="AI1474" s="1566"/>
      <c r="AJ1474" s="1566"/>
      <c r="AK1474" s="1566"/>
    </row>
    <row r="1475" spans="2:37" ht="9.4" customHeight="1">
      <c r="B1475" s="1568" t="s">
        <v>1326</v>
      </c>
      <c r="C1475" s="1568"/>
      <c r="D1475" s="1568"/>
      <c r="E1475" s="1568" t="s">
        <v>2676</v>
      </c>
      <c r="F1475" s="1568"/>
      <c r="G1475" s="1568"/>
      <c r="H1475" s="1568"/>
      <c r="J1475" s="1568" t="s">
        <v>2516</v>
      </c>
      <c r="K1475" s="1568"/>
      <c r="L1475" s="1568"/>
      <c r="M1475" s="1566">
        <v>0</v>
      </c>
      <c r="N1475" s="1566"/>
      <c r="O1475" s="1566"/>
      <c r="P1475" s="1566">
        <v>0</v>
      </c>
      <c r="Q1475" s="1566"/>
      <c r="R1475" s="1566"/>
      <c r="S1475" s="1566">
        <v>19956.84</v>
      </c>
      <c r="T1475" s="1566"/>
      <c r="U1475" s="1566"/>
      <c r="V1475" s="1566"/>
      <c r="W1475" s="1566">
        <v>19956.84</v>
      </c>
      <c r="X1475" s="1566"/>
      <c r="Y1475" s="1566"/>
      <c r="Z1475" s="1566"/>
      <c r="AA1475" s="1566">
        <v>0</v>
      </c>
      <c r="AB1475" s="1566"/>
      <c r="AC1475" s="1566"/>
      <c r="AD1475" s="1566"/>
      <c r="AE1475" s="1566"/>
      <c r="AF1475" s="1566"/>
      <c r="AG1475" s="1566">
        <v>0</v>
      </c>
      <c r="AH1475" s="1566"/>
      <c r="AI1475" s="1566"/>
      <c r="AJ1475" s="1566"/>
      <c r="AK1475" s="1566"/>
    </row>
    <row r="1476" spans="2:37" ht="9.4" customHeight="1">
      <c r="B1476" s="1568" t="s">
        <v>1326</v>
      </c>
      <c r="C1476" s="1568"/>
      <c r="D1476" s="1568"/>
      <c r="E1476" s="1568" t="s">
        <v>2972</v>
      </c>
      <c r="F1476" s="1568"/>
      <c r="G1476" s="1568"/>
      <c r="H1476" s="1568"/>
      <c r="J1476" s="1568" t="s">
        <v>2518</v>
      </c>
      <c r="K1476" s="1568"/>
      <c r="L1476" s="1568"/>
      <c r="M1476" s="1566">
        <v>0</v>
      </c>
      <c r="N1476" s="1566"/>
      <c r="O1476" s="1566"/>
      <c r="P1476" s="1566">
        <v>0</v>
      </c>
      <c r="Q1476" s="1566"/>
      <c r="R1476" s="1566"/>
      <c r="S1476" s="1566">
        <v>7491.12</v>
      </c>
      <c r="T1476" s="1566"/>
      <c r="U1476" s="1566"/>
      <c r="V1476" s="1566"/>
      <c r="W1476" s="1566">
        <v>7491.12</v>
      </c>
      <c r="X1476" s="1566"/>
      <c r="Y1476" s="1566"/>
      <c r="Z1476" s="1566"/>
      <c r="AA1476" s="1566">
        <v>0</v>
      </c>
      <c r="AB1476" s="1566"/>
      <c r="AC1476" s="1566"/>
      <c r="AD1476" s="1566"/>
      <c r="AE1476" s="1566"/>
      <c r="AF1476" s="1566"/>
      <c r="AG1476" s="1566">
        <v>0</v>
      </c>
      <c r="AH1476" s="1566"/>
      <c r="AI1476" s="1566"/>
      <c r="AJ1476" s="1566"/>
      <c r="AK1476" s="1566"/>
    </row>
    <row r="1477" spans="2:37" ht="9.4" customHeight="1">
      <c r="B1477" s="1568" t="s">
        <v>1326</v>
      </c>
      <c r="C1477" s="1568"/>
      <c r="D1477" s="1568"/>
      <c r="E1477" s="1568" t="s">
        <v>2677</v>
      </c>
      <c r="F1477" s="1568"/>
      <c r="G1477" s="1568"/>
      <c r="H1477" s="1568"/>
      <c r="J1477" s="1568" t="s">
        <v>2392</v>
      </c>
      <c r="K1477" s="1568"/>
      <c r="L1477" s="1568"/>
      <c r="M1477" s="1566">
        <v>0</v>
      </c>
      <c r="N1477" s="1566"/>
      <c r="O1477" s="1566"/>
      <c r="P1477" s="1566">
        <v>0</v>
      </c>
      <c r="Q1477" s="1566"/>
      <c r="R1477" s="1566"/>
      <c r="S1477" s="1566">
        <v>207421.8</v>
      </c>
      <c r="T1477" s="1566"/>
      <c r="U1477" s="1566"/>
      <c r="V1477" s="1566"/>
      <c r="W1477" s="1566">
        <v>207421.8</v>
      </c>
      <c r="X1477" s="1566"/>
      <c r="Y1477" s="1566"/>
      <c r="Z1477" s="1566"/>
      <c r="AA1477" s="1566">
        <v>0</v>
      </c>
      <c r="AB1477" s="1566"/>
      <c r="AC1477" s="1566"/>
      <c r="AD1477" s="1566"/>
      <c r="AE1477" s="1566"/>
      <c r="AF1477" s="1566"/>
      <c r="AG1477" s="1566">
        <v>0</v>
      </c>
      <c r="AH1477" s="1566"/>
      <c r="AI1477" s="1566"/>
      <c r="AJ1477" s="1566"/>
      <c r="AK1477" s="1566"/>
    </row>
    <row r="1478" spans="2:37" ht="9.4" customHeight="1">
      <c r="B1478" s="1568" t="s">
        <v>1326</v>
      </c>
      <c r="C1478" s="1568"/>
      <c r="D1478" s="1568"/>
      <c r="E1478" s="1568" t="s">
        <v>2678</v>
      </c>
      <c r="F1478" s="1568"/>
      <c r="G1478" s="1568"/>
      <c r="H1478" s="1568"/>
      <c r="J1478" s="1568" t="s">
        <v>2401</v>
      </c>
      <c r="K1478" s="1568"/>
      <c r="L1478" s="1568"/>
      <c r="M1478" s="1566">
        <v>0</v>
      </c>
      <c r="N1478" s="1566"/>
      <c r="O1478" s="1566"/>
      <c r="P1478" s="1566">
        <v>0</v>
      </c>
      <c r="Q1478" s="1566"/>
      <c r="R1478" s="1566"/>
      <c r="S1478" s="1566">
        <v>35261.760000000002</v>
      </c>
      <c r="T1478" s="1566"/>
      <c r="U1478" s="1566"/>
      <c r="V1478" s="1566"/>
      <c r="W1478" s="1566">
        <v>35261.760000000002</v>
      </c>
      <c r="X1478" s="1566"/>
      <c r="Y1478" s="1566"/>
      <c r="Z1478" s="1566"/>
      <c r="AA1478" s="1566">
        <v>0</v>
      </c>
      <c r="AB1478" s="1566"/>
      <c r="AC1478" s="1566"/>
      <c r="AD1478" s="1566"/>
      <c r="AE1478" s="1566"/>
      <c r="AF1478" s="1566"/>
      <c r="AG1478" s="1566">
        <v>0</v>
      </c>
      <c r="AH1478" s="1566"/>
      <c r="AI1478" s="1566"/>
      <c r="AJ1478" s="1566"/>
      <c r="AK1478" s="1566"/>
    </row>
    <row r="1479" spans="2:37" ht="9.4" customHeight="1">
      <c r="B1479" s="1568" t="s">
        <v>1326</v>
      </c>
      <c r="C1479" s="1568"/>
      <c r="D1479" s="1568"/>
      <c r="E1479" s="1568" t="s">
        <v>2679</v>
      </c>
      <c r="F1479" s="1568"/>
      <c r="G1479" s="1568"/>
      <c r="H1479" s="1568"/>
      <c r="J1479" s="1568" t="s">
        <v>2403</v>
      </c>
      <c r="K1479" s="1568"/>
      <c r="L1479" s="1568"/>
      <c r="M1479" s="1566">
        <v>0</v>
      </c>
      <c r="N1479" s="1566"/>
      <c r="O1479" s="1566"/>
      <c r="P1479" s="1566">
        <v>0</v>
      </c>
      <c r="Q1479" s="1566"/>
      <c r="R1479" s="1566"/>
      <c r="S1479" s="1566">
        <v>451.21</v>
      </c>
      <c r="T1479" s="1566"/>
      <c r="U1479" s="1566"/>
      <c r="V1479" s="1566"/>
      <c r="W1479" s="1566">
        <v>451.21</v>
      </c>
      <c r="X1479" s="1566"/>
      <c r="Y1479" s="1566"/>
      <c r="Z1479" s="1566"/>
      <c r="AA1479" s="1566">
        <v>0</v>
      </c>
      <c r="AB1479" s="1566"/>
      <c r="AC1479" s="1566"/>
      <c r="AD1479" s="1566"/>
      <c r="AE1479" s="1566"/>
      <c r="AF1479" s="1566"/>
      <c r="AG1479" s="1566">
        <v>0</v>
      </c>
      <c r="AH1479" s="1566"/>
      <c r="AI1479" s="1566"/>
      <c r="AJ1479" s="1566"/>
      <c r="AK1479" s="1566"/>
    </row>
    <row r="1480" spans="2:37" ht="9.4" customHeight="1">
      <c r="B1480" s="1568" t="s">
        <v>1326</v>
      </c>
      <c r="C1480" s="1568"/>
      <c r="D1480" s="1568"/>
      <c r="E1480" s="1568" t="s">
        <v>2680</v>
      </c>
      <c r="F1480" s="1568"/>
      <c r="G1480" s="1568"/>
      <c r="H1480" s="1568"/>
      <c r="J1480" s="1568" t="s">
        <v>2405</v>
      </c>
      <c r="K1480" s="1568"/>
      <c r="L1480" s="1568"/>
      <c r="M1480" s="1566">
        <v>0</v>
      </c>
      <c r="N1480" s="1566"/>
      <c r="O1480" s="1566"/>
      <c r="P1480" s="1566">
        <v>0</v>
      </c>
      <c r="Q1480" s="1566"/>
      <c r="R1480" s="1566"/>
      <c r="S1480" s="1566">
        <v>13980.72</v>
      </c>
      <c r="T1480" s="1566"/>
      <c r="U1480" s="1566"/>
      <c r="V1480" s="1566"/>
      <c r="W1480" s="1566">
        <v>13980.72</v>
      </c>
      <c r="X1480" s="1566"/>
      <c r="Y1480" s="1566"/>
      <c r="Z1480" s="1566"/>
      <c r="AA1480" s="1566">
        <v>0</v>
      </c>
      <c r="AB1480" s="1566"/>
      <c r="AC1480" s="1566"/>
      <c r="AD1480" s="1566"/>
      <c r="AE1480" s="1566"/>
      <c r="AF1480" s="1566"/>
      <c r="AG1480" s="1566">
        <v>0</v>
      </c>
      <c r="AH1480" s="1566"/>
      <c r="AI1480" s="1566"/>
      <c r="AJ1480" s="1566"/>
      <c r="AK1480" s="1566"/>
    </row>
    <row r="1481" spans="2:37" ht="9.4" customHeight="1">
      <c r="B1481" s="1568" t="s">
        <v>1326</v>
      </c>
      <c r="C1481" s="1568"/>
      <c r="D1481" s="1568"/>
      <c r="E1481" s="1568" t="s">
        <v>2681</v>
      </c>
      <c r="F1481" s="1568"/>
      <c r="G1481" s="1568"/>
      <c r="H1481" s="1568"/>
      <c r="J1481" s="1568" t="s">
        <v>2407</v>
      </c>
      <c r="K1481" s="1568"/>
      <c r="L1481" s="1568"/>
      <c r="M1481" s="1566">
        <v>0</v>
      </c>
      <c r="N1481" s="1566"/>
      <c r="O1481" s="1566"/>
      <c r="P1481" s="1566">
        <v>0</v>
      </c>
      <c r="Q1481" s="1566"/>
      <c r="R1481" s="1566"/>
      <c r="S1481" s="1566">
        <v>10754.4</v>
      </c>
      <c r="T1481" s="1566"/>
      <c r="U1481" s="1566"/>
      <c r="V1481" s="1566"/>
      <c r="W1481" s="1566">
        <v>10754.4</v>
      </c>
      <c r="X1481" s="1566"/>
      <c r="Y1481" s="1566"/>
      <c r="Z1481" s="1566"/>
      <c r="AA1481" s="1566">
        <v>0</v>
      </c>
      <c r="AB1481" s="1566"/>
      <c r="AC1481" s="1566"/>
      <c r="AD1481" s="1566"/>
      <c r="AE1481" s="1566"/>
      <c r="AF1481" s="1566"/>
      <c r="AG1481" s="1566">
        <v>0</v>
      </c>
      <c r="AH1481" s="1566"/>
      <c r="AI1481" s="1566"/>
      <c r="AJ1481" s="1566"/>
      <c r="AK1481" s="1566"/>
    </row>
    <row r="1482" spans="2:37" ht="9.4" customHeight="1">
      <c r="B1482" s="1568" t="s">
        <v>1326</v>
      </c>
      <c r="C1482" s="1568"/>
      <c r="D1482" s="1568"/>
      <c r="E1482" s="1568" t="s">
        <v>2682</v>
      </c>
      <c r="F1482" s="1568"/>
      <c r="G1482" s="1568"/>
      <c r="H1482" s="1568"/>
      <c r="J1482" s="1568" t="s">
        <v>2424</v>
      </c>
      <c r="K1482" s="1568"/>
      <c r="L1482" s="1568"/>
      <c r="M1482" s="1566">
        <v>0</v>
      </c>
      <c r="N1482" s="1566"/>
      <c r="O1482" s="1566"/>
      <c r="P1482" s="1566">
        <v>0</v>
      </c>
      <c r="Q1482" s="1566"/>
      <c r="R1482" s="1566"/>
      <c r="S1482" s="1566">
        <v>133482.20000000001</v>
      </c>
      <c r="T1482" s="1566"/>
      <c r="U1482" s="1566"/>
      <c r="V1482" s="1566"/>
      <c r="W1482" s="1566">
        <v>133482.20000000001</v>
      </c>
      <c r="X1482" s="1566"/>
      <c r="Y1482" s="1566"/>
      <c r="Z1482" s="1566"/>
      <c r="AA1482" s="1566">
        <v>0</v>
      </c>
      <c r="AB1482" s="1566"/>
      <c r="AC1482" s="1566"/>
      <c r="AD1482" s="1566"/>
      <c r="AE1482" s="1566"/>
      <c r="AF1482" s="1566"/>
      <c r="AG1482" s="1566">
        <v>0</v>
      </c>
      <c r="AH1482" s="1566"/>
      <c r="AI1482" s="1566"/>
      <c r="AJ1482" s="1566"/>
      <c r="AK1482" s="1566"/>
    </row>
    <row r="1483" spans="2:37" ht="9.1999999999999993" customHeight="1">
      <c r="J1483" s="1568"/>
      <c r="K1483" s="1568"/>
      <c r="L1483" s="1568"/>
    </row>
    <row r="1484" spans="2:37" ht="8.4499999999999993" customHeight="1">
      <c r="B1484" s="1568" t="s">
        <v>1326</v>
      </c>
      <c r="C1484" s="1568"/>
      <c r="D1484" s="1568"/>
      <c r="E1484" s="1568" t="s">
        <v>2683</v>
      </c>
      <c r="F1484" s="1568"/>
      <c r="G1484" s="1568"/>
      <c r="H1484" s="1568"/>
      <c r="J1484" s="1568" t="s">
        <v>2529</v>
      </c>
      <c r="K1484" s="1568"/>
      <c r="L1484" s="1568"/>
      <c r="M1484" s="1566">
        <v>0</v>
      </c>
      <c r="N1484" s="1566"/>
      <c r="O1484" s="1566"/>
      <c r="P1484" s="1566">
        <v>0</v>
      </c>
      <c r="Q1484" s="1566"/>
      <c r="R1484" s="1566"/>
      <c r="S1484" s="1566">
        <v>13376.28</v>
      </c>
      <c r="T1484" s="1566"/>
      <c r="U1484" s="1566"/>
      <c r="V1484" s="1566"/>
      <c r="W1484" s="1566">
        <v>13376.28</v>
      </c>
      <c r="X1484" s="1566"/>
      <c r="Y1484" s="1566"/>
      <c r="Z1484" s="1566"/>
      <c r="AA1484" s="1566">
        <v>0</v>
      </c>
      <c r="AB1484" s="1566"/>
      <c r="AC1484" s="1566"/>
      <c r="AD1484" s="1566"/>
      <c r="AE1484" s="1566"/>
      <c r="AF1484" s="1566"/>
      <c r="AG1484" s="1566">
        <v>0</v>
      </c>
      <c r="AH1484" s="1566"/>
      <c r="AI1484" s="1566"/>
      <c r="AJ1484" s="1566"/>
      <c r="AK1484" s="1566"/>
    </row>
    <row r="1485" spans="2:37" ht="9.4" customHeight="1">
      <c r="B1485" s="1568" t="s">
        <v>1326</v>
      </c>
      <c r="C1485" s="1568"/>
      <c r="D1485" s="1568"/>
      <c r="E1485" s="1568" t="s">
        <v>3121</v>
      </c>
      <c r="F1485" s="1568"/>
      <c r="G1485" s="1568"/>
      <c r="H1485" s="1568"/>
      <c r="J1485" s="1568" t="s">
        <v>2533</v>
      </c>
      <c r="K1485" s="1568"/>
      <c r="L1485" s="1568"/>
      <c r="M1485" s="1566">
        <v>0</v>
      </c>
      <c r="N1485" s="1566"/>
      <c r="O1485" s="1566"/>
      <c r="P1485" s="1566">
        <v>0</v>
      </c>
      <c r="Q1485" s="1566"/>
      <c r="R1485" s="1566"/>
      <c r="S1485" s="1566">
        <v>125523.16</v>
      </c>
      <c r="T1485" s="1566"/>
      <c r="U1485" s="1566"/>
      <c r="V1485" s="1566"/>
      <c r="W1485" s="1566">
        <v>125523.16</v>
      </c>
      <c r="X1485" s="1566"/>
      <c r="Y1485" s="1566"/>
      <c r="Z1485" s="1566"/>
      <c r="AA1485" s="1566">
        <v>0</v>
      </c>
      <c r="AB1485" s="1566"/>
      <c r="AC1485" s="1566"/>
      <c r="AD1485" s="1566"/>
      <c r="AE1485" s="1566"/>
      <c r="AF1485" s="1566"/>
      <c r="AG1485" s="1566">
        <v>0</v>
      </c>
      <c r="AH1485" s="1566"/>
      <c r="AI1485" s="1566"/>
      <c r="AJ1485" s="1566"/>
      <c r="AK1485" s="1566"/>
    </row>
    <row r="1486" spans="2:37" ht="9.4" customHeight="1">
      <c r="B1486" s="1568" t="s">
        <v>1326</v>
      </c>
      <c r="C1486" s="1568"/>
      <c r="D1486" s="1568"/>
      <c r="E1486" s="1568" t="s">
        <v>6265</v>
      </c>
      <c r="F1486" s="1568"/>
      <c r="G1486" s="1568"/>
      <c r="H1486" s="1568"/>
      <c r="J1486" s="1568" t="s">
        <v>2535</v>
      </c>
      <c r="K1486" s="1568"/>
      <c r="L1486" s="1568"/>
      <c r="M1486" s="1566">
        <v>0</v>
      </c>
      <c r="N1486" s="1566"/>
      <c r="O1486" s="1566"/>
      <c r="P1486" s="1566">
        <v>0</v>
      </c>
      <c r="Q1486" s="1566"/>
      <c r="R1486" s="1566"/>
      <c r="S1486" s="1566">
        <v>0</v>
      </c>
      <c r="T1486" s="1566"/>
      <c r="U1486" s="1566"/>
      <c r="V1486" s="1566"/>
      <c r="W1486" s="1566">
        <v>0</v>
      </c>
      <c r="X1486" s="1566"/>
      <c r="Y1486" s="1566"/>
      <c r="Z1486" s="1566"/>
      <c r="AA1486" s="1566">
        <v>0</v>
      </c>
      <c r="AB1486" s="1566"/>
      <c r="AC1486" s="1566"/>
      <c r="AD1486" s="1566"/>
      <c r="AE1486" s="1566"/>
      <c r="AF1486" s="1566"/>
      <c r="AG1486" s="1566">
        <v>0</v>
      </c>
      <c r="AH1486" s="1566"/>
      <c r="AI1486" s="1566"/>
      <c r="AJ1486" s="1566"/>
      <c r="AK1486" s="1566"/>
    </row>
    <row r="1487" spans="2:37" ht="9.4" customHeight="1">
      <c r="B1487" s="1568" t="s">
        <v>1326</v>
      </c>
      <c r="C1487" s="1568"/>
      <c r="D1487" s="1568"/>
      <c r="E1487" s="1568" t="s">
        <v>1699</v>
      </c>
      <c r="F1487" s="1568"/>
      <c r="G1487" s="1568"/>
      <c r="H1487" s="1568"/>
      <c r="J1487" s="1568" t="s">
        <v>1700</v>
      </c>
      <c r="K1487" s="1568"/>
      <c r="L1487" s="1568"/>
      <c r="M1487" s="1566">
        <v>0</v>
      </c>
      <c r="N1487" s="1566"/>
      <c r="O1487" s="1566"/>
      <c r="P1487" s="1566">
        <v>0</v>
      </c>
      <c r="Q1487" s="1566"/>
      <c r="R1487" s="1566"/>
      <c r="S1487" s="1566">
        <v>3736719.24</v>
      </c>
      <c r="T1487" s="1566"/>
      <c r="U1487" s="1566"/>
      <c r="V1487" s="1566"/>
      <c r="W1487" s="1566">
        <v>3736719.24</v>
      </c>
      <c r="X1487" s="1566"/>
      <c r="Y1487" s="1566"/>
      <c r="Z1487" s="1566"/>
      <c r="AA1487" s="1566">
        <v>0</v>
      </c>
      <c r="AB1487" s="1566"/>
      <c r="AC1487" s="1566"/>
      <c r="AD1487" s="1566"/>
      <c r="AE1487" s="1566"/>
      <c r="AF1487" s="1566"/>
      <c r="AG1487" s="1566">
        <v>0</v>
      </c>
      <c r="AH1487" s="1566"/>
      <c r="AI1487" s="1566"/>
      <c r="AJ1487" s="1566"/>
      <c r="AK1487" s="1566"/>
    </row>
    <row r="1488" spans="2:37" ht="9.4" customHeight="1">
      <c r="B1488" s="1568" t="s">
        <v>1326</v>
      </c>
      <c r="C1488" s="1568"/>
      <c r="D1488" s="1568"/>
      <c r="E1488" s="1568" t="s">
        <v>2684</v>
      </c>
      <c r="F1488" s="1568"/>
      <c r="G1488" s="1568"/>
      <c r="H1488" s="1568"/>
      <c r="J1488" s="1568" t="s">
        <v>2392</v>
      </c>
      <c r="K1488" s="1568"/>
      <c r="L1488" s="1568"/>
      <c r="M1488" s="1566">
        <v>0</v>
      </c>
      <c r="N1488" s="1566"/>
      <c r="O1488" s="1566"/>
      <c r="P1488" s="1566">
        <v>0</v>
      </c>
      <c r="Q1488" s="1566"/>
      <c r="R1488" s="1566"/>
      <c r="S1488" s="1566">
        <v>42271.5</v>
      </c>
      <c r="T1488" s="1566"/>
      <c r="U1488" s="1566"/>
      <c r="V1488" s="1566"/>
      <c r="W1488" s="1566">
        <v>42271.5</v>
      </c>
      <c r="X1488" s="1566"/>
      <c r="Y1488" s="1566"/>
      <c r="Z1488" s="1566"/>
      <c r="AA1488" s="1566">
        <v>0</v>
      </c>
      <c r="AB1488" s="1566"/>
      <c r="AC1488" s="1566"/>
      <c r="AD1488" s="1566"/>
      <c r="AE1488" s="1566"/>
      <c r="AF1488" s="1566"/>
      <c r="AG1488" s="1566">
        <v>0</v>
      </c>
      <c r="AH1488" s="1566"/>
      <c r="AI1488" s="1566"/>
      <c r="AJ1488" s="1566"/>
      <c r="AK1488" s="1566"/>
    </row>
    <row r="1489" spans="1:38" ht="9.4" customHeight="1">
      <c r="B1489" s="1568" t="s">
        <v>1326</v>
      </c>
      <c r="C1489" s="1568"/>
      <c r="D1489" s="1568"/>
      <c r="E1489" s="1568" t="s">
        <v>2685</v>
      </c>
      <c r="F1489" s="1568"/>
      <c r="G1489" s="1568"/>
      <c r="H1489" s="1568"/>
      <c r="J1489" s="1568" t="s">
        <v>2401</v>
      </c>
      <c r="K1489" s="1568"/>
      <c r="L1489" s="1568"/>
      <c r="M1489" s="1566">
        <v>0</v>
      </c>
      <c r="N1489" s="1566"/>
      <c r="O1489" s="1566"/>
      <c r="P1489" s="1566">
        <v>0</v>
      </c>
      <c r="Q1489" s="1566"/>
      <c r="R1489" s="1566"/>
      <c r="S1489" s="1566">
        <v>7186.16</v>
      </c>
      <c r="T1489" s="1566"/>
      <c r="U1489" s="1566"/>
      <c r="V1489" s="1566"/>
      <c r="W1489" s="1566">
        <v>7186.16</v>
      </c>
      <c r="X1489" s="1566"/>
      <c r="Y1489" s="1566"/>
      <c r="Z1489" s="1566"/>
      <c r="AA1489" s="1566">
        <v>0</v>
      </c>
      <c r="AB1489" s="1566"/>
      <c r="AC1489" s="1566"/>
      <c r="AD1489" s="1566"/>
      <c r="AE1489" s="1566"/>
      <c r="AF1489" s="1566"/>
      <c r="AG1489" s="1566">
        <v>0</v>
      </c>
      <c r="AH1489" s="1566"/>
      <c r="AI1489" s="1566"/>
      <c r="AJ1489" s="1566"/>
      <c r="AK1489" s="1566"/>
    </row>
    <row r="1490" spans="1:38" ht="9.4" customHeight="1">
      <c r="B1490" s="1568" t="s">
        <v>1326</v>
      </c>
      <c r="C1490" s="1568"/>
      <c r="D1490" s="1568"/>
      <c r="E1490" s="1568" t="s">
        <v>2686</v>
      </c>
      <c r="F1490" s="1568"/>
      <c r="G1490" s="1568"/>
      <c r="H1490" s="1568"/>
      <c r="J1490" s="1568" t="s">
        <v>2403</v>
      </c>
      <c r="K1490" s="1568"/>
      <c r="L1490" s="1568"/>
      <c r="M1490" s="1566">
        <v>0</v>
      </c>
      <c r="N1490" s="1566"/>
      <c r="O1490" s="1566"/>
      <c r="P1490" s="1566">
        <v>0</v>
      </c>
      <c r="Q1490" s="1566"/>
      <c r="R1490" s="1566"/>
      <c r="S1490" s="1566">
        <v>205.09</v>
      </c>
      <c r="T1490" s="1566"/>
      <c r="U1490" s="1566"/>
      <c r="V1490" s="1566"/>
      <c r="W1490" s="1566">
        <v>205.09</v>
      </c>
      <c r="X1490" s="1566"/>
      <c r="Y1490" s="1566"/>
      <c r="Z1490" s="1566"/>
      <c r="AA1490" s="1566">
        <v>0</v>
      </c>
      <c r="AB1490" s="1566"/>
      <c r="AC1490" s="1566"/>
      <c r="AD1490" s="1566"/>
      <c r="AE1490" s="1566"/>
      <c r="AF1490" s="1566"/>
      <c r="AG1490" s="1566">
        <v>0</v>
      </c>
      <c r="AH1490" s="1566"/>
      <c r="AI1490" s="1566"/>
      <c r="AJ1490" s="1566"/>
      <c r="AK1490" s="1566"/>
    </row>
    <row r="1491" spans="1:38" ht="9.4" customHeight="1">
      <c r="B1491" s="1568" t="s">
        <v>1326</v>
      </c>
      <c r="C1491" s="1568"/>
      <c r="D1491" s="1568"/>
      <c r="E1491" s="1568" t="s">
        <v>2687</v>
      </c>
      <c r="F1491" s="1568"/>
      <c r="G1491" s="1568"/>
      <c r="H1491" s="1568"/>
      <c r="J1491" s="1568" t="s">
        <v>2405</v>
      </c>
      <c r="K1491" s="1568"/>
      <c r="L1491" s="1568"/>
      <c r="M1491" s="1566">
        <v>0</v>
      </c>
      <c r="N1491" s="1566"/>
      <c r="O1491" s="1566"/>
      <c r="P1491" s="1566">
        <v>0</v>
      </c>
      <c r="Q1491" s="1566"/>
      <c r="R1491" s="1566"/>
      <c r="S1491" s="1566">
        <v>3495.18</v>
      </c>
      <c r="T1491" s="1566"/>
      <c r="U1491" s="1566"/>
      <c r="V1491" s="1566"/>
      <c r="W1491" s="1566">
        <v>3495.18</v>
      </c>
      <c r="X1491" s="1566"/>
      <c r="Y1491" s="1566"/>
      <c r="Z1491" s="1566"/>
      <c r="AA1491" s="1566">
        <v>0</v>
      </c>
      <c r="AB1491" s="1566"/>
      <c r="AC1491" s="1566"/>
      <c r="AD1491" s="1566"/>
      <c r="AE1491" s="1566"/>
      <c r="AF1491" s="1566"/>
      <c r="AG1491" s="1566">
        <v>0</v>
      </c>
      <c r="AH1491" s="1566"/>
      <c r="AI1491" s="1566"/>
      <c r="AJ1491" s="1566"/>
      <c r="AK1491" s="1566"/>
    </row>
    <row r="1492" spans="1:38" ht="7.35" customHeight="1"/>
    <row r="1493" spans="1:38" ht="14.1" customHeight="1">
      <c r="AG1493" s="1565" t="s">
        <v>2769</v>
      </c>
      <c r="AH1493" s="1565"/>
      <c r="AI1493" s="1565"/>
      <c r="AJ1493" s="1565"/>
      <c r="AK1493" s="1565"/>
      <c r="AL1493" s="1565"/>
    </row>
    <row r="1494" spans="1:38" ht="7.15" customHeight="1">
      <c r="D1494" s="1578" t="s">
        <v>2992</v>
      </c>
      <c r="E1494" s="1578"/>
      <c r="F1494" s="1578"/>
      <c r="G1494" s="1578"/>
      <c r="H1494" s="1578"/>
      <c r="I1494" s="1578"/>
      <c r="J1494" s="1578"/>
      <c r="K1494" s="1578"/>
      <c r="L1494" s="1578"/>
      <c r="M1494" s="1578"/>
      <c r="N1494" s="1578"/>
      <c r="O1494" s="1578"/>
      <c r="P1494" s="1578"/>
      <c r="Q1494" s="1578"/>
      <c r="R1494" s="1578"/>
      <c r="S1494" s="1578"/>
      <c r="T1494" s="1578"/>
      <c r="U1494" s="1578"/>
      <c r="V1494" s="1578"/>
      <c r="W1494" s="1578"/>
      <c r="X1494" s="1578"/>
      <c r="Y1494" s="1578"/>
      <c r="Z1494" s="1578"/>
      <c r="AA1494" s="1578"/>
      <c r="AB1494" s="1578"/>
      <c r="AC1494" s="1578"/>
      <c r="AD1494" s="1578"/>
      <c r="AE1494" s="1578"/>
      <c r="AF1494" s="1578"/>
      <c r="AG1494" s="1578"/>
      <c r="AH1494" s="1578"/>
    </row>
    <row r="1495" spans="1:38" ht="9.6" customHeight="1">
      <c r="A1495" s="1579"/>
      <c r="B1495" s="1579"/>
      <c r="C1495" s="1579"/>
      <c r="D1495" s="1579"/>
      <c r="E1495" s="1579"/>
      <c r="F1495" s="1579"/>
      <c r="G1495" s="1579"/>
      <c r="H1495" s="1579"/>
      <c r="I1495" s="1579"/>
      <c r="J1495" s="1578"/>
      <c r="K1495" s="1578"/>
      <c r="L1495" s="1578"/>
      <c r="M1495" s="1578"/>
      <c r="N1495" s="1578"/>
      <c r="O1495" s="1578"/>
      <c r="P1495" s="1578"/>
      <c r="Q1495" s="1578"/>
      <c r="R1495" s="1578"/>
      <c r="S1495" s="1578"/>
      <c r="T1495" s="1578"/>
      <c r="U1495" s="1578"/>
      <c r="V1495" s="1578"/>
      <c r="W1495" s="1578"/>
      <c r="X1495" s="1578"/>
      <c r="Y1495" s="1578"/>
      <c r="Z1495" s="1578"/>
      <c r="AA1495" s="1578"/>
      <c r="AB1495" s="1578"/>
      <c r="AC1495" s="1578"/>
      <c r="AD1495" s="1578"/>
      <c r="AE1495" s="1578"/>
      <c r="AF1495" s="1578"/>
      <c r="AG1495" s="1578"/>
      <c r="AH1495" s="1578"/>
    </row>
    <row r="1496" spans="1:38" ht="13.35" customHeight="1">
      <c r="A1496" s="1579"/>
      <c r="B1496" s="1579"/>
      <c r="C1496" s="1579"/>
      <c r="D1496" s="1579"/>
      <c r="E1496" s="1579"/>
      <c r="F1496" s="1579"/>
      <c r="G1496" s="1579"/>
      <c r="H1496" s="1579"/>
      <c r="I1496" s="1579"/>
      <c r="J1496" s="1580" t="s">
        <v>79</v>
      </c>
      <c r="K1496" s="1580"/>
      <c r="L1496" s="1580"/>
      <c r="M1496" s="1580"/>
      <c r="N1496" s="1580"/>
      <c r="O1496" s="1580"/>
      <c r="P1496" s="1580"/>
      <c r="Q1496" s="1580"/>
      <c r="R1496" s="1580"/>
      <c r="S1496" s="1580"/>
      <c r="T1496" s="1580"/>
      <c r="U1496" s="1580"/>
      <c r="V1496" s="1580"/>
      <c r="W1496" s="1580"/>
      <c r="X1496" s="1580"/>
      <c r="Y1496" s="1580"/>
      <c r="Z1496" s="1580"/>
      <c r="AA1496" s="1580"/>
      <c r="AB1496" s="1580"/>
      <c r="AC1496" s="1580"/>
      <c r="AD1496" s="1580"/>
      <c r="AE1496" s="1580"/>
      <c r="AF1496" s="1580"/>
    </row>
    <row r="1497" spans="1:38" ht="5.25" customHeight="1">
      <c r="A1497" s="1579"/>
      <c r="B1497" s="1579"/>
      <c r="C1497" s="1579"/>
      <c r="D1497" s="1579"/>
      <c r="E1497" s="1579"/>
      <c r="F1497" s="1579"/>
      <c r="G1497" s="1579"/>
      <c r="H1497" s="1579"/>
      <c r="I1497" s="1579"/>
      <c r="J1497" s="1573" t="s">
        <v>6760</v>
      </c>
      <c r="K1497" s="1573"/>
      <c r="L1497" s="1573"/>
      <c r="M1497" s="1573"/>
      <c r="N1497" s="1573"/>
      <c r="O1497" s="1573"/>
      <c r="P1497" s="1573"/>
      <c r="Q1497" s="1573"/>
      <c r="R1497" s="1573"/>
      <c r="S1497" s="1573"/>
      <c r="T1497" s="1573"/>
      <c r="U1497" s="1573"/>
      <c r="V1497" s="1573"/>
      <c r="W1497" s="1573"/>
      <c r="X1497" s="1573"/>
      <c r="Y1497" s="1573"/>
      <c r="Z1497" s="1573"/>
      <c r="AA1497" s="1573"/>
      <c r="AB1497" s="1573"/>
      <c r="AC1497" s="1573"/>
      <c r="AD1497" s="1573"/>
      <c r="AE1497" s="1573"/>
    </row>
    <row r="1498" spans="1:38" ht="8.1" customHeight="1">
      <c r="C1498" s="1572" t="s">
        <v>1920</v>
      </c>
      <c r="D1498" s="1572"/>
      <c r="E1498" s="1572"/>
      <c r="F1498" s="1572"/>
      <c r="G1498" s="1572"/>
      <c r="H1498" s="1572"/>
      <c r="I1498" s="1572"/>
      <c r="J1498" s="1572"/>
      <c r="K1498" s="1573"/>
      <c r="L1498" s="1573"/>
      <c r="M1498" s="1573"/>
      <c r="N1498" s="1573"/>
      <c r="O1498" s="1573"/>
      <c r="P1498" s="1573"/>
      <c r="Q1498" s="1573"/>
      <c r="R1498" s="1573"/>
      <c r="S1498" s="1573"/>
      <c r="T1498" s="1573"/>
      <c r="U1498" s="1573"/>
      <c r="V1498" s="1573"/>
      <c r="W1498" s="1573"/>
      <c r="X1498" s="1573"/>
      <c r="Y1498" s="1574" t="s">
        <v>5920</v>
      </c>
      <c r="Z1498" s="1574"/>
      <c r="AA1498" s="1574"/>
      <c r="AB1498" s="1574"/>
      <c r="AC1498" s="1574"/>
      <c r="AD1498" s="1574"/>
      <c r="AE1498" s="1574"/>
      <c r="AF1498" s="1574"/>
      <c r="AG1498" s="1574"/>
      <c r="AH1498" s="1575" t="s">
        <v>6761</v>
      </c>
      <c r="AI1498" s="1575"/>
      <c r="AJ1498" s="1575"/>
      <c r="AK1498" s="1575"/>
      <c r="AL1498" s="1575"/>
    </row>
    <row r="1499" spans="1:38" ht="6" customHeight="1">
      <c r="C1499" s="1572"/>
      <c r="D1499" s="1572"/>
      <c r="E1499" s="1572"/>
      <c r="F1499" s="1572"/>
      <c r="G1499" s="1572"/>
      <c r="H1499" s="1572"/>
      <c r="I1499" s="1572"/>
      <c r="J1499" s="1572"/>
      <c r="K1499" s="1576" t="s">
        <v>1999</v>
      </c>
      <c r="L1499" s="1576"/>
      <c r="M1499" s="1576"/>
      <c r="N1499" s="1576"/>
      <c r="O1499" s="1576"/>
      <c r="P1499" s="1576"/>
      <c r="Q1499" s="1576"/>
      <c r="R1499" s="1576"/>
      <c r="S1499" s="1576"/>
      <c r="T1499" s="1576"/>
      <c r="U1499" s="1576"/>
      <c r="V1499" s="1576"/>
      <c r="W1499" s="1576"/>
      <c r="X1499" s="1576"/>
      <c r="Y1499" s="1574"/>
      <c r="Z1499" s="1574"/>
      <c r="AA1499" s="1574"/>
      <c r="AB1499" s="1574"/>
      <c r="AC1499" s="1574"/>
      <c r="AD1499" s="1574"/>
      <c r="AE1499" s="1574"/>
      <c r="AF1499" s="1574"/>
      <c r="AG1499" s="1574"/>
      <c r="AH1499" s="1575"/>
      <c r="AI1499" s="1575"/>
      <c r="AJ1499" s="1575"/>
      <c r="AK1499" s="1575"/>
      <c r="AL1499" s="1575"/>
    </row>
    <row r="1500" spans="1:38" ht="7.35" customHeight="1">
      <c r="C1500" s="1572" t="s">
        <v>1998</v>
      </c>
      <c r="D1500" s="1572"/>
      <c r="E1500" s="1572"/>
      <c r="F1500" s="1572"/>
      <c r="G1500" s="1577"/>
      <c r="H1500" s="1577"/>
      <c r="I1500" s="1577"/>
      <c r="J1500" s="1577"/>
      <c r="K1500" s="1577"/>
      <c r="L1500" s="1577"/>
      <c r="M1500" s="1577"/>
      <c r="N1500" s="1577"/>
      <c r="O1500" s="1577"/>
      <c r="P1500" s="1577"/>
      <c r="Q1500" s="1577"/>
      <c r="R1500" s="1577"/>
      <c r="S1500" s="1577"/>
      <c r="T1500" s="1577"/>
      <c r="U1500" s="1577"/>
      <c r="V1500" s="1577"/>
      <c r="W1500" s="1577"/>
      <c r="X1500" s="1577"/>
      <c r="Y1500" s="1577"/>
      <c r="Z1500" s="1577"/>
      <c r="AA1500" s="1577"/>
      <c r="AB1500" s="1577"/>
      <c r="AC1500" s="1577"/>
      <c r="AD1500" s="1577"/>
      <c r="AE1500" s="1577"/>
      <c r="AF1500" s="1574"/>
      <c r="AG1500" s="1574"/>
      <c r="AH1500" s="1574" t="s">
        <v>6762</v>
      </c>
      <c r="AI1500" s="1574"/>
    </row>
    <row r="1501" spans="1:38" ht="6.75" customHeight="1">
      <c r="G1501" s="1577"/>
      <c r="H1501" s="1577"/>
      <c r="I1501" s="1577"/>
      <c r="J1501" s="1577"/>
      <c r="K1501" s="1577"/>
      <c r="L1501" s="1577"/>
      <c r="M1501" s="1577"/>
      <c r="N1501" s="1577"/>
      <c r="O1501" s="1577"/>
      <c r="P1501" s="1577"/>
      <c r="Q1501" s="1577"/>
      <c r="R1501" s="1577"/>
      <c r="S1501" s="1577"/>
      <c r="T1501" s="1577"/>
      <c r="U1501" s="1577"/>
      <c r="V1501" s="1577"/>
      <c r="W1501" s="1577"/>
      <c r="X1501" s="1577"/>
      <c r="Y1501" s="1577"/>
      <c r="Z1501" s="1577"/>
      <c r="AA1501" s="1577"/>
      <c r="AB1501" s="1577"/>
      <c r="AC1501" s="1577"/>
      <c r="AD1501" s="1577"/>
      <c r="AE1501" s="1577"/>
      <c r="AF1501" s="1574"/>
      <c r="AG1501" s="1574"/>
      <c r="AH1501" s="1574"/>
      <c r="AI1501" s="1574"/>
    </row>
    <row r="1502" spans="1:38" ht="11.25" customHeight="1">
      <c r="O1502" s="1570" t="s">
        <v>1318</v>
      </c>
      <c r="P1502" s="1570"/>
      <c r="Q1502" s="1570"/>
      <c r="V1502" s="1570" t="s">
        <v>1319</v>
      </c>
      <c r="W1502" s="1570"/>
      <c r="X1502" s="1570"/>
      <c r="Y1502" s="1570"/>
      <c r="AD1502" s="1570" t="s">
        <v>1320</v>
      </c>
      <c r="AE1502" s="1570"/>
      <c r="AF1502" s="1570"/>
      <c r="AG1502" s="1570"/>
      <c r="AH1502" s="1570"/>
      <c r="AI1502" s="1570"/>
      <c r="AJ1502" s="1570"/>
    </row>
    <row r="1503" spans="1:38" ht="8.4499999999999993" customHeight="1">
      <c r="B1503" s="1571" t="s">
        <v>1321</v>
      </c>
      <c r="C1503" s="1571"/>
      <c r="D1503" s="1571"/>
      <c r="E1503" s="1571" t="s">
        <v>1322</v>
      </c>
      <c r="F1503" s="1571"/>
      <c r="G1503" s="1571"/>
      <c r="J1503" s="1571" t="s">
        <v>1323</v>
      </c>
      <c r="K1503" s="1571"/>
      <c r="L1503" s="1571"/>
      <c r="M1503" s="1571"/>
      <c r="N1503" s="1571"/>
      <c r="O1503" s="1402" t="s">
        <v>1324</v>
      </c>
      <c r="Q1503" s="1569" t="s">
        <v>1325</v>
      </c>
      <c r="R1503" s="1569"/>
      <c r="U1503" s="1569" t="s">
        <v>1324</v>
      </c>
      <c r="V1503" s="1569"/>
      <c r="X1503" s="1569" t="s">
        <v>1325</v>
      </c>
      <c r="Y1503" s="1569"/>
      <c r="Z1503" s="1569"/>
      <c r="AC1503" s="1569" t="s">
        <v>1324</v>
      </c>
      <c r="AD1503" s="1569"/>
      <c r="AE1503" s="1569"/>
      <c r="AF1503" s="1569"/>
      <c r="AH1503" s="1569" t="s">
        <v>1325</v>
      </c>
      <c r="AI1503" s="1569"/>
      <c r="AJ1503" s="1569"/>
      <c r="AK1503" s="1569"/>
    </row>
    <row r="1504" spans="1:38" ht="9.9499999999999993" customHeight="1">
      <c r="B1504" s="1568" t="s">
        <v>1326</v>
      </c>
      <c r="C1504" s="1568"/>
      <c r="D1504" s="1568"/>
      <c r="E1504" s="1568" t="s">
        <v>2688</v>
      </c>
      <c r="F1504" s="1568"/>
      <c r="G1504" s="1568"/>
      <c r="H1504" s="1568"/>
      <c r="J1504" s="1568" t="s">
        <v>2407</v>
      </c>
      <c r="K1504" s="1568"/>
      <c r="L1504" s="1568"/>
      <c r="M1504" s="1566">
        <v>0</v>
      </c>
      <c r="N1504" s="1566"/>
      <c r="O1504" s="1566"/>
      <c r="P1504" s="1566">
        <v>0</v>
      </c>
      <c r="Q1504" s="1566"/>
      <c r="R1504" s="1566"/>
      <c r="S1504" s="1566">
        <v>2688.6</v>
      </c>
      <c r="T1504" s="1566"/>
      <c r="U1504" s="1566"/>
      <c r="V1504" s="1566"/>
      <c r="W1504" s="1566">
        <v>2688.6</v>
      </c>
      <c r="X1504" s="1566"/>
      <c r="Y1504" s="1566"/>
      <c r="Z1504" s="1566"/>
      <c r="AA1504" s="1566">
        <v>0</v>
      </c>
      <c r="AB1504" s="1566"/>
      <c r="AC1504" s="1566"/>
      <c r="AD1504" s="1566"/>
      <c r="AE1504" s="1566"/>
      <c r="AF1504" s="1566"/>
      <c r="AG1504" s="1566">
        <v>0</v>
      </c>
      <c r="AH1504" s="1566"/>
      <c r="AI1504" s="1566"/>
      <c r="AJ1504" s="1566"/>
      <c r="AK1504" s="1566"/>
    </row>
    <row r="1505" spans="2:37" ht="9.4" customHeight="1">
      <c r="B1505" s="1568" t="s">
        <v>1326</v>
      </c>
      <c r="C1505" s="1568"/>
      <c r="D1505" s="1568"/>
      <c r="E1505" s="1568" t="s">
        <v>3336</v>
      </c>
      <c r="F1505" s="1568"/>
      <c r="G1505" s="1568"/>
      <c r="H1505" s="1568"/>
      <c r="J1505" s="1568" t="s">
        <v>2409</v>
      </c>
      <c r="K1505" s="1568"/>
      <c r="L1505" s="1568"/>
      <c r="M1505" s="1566">
        <v>0</v>
      </c>
      <c r="N1505" s="1566"/>
      <c r="O1505" s="1566"/>
      <c r="P1505" s="1566">
        <v>0</v>
      </c>
      <c r="Q1505" s="1566"/>
      <c r="R1505" s="1566"/>
      <c r="S1505" s="1566">
        <v>309570.68</v>
      </c>
      <c r="T1505" s="1566"/>
      <c r="U1505" s="1566"/>
      <c r="V1505" s="1566"/>
      <c r="W1505" s="1566">
        <v>309570.68</v>
      </c>
      <c r="X1505" s="1566"/>
      <c r="Y1505" s="1566"/>
      <c r="Z1505" s="1566"/>
      <c r="AA1505" s="1566">
        <v>0</v>
      </c>
      <c r="AB1505" s="1566"/>
      <c r="AC1505" s="1566"/>
      <c r="AD1505" s="1566"/>
      <c r="AE1505" s="1566"/>
      <c r="AF1505" s="1566"/>
      <c r="AG1505" s="1566">
        <v>0</v>
      </c>
      <c r="AH1505" s="1566"/>
      <c r="AI1505" s="1566"/>
      <c r="AJ1505" s="1566"/>
      <c r="AK1505" s="1566"/>
    </row>
    <row r="1506" spans="2:37" ht="9.4" customHeight="1">
      <c r="B1506" s="1568" t="s">
        <v>1326</v>
      </c>
      <c r="C1506" s="1568"/>
      <c r="D1506" s="1568"/>
      <c r="E1506" s="1568" t="s">
        <v>3337</v>
      </c>
      <c r="F1506" s="1568"/>
      <c r="G1506" s="1568"/>
      <c r="H1506" s="1568"/>
      <c r="J1506" s="1568" t="s">
        <v>2409</v>
      </c>
      <c r="K1506" s="1568"/>
      <c r="L1506" s="1568"/>
      <c r="M1506" s="1566">
        <v>0</v>
      </c>
      <c r="N1506" s="1566"/>
      <c r="O1506" s="1566"/>
      <c r="P1506" s="1566">
        <v>0</v>
      </c>
      <c r="Q1506" s="1566"/>
      <c r="R1506" s="1566"/>
      <c r="S1506" s="1566">
        <v>105454.58</v>
      </c>
      <c r="T1506" s="1566"/>
      <c r="U1506" s="1566"/>
      <c r="V1506" s="1566"/>
      <c r="W1506" s="1566">
        <v>105454.58</v>
      </c>
      <c r="X1506" s="1566"/>
      <c r="Y1506" s="1566"/>
      <c r="Z1506" s="1566"/>
      <c r="AA1506" s="1566">
        <v>0</v>
      </c>
      <c r="AB1506" s="1566"/>
      <c r="AC1506" s="1566"/>
      <c r="AD1506" s="1566"/>
      <c r="AE1506" s="1566"/>
      <c r="AF1506" s="1566"/>
      <c r="AG1506" s="1566">
        <v>0</v>
      </c>
      <c r="AH1506" s="1566"/>
      <c r="AI1506" s="1566"/>
      <c r="AJ1506" s="1566"/>
      <c r="AK1506" s="1566"/>
    </row>
    <row r="1507" spans="2:37" ht="9.4" customHeight="1">
      <c r="B1507" s="1568" t="s">
        <v>1326</v>
      </c>
      <c r="C1507" s="1568"/>
      <c r="D1507" s="1568"/>
      <c r="E1507" s="1568" t="s">
        <v>3338</v>
      </c>
      <c r="F1507" s="1568"/>
      <c r="G1507" s="1568"/>
      <c r="H1507" s="1568"/>
      <c r="J1507" s="1568" t="s">
        <v>2409</v>
      </c>
      <c r="K1507" s="1568"/>
      <c r="L1507" s="1568"/>
      <c r="M1507" s="1566">
        <v>0</v>
      </c>
      <c r="N1507" s="1566"/>
      <c r="O1507" s="1566"/>
      <c r="P1507" s="1566">
        <v>0</v>
      </c>
      <c r="Q1507" s="1566"/>
      <c r="R1507" s="1566"/>
      <c r="S1507" s="1566">
        <v>78500</v>
      </c>
      <c r="T1507" s="1566"/>
      <c r="U1507" s="1566"/>
      <c r="V1507" s="1566"/>
      <c r="W1507" s="1566">
        <v>78500</v>
      </c>
      <c r="X1507" s="1566"/>
      <c r="Y1507" s="1566"/>
      <c r="Z1507" s="1566"/>
      <c r="AA1507" s="1566">
        <v>0</v>
      </c>
      <c r="AB1507" s="1566"/>
      <c r="AC1507" s="1566"/>
      <c r="AD1507" s="1566"/>
      <c r="AE1507" s="1566"/>
      <c r="AF1507" s="1566"/>
      <c r="AG1507" s="1566">
        <v>0</v>
      </c>
      <c r="AH1507" s="1566"/>
      <c r="AI1507" s="1566"/>
      <c r="AJ1507" s="1566"/>
      <c r="AK1507" s="1566"/>
    </row>
    <row r="1508" spans="2:37" ht="9.4" customHeight="1">
      <c r="B1508" s="1568" t="s">
        <v>1326</v>
      </c>
      <c r="C1508" s="1568"/>
      <c r="D1508" s="1568"/>
      <c r="E1508" s="1568" t="s">
        <v>2689</v>
      </c>
      <c r="F1508" s="1568"/>
      <c r="G1508" s="1568"/>
      <c r="H1508" s="1568"/>
      <c r="J1508" s="1568" t="s">
        <v>2392</v>
      </c>
      <c r="K1508" s="1568"/>
      <c r="L1508" s="1568"/>
      <c r="M1508" s="1566">
        <v>0</v>
      </c>
      <c r="N1508" s="1566"/>
      <c r="O1508" s="1566"/>
      <c r="P1508" s="1566">
        <v>0</v>
      </c>
      <c r="Q1508" s="1566"/>
      <c r="R1508" s="1566"/>
      <c r="S1508" s="1566">
        <v>213436.2</v>
      </c>
      <c r="T1508" s="1566"/>
      <c r="U1508" s="1566"/>
      <c r="V1508" s="1566"/>
      <c r="W1508" s="1566">
        <v>213436.2</v>
      </c>
      <c r="X1508" s="1566"/>
      <c r="Y1508" s="1566"/>
      <c r="Z1508" s="1566"/>
      <c r="AA1508" s="1566">
        <v>0</v>
      </c>
      <c r="AB1508" s="1566"/>
      <c r="AC1508" s="1566"/>
      <c r="AD1508" s="1566"/>
      <c r="AE1508" s="1566"/>
      <c r="AF1508" s="1566"/>
      <c r="AG1508" s="1566">
        <v>0</v>
      </c>
      <c r="AH1508" s="1566"/>
      <c r="AI1508" s="1566"/>
      <c r="AJ1508" s="1566"/>
      <c r="AK1508" s="1566"/>
    </row>
    <row r="1509" spans="2:37" ht="9.4" customHeight="1">
      <c r="B1509" s="1568" t="s">
        <v>1326</v>
      </c>
      <c r="C1509" s="1568"/>
      <c r="D1509" s="1568"/>
      <c r="E1509" s="1568" t="s">
        <v>2690</v>
      </c>
      <c r="F1509" s="1568"/>
      <c r="G1509" s="1568"/>
      <c r="H1509" s="1568"/>
      <c r="J1509" s="1568" t="s">
        <v>2401</v>
      </c>
      <c r="K1509" s="1568"/>
      <c r="L1509" s="1568"/>
      <c r="M1509" s="1566">
        <v>0</v>
      </c>
      <c r="N1509" s="1566"/>
      <c r="O1509" s="1566"/>
      <c r="P1509" s="1566">
        <v>0</v>
      </c>
      <c r="Q1509" s="1566"/>
      <c r="R1509" s="1566"/>
      <c r="S1509" s="1566">
        <v>36284.199999999997</v>
      </c>
      <c r="T1509" s="1566"/>
      <c r="U1509" s="1566"/>
      <c r="V1509" s="1566"/>
      <c r="W1509" s="1566">
        <v>36284.199999999997</v>
      </c>
      <c r="X1509" s="1566"/>
      <c r="Y1509" s="1566"/>
      <c r="Z1509" s="1566"/>
      <c r="AA1509" s="1566">
        <v>0</v>
      </c>
      <c r="AB1509" s="1566"/>
      <c r="AC1509" s="1566"/>
      <c r="AD1509" s="1566"/>
      <c r="AE1509" s="1566"/>
      <c r="AF1509" s="1566"/>
      <c r="AG1509" s="1566">
        <v>0</v>
      </c>
      <c r="AH1509" s="1566"/>
      <c r="AI1509" s="1566"/>
      <c r="AJ1509" s="1566"/>
      <c r="AK1509" s="1566"/>
    </row>
    <row r="1510" spans="2:37" ht="9.4" customHeight="1">
      <c r="B1510" s="1568" t="s">
        <v>1326</v>
      </c>
      <c r="C1510" s="1568"/>
      <c r="D1510" s="1568"/>
      <c r="E1510" s="1568" t="s">
        <v>2691</v>
      </c>
      <c r="F1510" s="1568"/>
      <c r="G1510" s="1568"/>
      <c r="H1510" s="1568"/>
      <c r="J1510" s="1568" t="s">
        <v>2403</v>
      </c>
      <c r="K1510" s="1568"/>
      <c r="L1510" s="1568"/>
      <c r="M1510" s="1566">
        <v>0</v>
      </c>
      <c r="N1510" s="1566"/>
      <c r="O1510" s="1566"/>
      <c r="P1510" s="1566">
        <v>0</v>
      </c>
      <c r="Q1510" s="1566"/>
      <c r="R1510" s="1566"/>
      <c r="S1510" s="1566">
        <v>656.3</v>
      </c>
      <c r="T1510" s="1566"/>
      <c r="U1510" s="1566"/>
      <c r="V1510" s="1566"/>
      <c r="W1510" s="1566">
        <v>656.3</v>
      </c>
      <c r="X1510" s="1566"/>
      <c r="Y1510" s="1566"/>
      <c r="Z1510" s="1566"/>
      <c r="AA1510" s="1566">
        <v>0</v>
      </c>
      <c r="AB1510" s="1566"/>
      <c r="AC1510" s="1566"/>
      <c r="AD1510" s="1566"/>
      <c r="AE1510" s="1566"/>
      <c r="AF1510" s="1566"/>
      <c r="AG1510" s="1566">
        <v>0</v>
      </c>
      <c r="AH1510" s="1566"/>
      <c r="AI1510" s="1566"/>
      <c r="AJ1510" s="1566"/>
      <c r="AK1510" s="1566"/>
    </row>
    <row r="1511" spans="2:37" ht="9.4" customHeight="1">
      <c r="B1511" s="1568" t="s">
        <v>1326</v>
      </c>
      <c r="C1511" s="1568"/>
      <c r="D1511" s="1568"/>
      <c r="E1511" s="1568" t="s">
        <v>2692</v>
      </c>
      <c r="F1511" s="1568"/>
      <c r="G1511" s="1568"/>
      <c r="H1511" s="1568"/>
      <c r="J1511" s="1568" t="s">
        <v>2405</v>
      </c>
      <c r="K1511" s="1568"/>
      <c r="L1511" s="1568"/>
      <c r="M1511" s="1566">
        <v>0</v>
      </c>
      <c r="N1511" s="1566"/>
      <c r="O1511" s="1566"/>
      <c r="P1511" s="1566">
        <v>0</v>
      </c>
      <c r="Q1511" s="1566"/>
      <c r="R1511" s="1566"/>
      <c r="S1511" s="1566">
        <v>20971.080000000002</v>
      </c>
      <c r="T1511" s="1566"/>
      <c r="U1511" s="1566"/>
      <c r="V1511" s="1566"/>
      <c r="W1511" s="1566">
        <v>20971.080000000002</v>
      </c>
      <c r="X1511" s="1566"/>
      <c r="Y1511" s="1566"/>
      <c r="Z1511" s="1566"/>
      <c r="AA1511" s="1566">
        <v>0</v>
      </c>
      <c r="AB1511" s="1566"/>
      <c r="AC1511" s="1566"/>
      <c r="AD1511" s="1566"/>
      <c r="AE1511" s="1566"/>
      <c r="AF1511" s="1566"/>
      <c r="AG1511" s="1566">
        <v>0</v>
      </c>
      <c r="AH1511" s="1566"/>
      <c r="AI1511" s="1566"/>
      <c r="AJ1511" s="1566"/>
      <c r="AK1511" s="1566"/>
    </row>
    <row r="1512" spans="2:37" ht="9.4" customHeight="1">
      <c r="B1512" s="1568" t="s">
        <v>1326</v>
      </c>
      <c r="C1512" s="1568"/>
      <c r="D1512" s="1568"/>
      <c r="E1512" s="1568" t="s">
        <v>2693</v>
      </c>
      <c r="F1512" s="1568"/>
      <c r="G1512" s="1568"/>
      <c r="H1512" s="1568"/>
      <c r="J1512" s="1568" t="s">
        <v>2407</v>
      </c>
      <c r="K1512" s="1568"/>
      <c r="L1512" s="1568"/>
      <c r="M1512" s="1566">
        <v>0</v>
      </c>
      <c r="N1512" s="1566"/>
      <c r="O1512" s="1566"/>
      <c r="P1512" s="1566">
        <v>0</v>
      </c>
      <c r="Q1512" s="1566"/>
      <c r="R1512" s="1566"/>
      <c r="S1512" s="1566">
        <v>16131.6</v>
      </c>
      <c r="T1512" s="1566"/>
      <c r="U1512" s="1566"/>
      <c r="V1512" s="1566"/>
      <c r="W1512" s="1566">
        <v>16131.6</v>
      </c>
      <c r="X1512" s="1566"/>
      <c r="Y1512" s="1566"/>
      <c r="Z1512" s="1566"/>
      <c r="AA1512" s="1566">
        <v>0</v>
      </c>
      <c r="AB1512" s="1566"/>
      <c r="AC1512" s="1566"/>
      <c r="AD1512" s="1566"/>
      <c r="AE1512" s="1566"/>
      <c r="AF1512" s="1566"/>
      <c r="AG1512" s="1566">
        <v>0</v>
      </c>
      <c r="AH1512" s="1566"/>
      <c r="AI1512" s="1566"/>
      <c r="AJ1512" s="1566"/>
      <c r="AK1512" s="1566"/>
    </row>
    <row r="1513" spans="2:37" ht="9.4" customHeight="1">
      <c r="B1513" s="1568" t="s">
        <v>1326</v>
      </c>
      <c r="C1513" s="1568"/>
      <c r="D1513" s="1568"/>
      <c r="E1513" s="1568" t="s">
        <v>2868</v>
      </c>
      <c r="F1513" s="1568"/>
      <c r="G1513" s="1568"/>
      <c r="H1513" s="1568"/>
      <c r="J1513" s="1568" t="s">
        <v>2421</v>
      </c>
      <c r="K1513" s="1568"/>
      <c r="L1513" s="1568"/>
      <c r="M1513" s="1566">
        <v>0</v>
      </c>
      <c r="N1513" s="1566"/>
      <c r="O1513" s="1566"/>
      <c r="P1513" s="1566">
        <v>0</v>
      </c>
      <c r="Q1513" s="1566"/>
      <c r="R1513" s="1566"/>
      <c r="S1513" s="1566">
        <v>24245.5</v>
      </c>
      <c r="T1513" s="1566"/>
      <c r="U1513" s="1566"/>
      <c r="V1513" s="1566"/>
      <c r="W1513" s="1566">
        <v>24245.5</v>
      </c>
      <c r="X1513" s="1566"/>
      <c r="Y1513" s="1566"/>
      <c r="Z1513" s="1566"/>
      <c r="AA1513" s="1566">
        <v>0</v>
      </c>
      <c r="AB1513" s="1566"/>
      <c r="AC1513" s="1566"/>
      <c r="AD1513" s="1566"/>
      <c r="AE1513" s="1566"/>
      <c r="AF1513" s="1566"/>
      <c r="AG1513" s="1566">
        <v>0</v>
      </c>
      <c r="AH1513" s="1566"/>
      <c r="AI1513" s="1566"/>
      <c r="AJ1513" s="1566"/>
      <c r="AK1513" s="1566"/>
    </row>
    <row r="1514" spans="2:37" ht="9.4" customHeight="1">
      <c r="B1514" s="1568" t="s">
        <v>1326</v>
      </c>
      <c r="C1514" s="1568"/>
      <c r="D1514" s="1568"/>
      <c r="E1514" s="1568" t="s">
        <v>2694</v>
      </c>
      <c r="F1514" s="1568"/>
      <c r="G1514" s="1568"/>
      <c r="H1514" s="1568"/>
      <c r="J1514" s="1568" t="s">
        <v>2423</v>
      </c>
      <c r="K1514" s="1568"/>
      <c r="L1514" s="1568"/>
      <c r="M1514" s="1566">
        <v>0</v>
      </c>
      <c r="N1514" s="1566"/>
      <c r="O1514" s="1566"/>
      <c r="P1514" s="1566">
        <v>0</v>
      </c>
      <c r="Q1514" s="1566"/>
      <c r="R1514" s="1566"/>
      <c r="S1514" s="1566">
        <v>351664.54</v>
      </c>
      <c r="T1514" s="1566"/>
      <c r="U1514" s="1566"/>
      <c r="V1514" s="1566"/>
      <c r="W1514" s="1566">
        <v>351664.54</v>
      </c>
      <c r="X1514" s="1566"/>
      <c r="Y1514" s="1566"/>
      <c r="Z1514" s="1566"/>
      <c r="AA1514" s="1566">
        <v>0</v>
      </c>
      <c r="AB1514" s="1566"/>
      <c r="AC1514" s="1566"/>
      <c r="AD1514" s="1566"/>
      <c r="AE1514" s="1566"/>
      <c r="AF1514" s="1566"/>
      <c r="AG1514" s="1566">
        <v>0</v>
      </c>
      <c r="AH1514" s="1566"/>
      <c r="AI1514" s="1566"/>
      <c r="AJ1514" s="1566"/>
      <c r="AK1514" s="1566"/>
    </row>
    <row r="1515" spans="2:37" ht="9.4" customHeight="1">
      <c r="B1515" s="1568" t="s">
        <v>1326</v>
      </c>
      <c r="C1515" s="1568"/>
      <c r="D1515" s="1568"/>
      <c r="E1515" s="1568" t="s">
        <v>2695</v>
      </c>
      <c r="F1515" s="1568"/>
      <c r="G1515" s="1568"/>
      <c r="H1515" s="1568"/>
      <c r="J1515" s="1568" t="s">
        <v>2426</v>
      </c>
      <c r="K1515" s="1568"/>
      <c r="L1515" s="1568"/>
      <c r="M1515" s="1566">
        <v>0</v>
      </c>
      <c r="N1515" s="1566"/>
      <c r="O1515" s="1566"/>
      <c r="P1515" s="1566">
        <v>0</v>
      </c>
      <c r="Q1515" s="1566"/>
      <c r="R1515" s="1566"/>
      <c r="S1515" s="1566">
        <v>15656.85</v>
      </c>
      <c r="T1515" s="1566"/>
      <c r="U1515" s="1566"/>
      <c r="V1515" s="1566"/>
      <c r="W1515" s="1566">
        <v>15656.85</v>
      </c>
      <c r="X1515" s="1566"/>
      <c r="Y1515" s="1566"/>
      <c r="Z1515" s="1566"/>
      <c r="AA1515" s="1566">
        <v>0</v>
      </c>
      <c r="AB1515" s="1566"/>
      <c r="AC1515" s="1566"/>
      <c r="AD1515" s="1566"/>
      <c r="AE1515" s="1566"/>
      <c r="AF1515" s="1566"/>
      <c r="AG1515" s="1566">
        <v>0</v>
      </c>
      <c r="AH1515" s="1566"/>
      <c r="AI1515" s="1566"/>
      <c r="AJ1515" s="1566"/>
      <c r="AK1515" s="1566"/>
    </row>
    <row r="1516" spans="2:37" ht="9.4" customHeight="1">
      <c r="B1516" s="1568" t="s">
        <v>1326</v>
      </c>
      <c r="C1516" s="1568"/>
      <c r="D1516" s="1568"/>
      <c r="E1516" s="1568" t="s">
        <v>2696</v>
      </c>
      <c r="F1516" s="1568"/>
      <c r="G1516" s="1568"/>
      <c r="H1516" s="1568"/>
      <c r="J1516" s="1568" t="s">
        <v>2428</v>
      </c>
      <c r="K1516" s="1568"/>
      <c r="L1516" s="1568"/>
      <c r="M1516" s="1566">
        <v>0</v>
      </c>
      <c r="N1516" s="1566"/>
      <c r="O1516" s="1566"/>
      <c r="P1516" s="1566">
        <v>0</v>
      </c>
      <c r="Q1516" s="1566"/>
      <c r="R1516" s="1566"/>
      <c r="S1516" s="1566">
        <v>401511.32</v>
      </c>
      <c r="T1516" s="1566"/>
      <c r="U1516" s="1566"/>
      <c r="V1516" s="1566"/>
      <c r="W1516" s="1566">
        <v>401511.32</v>
      </c>
      <c r="X1516" s="1566"/>
      <c r="Y1516" s="1566"/>
      <c r="Z1516" s="1566"/>
      <c r="AA1516" s="1566">
        <v>0</v>
      </c>
      <c r="AB1516" s="1566"/>
      <c r="AC1516" s="1566"/>
      <c r="AD1516" s="1566"/>
      <c r="AE1516" s="1566"/>
      <c r="AF1516" s="1566"/>
      <c r="AG1516" s="1566">
        <v>0</v>
      </c>
      <c r="AH1516" s="1566"/>
      <c r="AI1516" s="1566"/>
      <c r="AJ1516" s="1566"/>
      <c r="AK1516" s="1566"/>
    </row>
    <row r="1517" spans="2:37" ht="9.1999999999999993" customHeight="1">
      <c r="J1517" s="1568"/>
      <c r="K1517" s="1568"/>
      <c r="L1517" s="1568"/>
    </row>
    <row r="1518" spans="2:37" ht="8.4499999999999993" customHeight="1">
      <c r="B1518" s="1568" t="s">
        <v>1326</v>
      </c>
      <c r="C1518" s="1568"/>
      <c r="D1518" s="1568"/>
      <c r="E1518" s="1568" t="s">
        <v>6266</v>
      </c>
      <c r="F1518" s="1568"/>
      <c r="G1518" s="1568"/>
      <c r="H1518" s="1568"/>
      <c r="J1518" s="1568" t="s">
        <v>2421</v>
      </c>
      <c r="K1518" s="1568"/>
      <c r="L1518" s="1568"/>
      <c r="M1518" s="1566">
        <v>0</v>
      </c>
      <c r="N1518" s="1566"/>
      <c r="O1518" s="1566"/>
      <c r="P1518" s="1566">
        <v>0</v>
      </c>
      <c r="Q1518" s="1566"/>
      <c r="R1518" s="1566"/>
      <c r="S1518" s="1566">
        <v>7400</v>
      </c>
      <c r="T1518" s="1566"/>
      <c r="U1518" s="1566"/>
      <c r="V1518" s="1566"/>
      <c r="W1518" s="1566">
        <v>7400</v>
      </c>
      <c r="X1518" s="1566"/>
      <c r="Y1518" s="1566"/>
      <c r="Z1518" s="1566"/>
      <c r="AA1518" s="1566">
        <v>0</v>
      </c>
      <c r="AB1518" s="1566"/>
      <c r="AC1518" s="1566"/>
      <c r="AD1518" s="1566"/>
      <c r="AE1518" s="1566"/>
      <c r="AF1518" s="1566"/>
      <c r="AG1518" s="1566">
        <v>0</v>
      </c>
      <c r="AH1518" s="1566"/>
      <c r="AI1518" s="1566"/>
      <c r="AJ1518" s="1566"/>
      <c r="AK1518" s="1566"/>
    </row>
    <row r="1519" spans="2:37" ht="9.4" customHeight="1">
      <c r="B1519" s="1568" t="s">
        <v>1326</v>
      </c>
      <c r="C1519" s="1568"/>
      <c r="D1519" s="1568"/>
      <c r="E1519" s="1568" t="s">
        <v>2697</v>
      </c>
      <c r="F1519" s="1568"/>
      <c r="G1519" s="1568"/>
      <c r="H1519" s="1568"/>
      <c r="J1519" s="1568" t="s">
        <v>2423</v>
      </c>
      <c r="K1519" s="1568"/>
      <c r="L1519" s="1568"/>
      <c r="M1519" s="1566">
        <v>0</v>
      </c>
      <c r="N1519" s="1566"/>
      <c r="O1519" s="1566"/>
      <c r="P1519" s="1566">
        <v>0</v>
      </c>
      <c r="Q1519" s="1566"/>
      <c r="R1519" s="1566"/>
      <c r="S1519" s="1566">
        <v>139859.34</v>
      </c>
      <c r="T1519" s="1566"/>
      <c r="U1519" s="1566"/>
      <c r="V1519" s="1566"/>
      <c r="W1519" s="1566">
        <v>139859.34</v>
      </c>
      <c r="X1519" s="1566"/>
      <c r="Y1519" s="1566"/>
      <c r="Z1519" s="1566"/>
      <c r="AA1519" s="1566">
        <v>0</v>
      </c>
      <c r="AB1519" s="1566"/>
      <c r="AC1519" s="1566"/>
      <c r="AD1519" s="1566"/>
      <c r="AE1519" s="1566"/>
      <c r="AF1519" s="1566"/>
      <c r="AG1519" s="1566">
        <v>0</v>
      </c>
      <c r="AH1519" s="1566"/>
      <c r="AI1519" s="1566"/>
      <c r="AJ1519" s="1566"/>
      <c r="AK1519" s="1566"/>
    </row>
    <row r="1520" spans="2:37" ht="9.4" customHeight="1">
      <c r="B1520" s="1568" t="s">
        <v>1326</v>
      </c>
      <c r="C1520" s="1568"/>
      <c r="D1520" s="1568"/>
      <c r="E1520" s="1568" t="s">
        <v>6267</v>
      </c>
      <c r="F1520" s="1568"/>
      <c r="G1520" s="1568"/>
      <c r="H1520" s="1568"/>
      <c r="J1520" s="1568" t="s">
        <v>2428</v>
      </c>
      <c r="K1520" s="1568"/>
      <c r="L1520" s="1568"/>
      <c r="M1520" s="1566">
        <v>0</v>
      </c>
      <c r="N1520" s="1566"/>
      <c r="O1520" s="1566"/>
      <c r="P1520" s="1566">
        <v>0</v>
      </c>
      <c r="Q1520" s="1566"/>
      <c r="R1520" s="1566"/>
      <c r="S1520" s="1566">
        <v>87698.1</v>
      </c>
      <c r="T1520" s="1566"/>
      <c r="U1520" s="1566"/>
      <c r="V1520" s="1566"/>
      <c r="W1520" s="1566">
        <v>87698.1</v>
      </c>
      <c r="X1520" s="1566"/>
      <c r="Y1520" s="1566"/>
      <c r="Z1520" s="1566"/>
      <c r="AA1520" s="1566">
        <v>0</v>
      </c>
      <c r="AB1520" s="1566"/>
      <c r="AC1520" s="1566"/>
      <c r="AD1520" s="1566"/>
      <c r="AE1520" s="1566"/>
      <c r="AF1520" s="1566"/>
      <c r="AG1520" s="1566">
        <v>0</v>
      </c>
      <c r="AH1520" s="1566"/>
      <c r="AI1520" s="1566"/>
      <c r="AJ1520" s="1566"/>
      <c r="AK1520" s="1566"/>
    </row>
    <row r="1521" spans="2:37" ht="9.1999999999999993" customHeight="1">
      <c r="J1521" s="1568"/>
      <c r="K1521" s="1568"/>
      <c r="L1521" s="1568"/>
    </row>
    <row r="1522" spans="2:37" ht="8.4499999999999993" customHeight="1">
      <c r="B1522" s="1568" t="s">
        <v>1326</v>
      </c>
      <c r="C1522" s="1568"/>
      <c r="D1522" s="1568"/>
      <c r="E1522" s="1568" t="s">
        <v>6268</v>
      </c>
      <c r="F1522" s="1568"/>
      <c r="G1522" s="1568"/>
      <c r="H1522" s="1568"/>
      <c r="J1522" s="1568" t="s">
        <v>2421</v>
      </c>
      <c r="K1522" s="1568"/>
      <c r="L1522" s="1568"/>
      <c r="M1522" s="1566">
        <v>0</v>
      </c>
      <c r="N1522" s="1566"/>
      <c r="O1522" s="1566"/>
      <c r="P1522" s="1566">
        <v>0</v>
      </c>
      <c r="Q1522" s="1566"/>
      <c r="R1522" s="1566"/>
      <c r="S1522" s="1566">
        <v>2200</v>
      </c>
      <c r="T1522" s="1566"/>
      <c r="U1522" s="1566"/>
      <c r="V1522" s="1566"/>
      <c r="W1522" s="1566">
        <v>2200</v>
      </c>
      <c r="X1522" s="1566"/>
      <c r="Y1522" s="1566"/>
      <c r="Z1522" s="1566"/>
      <c r="AA1522" s="1566">
        <v>0</v>
      </c>
      <c r="AB1522" s="1566"/>
      <c r="AC1522" s="1566"/>
      <c r="AD1522" s="1566"/>
      <c r="AE1522" s="1566"/>
      <c r="AF1522" s="1566"/>
      <c r="AG1522" s="1566">
        <v>0</v>
      </c>
      <c r="AH1522" s="1566"/>
      <c r="AI1522" s="1566"/>
      <c r="AJ1522" s="1566"/>
      <c r="AK1522" s="1566"/>
    </row>
    <row r="1523" spans="2:37" ht="9.4" customHeight="1">
      <c r="B1523" s="1568" t="s">
        <v>1326</v>
      </c>
      <c r="C1523" s="1568"/>
      <c r="D1523" s="1568"/>
      <c r="E1523" s="1568" t="s">
        <v>2698</v>
      </c>
      <c r="F1523" s="1568"/>
      <c r="G1523" s="1568"/>
      <c r="H1523" s="1568"/>
      <c r="J1523" s="1568" t="s">
        <v>2423</v>
      </c>
      <c r="K1523" s="1568"/>
      <c r="L1523" s="1568"/>
      <c r="M1523" s="1566">
        <v>0</v>
      </c>
      <c r="N1523" s="1566"/>
      <c r="O1523" s="1566"/>
      <c r="P1523" s="1566">
        <v>0</v>
      </c>
      <c r="Q1523" s="1566"/>
      <c r="R1523" s="1566"/>
      <c r="S1523" s="1566">
        <v>31411.18</v>
      </c>
      <c r="T1523" s="1566"/>
      <c r="U1523" s="1566"/>
      <c r="V1523" s="1566"/>
      <c r="W1523" s="1566">
        <v>31411.18</v>
      </c>
      <c r="X1523" s="1566"/>
      <c r="Y1523" s="1566"/>
      <c r="Z1523" s="1566"/>
      <c r="AA1523" s="1566">
        <v>0</v>
      </c>
      <c r="AB1523" s="1566"/>
      <c r="AC1523" s="1566"/>
      <c r="AD1523" s="1566"/>
      <c r="AE1523" s="1566"/>
      <c r="AF1523" s="1566"/>
      <c r="AG1523" s="1566">
        <v>0</v>
      </c>
      <c r="AH1523" s="1566"/>
      <c r="AI1523" s="1566"/>
      <c r="AJ1523" s="1566"/>
      <c r="AK1523" s="1566"/>
    </row>
    <row r="1524" spans="2:37" ht="9.4" customHeight="1">
      <c r="B1524" s="1568" t="s">
        <v>1326</v>
      </c>
      <c r="C1524" s="1568"/>
      <c r="D1524" s="1568"/>
      <c r="E1524" s="1568" t="s">
        <v>2699</v>
      </c>
      <c r="F1524" s="1568"/>
      <c r="G1524" s="1568"/>
      <c r="H1524" s="1568"/>
      <c r="J1524" s="1568" t="s">
        <v>2428</v>
      </c>
      <c r="K1524" s="1568"/>
      <c r="L1524" s="1568"/>
      <c r="M1524" s="1566">
        <v>0</v>
      </c>
      <c r="N1524" s="1566"/>
      <c r="O1524" s="1566"/>
      <c r="P1524" s="1566">
        <v>0</v>
      </c>
      <c r="Q1524" s="1566"/>
      <c r="R1524" s="1566"/>
      <c r="S1524" s="1566">
        <v>58210.37</v>
      </c>
      <c r="T1524" s="1566"/>
      <c r="U1524" s="1566"/>
      <c r="V1524" s="1566"/>
      <c r="W1524" s="1566">
        <v>58210.37</v>
      </c>
      <c r="X1524" s="1566"/>
      <c r="Y1524" s="1566"/>
      <c r="Z1524" s="1566"/>
      <c r="AA1524" s="1566">
        <v>0</v>
      </c>
      <c r="AB1524" s="1566"/>
      <c r="AC1524" s="1566"/>
      <c r="AD1524" s="1566"/>
      <c r="AE1524" s="1566"/>
      <c r="AF1524" s="1566"/>
      <c r="AG1524" s="1566">
        <v>0</v>
      </c>
      <c r="AH1524" s="1566"/>
      <c r="AI1524" s="1566"/>
      <c r="AJ1524" s="1566"/>
      <c r="AK1524" s="1566"/>
    </row>
    <row r="1525" spans="2:37" ht="9.1999999999999993" customHeight="1">
      <c r="J1525" s="1568"/>
      <c r="K1525" s="1568"/>
      <c r="L1525" s="1568"/>
    </row>
    <row r="1526" spans="2:37" ht="8.4499999999999993" customHeight="1">
      <c r="B1526" s="1568" t="s">
        <v>1326</v>
      </c>
      <c r="C1526" s="1568"/>
      <c r="D1526" s="1568"/>
      <c r="E1526" s="1568" t="s">
        <v>6269</v>
      </c>
      <c r="F1526" s="1568"/>
      <c r="G1526" s="1568"/>
      <c r="H1526" s="1568"/>
      <c r="J1526" s="1568" t="s">
        <v>2421</v>
      </c>
      <c r="K1526" s="1568"/>
      <c r="L1526" s="1568"/>
      <c r="M1526" s="1566">
        <v>0</v>
      </c>
      <c r="N1526" s="1566"/>
      <c r="O1526" s="1566"/>
      <c r="P1526" s="1566">
        <v>0</v>
      </c>
      <c r="Q1526" s="1566"/>
      <c r="R1526" s="1566"/>
      <c r="S1526" s="1566">
        <v>1600</v>
      </c>
      <c r="T1526" s="1566"/>
      <c r="U1526" s="1566"/>
      <c r="V1526" s="1566"/>
      <c r="W1526" s="1566">
        <v>1600</v>
      </c>
      <c r="X1526" s="1566"/>
      <c r="Y1526" s="1566"/>
      <c r="Z1526" s="1566"/>
      <c r="AA1526" s="1566">
        <v>0</v>
      </c>
      <c r="AB1526" s="1566"/>
      <c r="AC1526" s="1566"/>
      <c r="AD1526" s="1566"/>
      <c r="AE1526" s="1566"/>
      <c r="AF1526" s="1566"/>
      <c r="AG1526" s="1566">
        <v>0</v>
      </c>
      <c r="AH1526" s="1566"/>
      <c r="AI1526" s="1566"/>
      <c r="AJ1526" s="1566"/>
      <c r="AK1526" s="1566"/>
    </row>
    <row r="1527" spans="2:37" ht="9.4" customHeight="1">
      <c r="B1527" s="1568" t="s">
        <v>1326</v>
      </c>
      <c r="C1527" s="1568"/>
      <c r="D1527" s="1568"/>
      <c r="E1527" s="1568" t="s">
        <v>2700</v>
      </c>
      <c r="F1527" s="1568"/>
      <c r="G1527" s="1568"/>
      <c r="H1527" s="1568"/>
      <c r="J1527" s="1568" t="s">
        <v>2423</v>
      </c>
      <c r="K1527" s="1568"/>
      <c r="L1527" s="1568"/>
      <c r="M1527" s="1566">
        <v>0</v>
      </c>
      <c r="N1527" s="1566"/>
      <c r="O1527" s="1566"/>
      <c r="P1527" s="1566">
        <v>0</v>
      </c>
      <c r="Q1527" s="1566"/>
      <c r="R1527" s="1566"/>
      <c r="S1527" s="1566">
        <v>8571.5</v>
      </c>
      <c r="T1527" s="1566"/>
      <c r="U1527" s="1566"/>
      <c r="V1527" s="1566"/>
      <c r="W1527" s="1566">
        <v>8571.5</v>
      </c>
      <c r="X1527" s="1566"/>
      <c r="Y1527" s="1566"/>
      <c r="Z1527" s="1566"/>
      <c r="AA1527" s="1566">
        <v>0</v>
      </c>
      <c r="AB1527" s="1566"/>
      <c r="AC1527" s="1566"/>
      <c r="AD1527" s="1566"/>
      <c r="AE1527" s="1566"/>
      <c r="AF1527" s="1566"/>
      <c r="AG1527" s="1566">
        <v>0</v>
      </c>
      <c r="AH1527" s="1566"/>
      <c r="AI1527" s="1566"/>
      <c r="AJ1527" s="1566"/>
      <c r="AK1527" s="1566"/>
    </row>
    <row r="1528" spans="2:37" ht="9.4" customHeight="1">
      <c r="B1528" s="1568" t="s">
        <v>1326</v>
      </c>
      <c r="C1528" s="1568"/>
      <c r="D1528" s="1568"/>
      <c r="E1528" s="1568" t="s">
        <v>6270</v>
      </c>
      <c r="F1528" s="1568"/>
      <c r="G1528" s="1568"/>
      <c r="H1528" s="1568"/>
      <c r="J1528" s="1568" t="s">
        <v>2428</v>
      </c>
      <c r="K1528" s="1568"/>
      <c r="L1528" s="1568"/>
      <c r="M1528" s="1566">
        <v>0</v>
      </c>
      <c r="N1528" s="1566"/>
      <c r="O1528" s="1566"/>
      <c r="P1528" s="1566">
        <v>0</v>
      </c>
      <c r="Q1528" s="1566"/>
      <c r="R1528" s="1566"/>
      <c r="S1528" s="1566">
        <v>42002.35</v>
      </c>
      <c r="T1528" s="1566"/>
      <c r="U1528" s="1566"/>
      <c r="V1528" s="1566"/>
      <c r="W1528" s="1566">
        <v>42002.35</v>
      </c>
      <c r="X1528" s="1566"/>
      <c r="Y1528" s="1566"/>
      <c r="Z1528" s="1566"/>
      <c r="AA1528" s="1566">
        <v>0</v>
      </c>
      <c r="AB1528" s="1566"/>
      <c r="AC1528" s="1566"/>
      <c r="AD1528" s="1566"/>
      <c r="AE1528" s="1566"/>
      <c r="AF1528" s="1566"/>
      <c r="AG1528" s="1566">
        <v>0</v>
      </c>
      <c r="AH1528" s="1566"/>
      <c r="AI1528" s="1566"/>
      <c r="AJ1528" s="1566"/>
      <c r="AK1528" s="1566"/>
    </row>
    <row r="1529" spans="2:37" ht="9.1999999999999993" customHeight="1">
      <c r="J1529" s="1568"/>
      <c r="K1529" s="1568"/>
      <c r="L1529" s="1568"/>
    </row>
    <row r="1530" spans="2:37" ht="8.4499999999999993" customHeight="1">
      <c r="B1530" s="1568" t="s">
        <v>1326</v>
      </c>
      <c r="C1530" s="1568"/>
      <c r="D1530" s="1568"/>
      <c r="E1530" s="1568" t="s">
        <v>6271</v>
      </c>
      <c r="F1530" s="1568"/>
      <c r="G1530" s="1568"/>
      <c r="H1530" s="1568"/>
      <c r="J1530" s="1568" t="s">
        <v>2421</v>
      </c>
      <c r="K1530" s="1568"/>
      <c r="L1530" s="1568"/>
      <c r="M1530" s="1566">
        <v>0</v>
      </c>
      <c r="N1530" s="1566"/>
      <c r="O1530" s="1566"/>
      <c r="P1530" s="1566">
        <v>0</v>
      </c>
      <c r="Q1530" s="1566"/>
      <c r="R1530" s="1566"/>
      <c r="S1530" s="1566">
        <v>3800</v>
      </c>
      <c r="T1530" s="1566"/>
      <c r="U1530" s="1566"/>
      <c r="V1530" s="1566"/>
      <c r="W1530" s="1566">
        <v>3800</v>
      </c>
      <c r="X1530" s="1566"/>
      <c r="Y1530" s="1566"/>
      <c r="Z1530" s="1566"/>
      <c r="AA1530" s="1566">
        <v>0</v>
      </c>
      <c r="AB1530" s="1566"/>
      <c r="AC1530" s="1566"/>
      <c r="AD1530" s="1566"/>
      <c r="AE1530" s="1566"/>
      <c r="AF1530" s="1566"/>
      <c r="AG1530" s="1566">
        <v>0</v>
      </c>
      <c r="AH1530" s="1566"/>
      <c r="AI1530" s="1566"/>
      <c r="AJ1530" s="1566"/>
      <c r="AK1530" s="1566"/>
    </row>
    <row r="1531" spans="2:37" ht="9.4" customHeight="1">
      <c r="B1531" s="1568" t="s">
        <v>1326</v>
      </c>
      <c r="C1531" s="1568"/>
      <c r="D1531" s="1568"/>
      <c r="E1531" s="1568" t="s">
        <v>2701</v>
      </c>
      <c r="F1531" s="1568"/>
      <c r="G1531" s="1568"/>
      <c r="H1531" s="1568"/>
      <c r="J1531" s="1568" t="s">
        <v>2423</v>
      </c>
      <c r="K1531" s="1568"/>
      <c r="L1531" s="1568"/>
      <c r="M1531" s="1566">
        <v>0</v>
      </c>
      <c r="N1531" s="1566"/>
      <c r="O1531" s="1566"/>
      <c r="P1531" s="1566">
        <v>0</v>
      </c>
      <c r="Q1531" s="1566"/>
      <c r="R1531" s="1566"/>
      <c r="S1531" s="1566">
        <v>20630.86</v>
      </c>
      <c r="T1531" s="1566"/>
      <c r="U1531" s="1566"/>
      <c r="V1531" s="1566"/>
      <c r="W1531" s="1566">
        <v>20630.86</v>
      </c>
      <c r="X1531" s="1566"/>
      <c r="Y1531" s="1566"/>
      <c r="Z1531" s="1566"/>
      <c r="AA1531" s="1566">
        <v>0</v>
      </c>
      <c r="AB1531" s="1566"/>
      <c r="AC1531" s="1566"/>
      <c r="AD1531" s="1566"/>
      <c r="AE1531" s="1566"/>
      <c r="AF1531" s="1566"/>
      <c r="AG1531" s="1566">
        <v>0</v>
      </c>
      <c r="AH1531" s="1566"/>
      <c r="AI1531" s="1566"/>
      <c r="AJ1531" s="1566"/>
      <c r="AK1531" s="1566"/>
    </row>
    <row r="1532" spans="2:37" ht="9.4" customHeight="1">
      <c r="B1532" s="1568" t="s">
        <v>1326</v>
      </c>
      <c r="C1532" s="1568"/>
      <c r="D1532" s="1568"/>
      <c r="E1532" s="1568" t="s">
        <v>2702</v>
      </c>
      <c r="F1532" s="1568"/>
      <c r="G1532" s="1568"/>
      <c r="H1532" s="1568"/>
      <c r="J1532" s="1568" t="s">
        <v>2428</v>
      </c>
      <c r="K1532" s="1568"/>
      <c r="L1532" s="1568"/>
      <c r="M1532" s="1566">
        <v>0</v>
      </c>
      <c r="N1532" s="1566"/>
      <c r="O1532" s="1566"/>
      <c r="P1532" s="1566">
        <v>0</v>
      </c>
      <c r="Q1532" s="1566"/>
      <c r="R1532" s="1566"/>
      <c r="S1532" s="1566">
        <v>38325.379999999997</v>
      </c>
      <c r="T1532" s="1566"/>
      <c r="U1532" s="1566"/>
      <c r="V1532" s="1566"/>
      <c r="W1532" s="1566">
        <v>38325.379999999997</v>
      </c>
      <c r="X1532" s="1566"/>
      <c r="Y1532" s="1566"/>
      <c r="Z1532" s="1566"/>
      <c r="AA1532" s="1566">
        <v>0</v>
      </c>
      <c r="AB1532" s="1566"/>
      <c r="AC1532" s="1566"/>
      <c r="AD1532" s="1566"/>
      <c r="AE1532" s="1566"/>
      <c r="AF1532" s="1566"/>
      <c r="AG1532" s="1566">
        <v>0</v>
      </c>
      <c r="AH1532" s="1566"/>
      <c r="AI1532" s="1566"/>
      <c r="AJ1532" s="1566"/>
      <c r="AK1532" s="1566"/>
    </row>
    <row r="1533" spans="2:37" ht="9.1999999999999993" customHeight="1">
      <c r="J1533" s="1568"/>
      <c r="K1533" s="1568"/>
      <c r="L1533" s="1568"/>
    </row>
    <row r="1534" spans="2:37" ht="8.4499999999999993" customHeight="1">
      <c r="B1534" s="1568" t="s">
        <v>1326</v>
      </c>
      <c r="C1534" s="1568"/>
      <c r="D1534" s="1568"/>
      <c r="E1534" s="1568" t="s">
        <v>2703</v>
      </c>
      <c r="F1534" s="1568"/>
      <c r="G1534" s="1568"/>
      <c r="H1534" s="1568"/>
      <c r="J1534" s="1568" t="s">
        <v>2392</v>
      </c>
      <c r="K1534" s="1568"/>
      <c r="L1534" s="1568"/>
      <c r="M1534" s="1566">
        <v>0</v>
      </c>
      <c r="N1534" s="1566"/>
      <c r="O1534" s="1566"/>
      <c r="P1534" s="1566">
        <v>0</v>
      </c>
      <c r="Q1534" s="1566"/>
      <c r="R1534" s="1566"/>
      <c r="S1534" s="1566">
        <v>42559.8</v>
      </c>
      <c r="T1534" s="1566"/>
      <c r="U1534" s="1566"/>
      <c r="V1534" s="1566"/>
      <c r="W1534" s="1566">
        <v>42559.8</v>
      </c>
      <c r="X1534" s="1566"/>
      <c r="Y1534" s="1566"/>
      <c r="Z1534" s="1566"/>
      <c r="AA1534" s="1566">
        <v>0</v>
      </c>
      <c r="AB1534" s="1566"/>
      <c r="AC1534" s="1566"/>
      <c r="AD1534" s="1566"/>
      <c r="AE1534" s="1566"/>
      <c r="AF1534" s="1566"/>
      <c r="AG1534" s="1566">
        <v>0</v>
      </c>
      <c r="AH1534" s="1566"/>
      <c r="AI1534" s="1566"/>
      <c r="AJ1534" s="1566"/>
      <c r="AK1534" s="1566"/>
    </row>
    <row r="1535" spans="2:37" ht="9.4" customHeight="1">
      <c r="B1535" s="1568" t="s">
        <v>1326</v>
      </c>
      <c r="C1535" s="1568"/>
      <c r="D1535" s="1568"/>
      <c r="E1535" s="1568" t="s">
        <v>3295</v>
      </c>
      <c r="F1535" s="1568"/>
      <c r="G1535" s="1568"/>
      <c r="H1535" s="1568"/>
      <c r="J1535" s="1568" t="s">
        <v>2460</v>
      </c>
      <c r="K1535" s="1568"/>
      <c r="L1535" s="1568"/>
      <c r="M1535" s="1566">
        <v>0</v>
      </c>
      <c r="N1535" s="1566"/>
      <c r="O1535" s="1566"/>
      <c r="P1535" s="1566">
        <v>0</v>
      </c>
      <c r="Q1535" s="1566"/>
      <c r="R1535" s="1566"/>
      <c r="S1535" s="1566">
        <v>2026.19</v>
      </c>
      <c r="T1535" s="1566"/>
      <c r="U1535" s="1566"/>
      <c r="V1535" s="1566"/>
      <c r="W1535" s="1566">
        <v>2026.19</v>
      </c>
      <c r="X1535" s="1566"/>
      <c r="Y1535" s="1566"/>
      <c r="Z1535" s="1566"/>
      <c r="AA1535" s="1566">
        <v>0</v>
      </c>
      <c r="AB1535" s="1566"/>
      <c r="AC1535" s="1566"/>
      <c r="AD1535" s="1566"/>
      <c r="AE1535" s="1566"/>
      <c r="AF1535" s="1566"/>
      <c r="AG1535" s="1566">
        <v>0</v>
      </c>
      <c r="AH1535" s="1566"/>
      <c r="AI1535" s="1566"/>
      <c r="AJ1535" s="1566"/>
      <c r="AK1535" s="1566"/>
    </row>
    <row r="1536" spans="2:37" ht="9.4" customHeight="1">
      <c r="B1536" s="1568" t="s">
        <v>1326</v>
      </c>
      <c r="C1536" s="1568"/>
      <c r="D1536" s="1568"/>
      <c r="E1536" s="1568" t="s">
        <v>2704</v>
      </c>
      <c r="F1536" s="1568"/>
      <c r="G1536" s="1568"/>
      <c r="H1536" s="1568"/>
      <c r="J1536" s="1568" t="s">
        <v>2401</v>
      </c>
      <c r="K1536" s="1568"/>
      <c r="L1536" s="1568"/>
      <c r="M1536" s="1566">
        <v>0</v>
      </c>
      <c r="N1536" s="1566"/>
      <c r="O1536" s="1566"/>
      <c r="P1536" s="1566">
        <v>0</v>
      </c>
      <c r="Q1536" s="1566"/>
      <c r="R1536" s="1566"/>
      <c r="S1536" s="1566">
        <v>7235.18</v>
      </c>
      <c r="T1536" s="1566"/>
      <c r="U1536" s="1566"/>
      <c r="V1536" s="1566"/>
      <c r="W1536" s="1566">
        <v>7235.18</v>
      </c>
      <c r="X1536" s="1566"/>
      <c r="Y1536" s="1566"/>
      <c r="Z1536" s="1566"/>
      <c r="AA1536" s="1566">
        <v>0</v>
      </c>
      <c r="AB1536" s="1566"/>
      <c r="AC1536" s="1566"/>
      <c r="AD1536" s="1566"/>
      <c r="AE1536" s="1566"/>
      <c r="AF1536" s="1566"/>
      <c r="AG1536" s="1566">
        <v>0</v>
      </c>
      <c r="AH1536" s="1566"/>
      <c r="AI1536" s="1566"/>
      <c r="AJ1536" s="1566"/>
      <c r="AK1536" s="1566"/>
    </row>
    <row r="1537" spans="2:37" ht="9.4" customHeight="1">
      <c r="B1537" s="1568" t="s">
        <v>1326</v>
      </c>
      <c r="C1537" s="1568"/>
      <c r="D1537" s="1568"/>
      <c r="E1537" s="1568" t="s">
        <v>2705</v>
      </c>
      <c r="F1537" s="1568"/>
      <c r="G1537" s="1568"/>
      <c r="H1537" s="1568"/>
      <c r="J1537" s="1568" t="s">
        <v>2403</v>
      </c>
      <c r="K1537" s="1568"/>
      <c r="L1537" s="1568"/>
      <c r="M1537" s="1566">
        <v>0</v>
      </c>
      <c r="N1537" s="1566"/>
      <c r="O1537" s="1566"/>
      <c r="P1537" s="1566">
        <v>0</v>
      </c>
      <c r="Q1537" s="1566"/>
      <c r="R1537" s="1566"/>
      <c r="S1537" s="1566">
        <v>328.15</v>
      </c>
      <c r="T1537" s="1566"/>
      <c r="U1537" s="1566"/>
      <c r="V1537" s="1566"/>
      <c r="W1537" s="1566">
        <v>328.15</v>
      </c>
      <c r="X1537" s="1566"/>
      <c r="Y1537" s="1566"/>
      <c r="Z1537" s="1566"/>
      <c r="AA1537" s="1566">
        <v>0</v>
      </c>
      <c r="AB1537" s="1566"/>
      <c r="AC1537" s="1566"/>
      <c r="AD1537" s="1566"/>
      <c r="AE1537" s="1566"/>
      <c r="AF1537" s="1566"/>
      <c r="AG1537" s="1566">
        <v>0</v>
      </c>
      <c r="AH1537" s="1566"/>
      <c r="AI1537" s="1566"/>
      <c r="AJ1537" s="1566"/>
      <c r="AK1537" s="1566"/>
    </row>
    <row r="1538" spans="2:37" ht="9.4" customHeight="1">
      <c r="B1538" s="1568" t="s">
        <v>1326</v>
      </c>
      <c r="C1538" s="1568"/>
      <c r="D1538" s="1568"/>
      <c r="E1538" s="1568" t="s">
        <v>2706</v>
      </c>
      <c r="F1538" s="1568"/>
      <c r="G1538" s="1568"/>
      <c r="H1538" s="1568"/>
      <c r="J1538" s="1568" t="s">
        <v>2405</v>
      </c>
      <c r="K1538" s="1568"/>
      <c r="L1538" s="1568"/>
      <c r="M1538" s="1566">
        <v>0</v>
      </c>
      <c r="N1538" s="1566"/>
      <c r="O1538" s="1566"/>
      <c r="P1538" s="1566">
        <v>0</v>
      </c>
      <c r="Q1538" s="1566"/>
      <c r="R1538" s="1566"/>
      <c r="S1538" s="1566">
        <v>5354.5</v>
      </c>
      <c r="T1538" s="1566"/>
      <c r="U1538" s="1566"/>
      <c r="V1538" s="1566"/>
      <c r="W1538" s="1566">
        <v>5354.5</v>
      </c>
      <c r="X1538" s="1566"/>
      <c r="Y1538" s="1566"/>
      <c r="Z1538" s="1566"/>
      <c r="AA1538" s="1566">
        <v>0</v>
      </c>
      <c r="AB1538" s="1566"/>
      <c r="AC1538" s="1566"/>
      <c r="AD1538" s="1566"/>
      <c r="AE1538" s="1566"/>
      <c r="AF1538" s="1566"/>
      <c r="AG1538" s="1566">
        <v>0</v>
      </c>
      <c r="AH1538" s="1566"/>
      <c r="AI1538" s="1566"/>
      <c r="AJ1538" s="1566"/>
      <c r="AK1538" s="1566"/>
    </row>
    <row r="1539" spans="2:37" ht="9.4" customHeight="1">
      <c r="B1539" s="1568" t="s">
        <v>1326</v>
      </c>
      <c r="C1539" s="1568"/>
      <c r="D1539" s="1568"/>
      <c r="E1539" s="1568" t="s">
        <v>2707</v>
      </c>
      <c r="F1539" s="1568"/>
      <c r="G1539" s="1568"/>
      <c r="H1539" s="1568"/>
      <c r="J1539" s="1568" t="s">
        <v>2407</v>
      </c>
      <c r="K1539" s="1568"/>
      <c r="L1539" s="1568"/>
      <c r="M1539" s="1566">
        <v>0</v>
      </c>
      <c r="N1539" s="1566"/>
      <c r="O1539" s="1566"/>
      <c r="P1539" s="1566">
        <v>0</v>
      </c>
      <c r="Q1539" s="1566"/>
      <c r="R1539" s="1566"/>
      <c r="S1539" s="1566">
        <v>4833.9799999999996</v>
      </c>
      <c r="T1539" s="1566"/>
      <c r="U1539" s="1566"/>
      <c r="V1539" s="1566"/>
      <c r="W1539" s="1566">
        <v>4833.9799999999996</v>
      </c>
      <c r="X1539" s="1566"/>
      <c r="Y1539" s="1566"/>
      <c r="Z1539" s="1566"/>
      <c r="AA1539" s="1566">
        <v>0</v>
      </c>
      <c r="AB1539" s="1566"/>
      <c r="AC1539" s="1566"/>
      <c r="AD1539" s="1566"/>
      <c r="AE1539" s="1566"/>
      <c r="AF1539" s="1566"/>
      <c r="AG1539" s="1566">
        <v>0</v>
      </c>
      <c r="AH1539" s="1566"/>
      <c r="AI1539" s="1566"/>
      <c r="AJ1539" s="1566"/>
      <c r="AK1539" s="1566"/>
    </row>
    <row r="1540" spans="2:37" ht="9.4" customHeight="1">
      <c r="B1540" s="1568" t="s">
        <v>1326</v>
      </c>
      <c r="C1540" s="1568"/>
      <c r="D1540" s="1568"/>
      <c r="E1540" s="1568" t="s">
        <v>2708</v>
      </c>
      <c r="F1540" s="1568"/>
      <c r="G1540" s="1568"/>
      <c r="H1540" s="1568"/>
      <c r="J1540" s="1568" t="s">
        <v>2448</v>
      </c>
      <c r="K1540" s="1568"/>
      <c r="L1540" s="1568"/>
      <c r="M1540" s="1566">
        <v>0</v>
      </c>
      <c r="N1540" s="1566"/>
      <c r="O1540" s="1566"/>
      <c r="P1540" s="1566">
        <v>0</v>
      </c>
      <c r="Q1540" s="1566"/>
      <c r="R1540" s="1566"/>
      <c r="S1540" s="1566">
        <v>260058.8</v>
      </c>
      <c r="T1540" s="1566"/>
      <c r="U1540" s="1566"/>
      <c r="V1540" s="1566"/>
      <c r="W1540" s="1566">
        <v>260058.8</v>
      </c>
      <c r="X1540" s="1566"/>
      <c r="Y1540" s="1566"/>
      <c r="Z1540" s="1566"/>
      <c r="AA1540" s="1566">
        <v>0</v>
      </c>
      <c r="AB1540" s="1566"/>
      <c r="AC1540" s="1566"/>
      <c r="AD1540" s="1566"/>
      <c r="AE1540" s="1566"/>
      <c r="AF1540" s="1566"/>
      <c r="AG1540" s="1566">
        <v>0</v>
      </c>
      <c r="AH1540" s="1566"/>
      <c r="AI1540" s="1566"/>
      <c r="AJ1540" s="1566"/>
      <c r="AK1540" s="1566"/>
    </row>
    <row r="1541" spans="2:37" ht="9.4" customHeight="1">
      <c r="B1541" s="1568" t="s">
        <v>1326</v>
      </c>
      <c r="C1541" s="1568"/>
      <c r="D1541" s="1568"/>
      <c r="E1541" s="1568" t="s">
        <v>6272</v>
      </c>
      <c r="F1541" s="1568"/>
      <c r="G1541" s="1568"/>
      <c r="H1541" s="1568"/>
      <c r="J1541" s="1568" t="s">
        <v>2450</v>
      </c>
      <c r="K1541" s="1568"/>
      <c r="L1541" s="1568"/>
      <c r="M1541" s="1566">
        <v>0</v>
      </c>
      <c r="N1541" s="1566"/>
      <c r="O1541" s="1566"/>
      <c r="P1541" s="1566">
        <v>0</v>
      </c>
      <c r="Q1541" s="1566"/>
      <c r="R1541" s="1566"/>
      <c r="S1541" s="1566">
        <v>12150</v>
      </c>
      <c r="T1541" s="1566"/>
      <c r="U1541" s="1566"/>
      <c r="V1541" s="1566"/>
      <c r="W1541" s="1566">
        <v>12150</v>
      </c>
      <c r="X1541" s="1566"/>
      <c r="Y1541" s="1566"/>
      <c r="Z1541" s="1566"/>
      <c r="AA1541" s="1566">
        <v>0</v>
      </c>
      <c r="AB1541" s="1566"/>
      <c r="AC1541" s="1566"/>
      <c r="AD1541" s="1566"/>
      <c r="AE1541" s="1566"/>
      <c r="AF1541" s="1566"/>
      <c r="AG1541" s="1566">
        <v>0</v>
      </c>
      <c r="AH1541" s="1566"/>
      <c r="AI1541" s="1566"/>
      <c r="AJ1541" s="1566"/>
      <c r="AK1541" s="1566"/>
    </row>
    <row r="1542" spans="2:37" ht="9.4" customHeight="1">
      <c r="B1542" s="1568" t="s">
        <v>1326</v>
      </c>
      <c r="C1542" s="1568"/>
      <c r="D1542" s="1568"/>
      <c r="E1542" s="1568" t="s">
        <v>6792</v>
      </c>
      <c r="F1542" s="1568"/>
      <c r="G1542" s="1568"/>
      <c r="H1542" s="1568"/>
      <c r="J1542" s="1568" t="s">
        <v>2448</v>
      </c>
      <c r="K1542" s="1568"/>
      <c r="L1542" s="1568"/>
      <c r="M1542" s="1566">
        <v>0</v>
      </c>
      <c r="N1542" s="1566"/>
      <c r="O1542" s="1566"/>
      <c r="P1542" s="1566">
        <v>0</v>
      </c>
      <c r="Q1542" s="1566"/>
      <c r="R1542" s="1566"/>
      <c r="S1542" s="1566">
        <v>85841</v>
      </c>
      <c r="T1542" s="1566"/>
      <c r="U1542" s="1566"/>
      <c r="V1542" s="1566"/>
      <c r="W1542" s="1566">
        <v>85841</v>
      </c>
      <c r="X1542" s="1566"/>
      <c r="Y1542" s="1566"/>
      <c r="Z1542" s="1566"/>
      <c r="AA1542" s="1566">
        <v>0</v>
      </c>
      <c r="AB1542" s="1566"/>
      <c r="AC1542" s="1566"/>
      <c r="AD1542" s="1566"/>
      <c r="AE1542" s="1566"/>
      <c r="AF1542" s="1566"/>
      <c r="AG1542" s="1566">
        <v>0</v>
      </c>
      <c r="AH1542" s="1566"/>
      <c r="AI1542" s="1566"/>
      <c r="AJ1542" s="1566"/>
      <c r="AK1542" s="1566"/>
    </row>
    <row r="1543" spans="2:37" ht="9.4" customHeight="1">
      <c r="B1543" s="1568" t="s">
        <v>1326</v>
      </c>
      <c r="C1543" s="1568"/>
      <c r="D1543" s="1568"/>
      <c r="E1543" s="1568" t="s">
        <v>6793</v>
      </c>
      <c r="F1543" s="1568"/>
      <c r="G1543" s="1568"/>
      <c r="H1543" s="1568"/>
      <c r="J1543" s="1568" t="s">
        <v>2448</v>
      </c>
      <c r="K1543" s="1568"/>
      <c r="L1543" s="1568"/>
      <c r="M1543" s="1566">
        <v>0</v>
      </c>
      <c r="N1543" s="1566"/>
      <c r="O1543" s="1566"/>
      <c r="P1543" s="1566">
        <v>0</v>
      </c>
      <c r="Q1543" s="1566"/>
      <c r="R1543" s="1566"/>
      <c r="S1543" s="1566">
        <v>958</v>
      </c>
      <c r="T1543" s="1566"/>
      <c r="U1543" s="1566"/>
      <c r="V1543" s="1566"/>
      <c r="W1543" s="1566">
        <v>958</v>
      </c>
      <c r="X1543" s="1566"/>
      <c r="Y1543" s="1566"/>
      <c r="Z1543" s="1566"/>
      <c r="AA1543" s="1566">
        <v>0</v>
      </c>
      <c r="AB1543" s="1566"/>
      <c r="AC1543" s="1566"/>
      <c r="AD1543" s="1566"/>
      <c r="AE1543" s="1566"/>
      <c r="AF1543" s="1566"/>
      <c r="AG1543" s="1566">
        <v>0</v>
      </c>
      <c r="AH1543" s="1566"/>
      <c r="AI1543" s="1566"/>
      <c r="AJ1543" s="1566"/>
      <c r="AK1543" s="1566"/>
    </row>
    <row r="1544" spans="2:37" ht="9.4" customHeight="1">
      <c r="B1544" s="1568" t="s">
        <v>1326</v>
      </c>
      <c r="C1544" s="1568"/>
      <c r="D1544" s="1568"/>
      <c r="E1544" s="1568" t="s">
        <v>6273</v>
      </c>
      <c r="F1544" s="1568"/>
      <c r="G1544" s="1568"/>
      <c r="H1544" s="1568"/>
      <c r="J1544" s="1568" t="s">
        <v>2450</v>
      </c>
      <c r="K1544" s="1568"/>
      <c r="L1544" s="1568"/>
      <c r="M1544" s="1566">
        <v>0</v>
      </c>
      <c r="N1544" s="1566"/>
      <c r="O1544" s="1566"/>
      <c r="P1544" s="1566">
        <v>0</v>
      </c>
      <c r="Q1544" s="1566"/>
      <c r="R1544" s="1566"/>
      <c r="S1544" s="1566">
        <v>0</v>
      </c>
      <c r="T1544" s="1566"/>
      <c r="U1544" s="1566"/>
      <c r="V1544" s="1566"/>
      <c r="W1544" s="1566">
        <v>0</v>
      </c>
      <c r="X1544" s="1566"/>
      <c r="Y1544" s="1566"/>
      <c r="Z1544" s="1566"/>
      <c r="AA1544" s="1566">
        <v>0</v>
      </c>
      <c r="AB1544" s="1566"/>
      <c r="AC1544" s="1566"/>
      <c r="AD1544" s="1566"/>
      <c r="AE1544" s="1566"/>
      <c r="AF1544" s="1566"/>
      <c r="AG1544" s="1566">
        <v>0</v>
      </c>
      <c r="AH1544" s="1566"/>
      <c r="AI1544" s="1566"/>
      <c r="AJ1544" s="1566"/>
      <c r="AK1544" s="1566"/>
    </row>
    <row r="1545" spans="2:37" ht="9.4" customHeight="1">
      <c r="B1545" s="1568" t="s">
        <v>1326</v>
      </c>
      <c r="C1545" s="1568"/>
      <c r="D1545" s="1568"/>
      <c r="E1545" s="1568" t="s">
        <v>6794</v>
      </c>
      <c r="F1545" s="1568"/>
      <c r="G1545" s="1568"/>
      <c r="H1545" s="1568"/>
      <c r="J1545" s="1568" t="s">
        <v>2448</v>
      </c>
      <c r="K1545" s="1568"/>
      <c r="L1545" s="1568"/>
      <c r="M1545" s="1566">
        <v>0</v>
      </c>
      <c r="N1545" s="1566"/>
      <c r="O1545" s="1566"/>
      <c r="P1545" s="1566">
        <v>0</v>
      </c>
      <c r="Q1545" s="1566"/>
      <c r="R1545" s="1566"/>
      <c r="S1545" s="1566">
        <v>3323</v>
      </c>
      <c r="T1545" s="1566"/>
      <c r="U1545" s="1566"/>
      <c r="V1545" s="1566"/>
      <c r="W1545" s="1566">
        <v>3323</v>
      </c>
      <c r="X1545" s="1566"/>
      <c r="Y1545" s="1566"/>
      <c r="Z1545" s="1566"/>
      <c r="AA1545" s="1566">
        <v>0</v>
      </c>
      <c r="AB1545" s="1566"/>
      <c r="AC1545" s="1566"/>
      <c r="AD1545" s="1566"/>
      <c r="AE1545" s="1566"/>
      <c r="AF1545" s="1566"/>
      <c r="AG1545" s="1566">
        <v>0</v>
      </c>
      <c r="AH1545" s="1566"/>
      <c r="AI1545" s="1566"/>
      <c r="AJ1545" s="1566"/>
      <c r="AK1545" s="1566"/>
    </row>
    <row r="1546" spans="2:37" ht="9.4" customHeight="1">
      <c r="B1546" s="1568" t="s">
        <v>1326</v>
      </c>
      <c r="C1546" s="1568"/>
      <c r="D1546" s="1568"/>
      <c r="E1546" s="1568" t="s">
        <v>6519</v>
      </c>
      <c r="F1546" s="1568"/>
      <c r="G1546" s="1568"/>
      <c r="H1546" s="1568"/>
      <c r="J1546" s="1568" t="s">
        <v>2450</v>
      </c>
      <c r="K1546" s="1568"/>
      <c r="L1546" s="1568"/>
      <c r="M1546" s="1566">
        <v>0</v>
      </c>
      <c r="N1546" s="1566"/>
      <c r="O1546" s="1566"/>
      <c r="P1546" s="1566">
        <v>0</v>
      </c>
      <c r="Q1546" s="1566"/>
      <c r="R1546" s="1566"/>
      <c r="S1546" s="1566">
        <v>56000</v>
      </c>
      <c r="T1546" s="1566"/>
      <c r="U1546" s="1566"/>
      <c r="V1546" s="1566"/>
      <c r="W1546" s="1566">
        <v>56000</v>
      </c>
      <c r="X1546" s="1566"/>
      <c r="Y1546" s="1566"/>
      <c r="Z1546" s="1566"/>
      <c r="AA1546" s="1566">
        <v>0</v>
      </c>
      <c r="AB1546" s="1566"/>
      <c r="AC1546" s="1566"/>
      <c r="AD1546" s="1566"/>
      <c r="AE1546" s="1566"/>
      <c r="AF1546" s="1566"/>
      <c r="AG1546" s="1566">
        <v>0</v>
      </c>
      <c r="AH1546" s="1566"/>
      <c r="AI1546" s="1566"/>
      <c r="AJ1546" s="1566"/>
      <c r="AK1546" s="1566"/>
    </row>
    <row r="1547" spans="2:37" ht="9.4" customHeight="1">
      <c r="B1547" s="1568" t="s">
        <v>1326</v>
      </c>
      <c r="C1547" s="1568"/>
      <c r="D1547" s="1568"/>
      <c r="E1547" s="1568" t="s">
        <v>2709</v>
      </c>
      <c r="F1547" s="1568"/>
      <c r="G1547" s="1568"/>
      <c r="H1547" s="1568"/>
      <c r="J1547" s="1568" t="s">
        <v>2392</v>
      </c>
      <c r="K1547" s="1568"/>
      <c r="L1547" s="1568"/>
      <c r="M1547" s="1566">
        <v>0</v>
      </c>
      <c r="N1547" s="1566"/>
      <c r="O1547" s="1566"/>
      <c r="P1547" s="1566">
        <v>0</v>
      </c>
      <c r="Q1547" s="1566"/>
      <c r="R1547" s="1566"/>
      <c r="S1547" s="1566">
        <v>333184.2</v>
      </c>
      <c r="T1547" s="1566"/>
      <c r="U1547" s="1566"/>
      <c r="V1547" s="1566"/>
      <c r="W1547" s="1566">
        <v>333184.2</v>
      </c>
      <c r="X1547" s="1566"/>
      <c r="Y1547" s="1566"/>
      <c r="Z1547" s="1566"/>
      <c r="AA1547" s="1566">
        <v>0</v>
      </c>
      <c r="AB1547" s="1566"/>
      <c r="AC1547" s="1566"/>
      <c r="AD1547" s="1566"/>
      <c r="AE1547" s="1566"/>
      <c r="AF1547" s="1566"/>
      <c r="AG1547" s="1566">
        <v>0</v>
      </c>
      <c r="AH1547" s="1566"/>
      <c r="AI1547" s="1566"/>
      <c r="AJ1547" s="1566"/>
      <c r="AK1547" s="1566"/>
    </row>
    <row r="1548" spans="2:37" ht="9.4" customHeight="1">
      <c r="B1548" s="1568" t="s">
        <v>1326</v>
      </c>
      <c r="C1548" s="1568"/>
      <c r="D1548" s="1568"/>
      <c r="E1548" s="1568" t="s">
        <v>2711</v>
      </c>
      <c r="F1548" s="1568"/>
      <c r="G1548" s="1568"/>
      <c r="H1548" s="1568"/>
      <c r="J1548" s="1568" t="s">
        <v>2401</v>
      </c>
      <c r="K1548" s="1568"/>
      <c r="L1548" s="1568"/>
      <c r="M1548" s="1566">
        <v>0</v>
      </c>
      <c r="N1548" s="1566"/>
      <c r="O1548" s="1566"/>
      <c r="P1548" s="1566">
        <v>0</v>
      </c>
      <c r="Q1548" s="1566"/>
      <c r="R1548" s="1566"/>
      <c r="S1548" s="1566">
        <v>56251.74</v>
      </c>
      <c r="T1548" s="1566"/>
      <c r="U1548" s="1566"/>
      <c r="V1548" s="1566"/>
      <c r="W1548" s="1566">
        <v>56251.74</v>
      </c>
      <c r="X1548" s="1566"/>
      <c r="Y1548" s="1566"/>
      <c r="Z1548" s="1566"/>
      <c r="AA1548" s="1566">
        <v>0</v>
      </c>
      <c r="AB1548" s="1566"/>
      <c r="AC1548" s="1566"/>
      <c r="AD1548" s="1566"/>
      <c r="AE1548" s="1566"/>
      <c r="AF1548" s="1566"/>
      <c r="AG1548" s="1566">
        <v>0</v>
      </c>
      <c r="AH1548" s="1566"/>
      <c r="AI1548" s="1566"/>
      <c r="AJ1548" s="1566"/>
      <c r="AK1548" s="1566"/>
    </row>
    <row r="1549" spans="2:37" ht="9.4" customHeight="1">
      <c r="B1549" s="1568" t="s">
        <v>1326</v>
      </c>
      <c r="C1549" s="1568"/>
      <c r="D1549" s="1568"/>
      <c r="E1549" s="1568" t="s">
        <v>2712</v>
      </c>
      <c r="F1549" s="1568"/>
      <c r="G1549" s="1568"/>
      <c r="H1549" s="1568"/>
      <c r="J1549" s="1568" t="s">
        <v>2403</v>
      </c>
      <c r="K1549" s="1568"/>
      <c r="L1549" s="1568"/>
      <c r="M1549" s="1566">
        <v>0</v>
      </c>
      <c r="N1549" s="1566"/>
      <c r="O1549" s="1566"/>
      <c r="P1549" s="1566">
        <v>0</v>
      </c>
      <c r="Q1549" s="1566"/>
      <c r="R1549" s="1566"/>
      <c r="S1549" s="1566">
        <v>2461.12</v>
      </c>
      <c r="T1549" s="1566"/>
      <c r="U1549" s="1566"/>
      <c r="V1549" s="1566"/>
      <c r="W1549" s="1566">
        <v>2461.12</v>
      </c>
      <c r="X1549" s="1566"/>
      <c r="Y1549" s="1566"/>
      <c r="Z1549" s="1566"/>
      <c r="AA1549" s="1566">
        <v>0</v>
      </c>
      <c r="AB1549" s="1566"/>
      <c r="AC1549" s="1566"/>
      <c r="AD1549" s="1566"/>
      <c r="AE1549" s="1566"/>
      <c r="AF1549" s="1566"/>
      <c r="AG1549" s="1566">
        <v>0</v>
      </c>
      <c r="AH1549" s="1566"/>
      <c r="AI1549" s="1566"/>
      <c r="AJ1549" s="1566"/>
      <c r="AK1549" s="1566"/>
    </row>
    <row r="1550" spans="2:37" ht="9.4" customHeight="1">
      <c r="B1550" s="1568" t="s">
        <v>1326</v>
      </c>
      <c r="C1550" s="1568"/>
      <c r="D1550" s="1568"/>
      <c r="E1550" s="1568" t="s">
        <v>2713</v>
      </c>
      <c r="F1550" s="1568"/>
      <c r="G1550" s="1568"/>
      <c r="H1550" s="1568"/>
      <c r="J1550" s="1568" t="s">
        <v>2405</v>
      </c>
      <c r="K1550" s="1568"/>
      <c r="L1550" s="1568"/>
      <c r="M1550" s="1566">
        <v>0</v>
      </c>
      <c r="N1550" s="1566"/>
      <c r="O1550" s="1566"/>
      <c r="P1550" s="1566">
        <v>0</v>
      </c>
      <c r="Q1550" s="1566"/>
      <c r="R1550" s="1566"/>
      <c r="S1550" s="1566">
        <v>27961.439999999999</v>
      </c>
      <c r="T1550" s="1566"/>
      <c r="U1550" s="1566"/>
      <c r="V1550" s="1566"/>
      <c r="W1550" s="1566">
        <v>27961.439999999999</v>
      </c>
      <c r="X1550" s="1566"/>
      <c r="Y1550" s="1566"/>
      <c r="Z1550" s="1566"/>
      <c r="AA1550" s="1566">
        <v>0</v>
      </c>
      <c r="AB1550" s="1566"/>
      <c r="AC1550" s="1566"/>
      <c r="AD1550" s="1566"/>
      <c r="AE1550" s="1566"/>
      <c r="AF1550" s="1566"/>
      <c r="AG1550" s="1566">
        <v>0</v>
      </c>
      <c r="AH1550" s="1566"/>
      <c r="AI1550" s="1566"/>
      <c r="AJ1550" s="1566"/>
      <c r="AK1550" s="1566"/>
    </row>
    <row r="1551" spans="2:37" ht="9.4" customHeight="1">
      <c r="B1551" s="1568" t="s">
        <v>1326</v>
      </c>
      <c r="C1551" s="1568"/>
      <c r="D1551" s="1568"/>
      <c r="E1551" s="1568" t="s">
        <v>2714</v>
      </c>
      <c r="F1551" s="1568"/>
      <c r="G1551" s="1568"/>
      <c r="H1551" s="1568"/>
      <c r="J1551" s="1568" t="s">
        <v>2407</v>
      </c>
      <c r="K1551" s="1568"/>
      <c r="L1551" s="1568"/>
      <c r="M1551" s="1566">
        <v>0</v>
      </c>
      <c r="N1551" s="1566"/>
      <c r="O1551" s="1566"/>
      <c r="P1551" s="1566">
        <v>0</v>
      </c>
      <c r="Q1551" s="1566"/>
      <c r="R1551" s="1566"/>
      <c r="S1551" s="1566">
        <v>21508.799999999999</v>
      </c>
      <c r="T1551" s="1566"/>
      <c r="U1551" s="1566"/>
      <c r="V1551" s="1566"/>
      <c r="W1551" s="1566">
        <v>21508.799999999999</v>
      </c>
      <c r="X1551" s="1566"/>
      <c r="Y1551" s="1566"/>
      <c r="Z1551" s="1566"/>
      <c r="AA1551" s="1566">
        <v>0</v>
      </c>
      <c r="AB1551" s="1566"/>
      <c r="AC1551" s="1566"/>
      <c r="AD1551" s="1566"/>
      <c r="AE1551" s="1566"/>
      <c r="AF1551" s="1566"/>
      <c r="AG1551" s="1566">
        <v>0</v>
      </c>
      <c r="AH1551" s="1566"/>
      <c r="AI1551" s="1566"/>
      <c r="AJ1551" s="1566"/>
      <c r="AK1551" s="1566"/>
    </row>
    <row r="1552" spans="2:37" ht="9.6" customHeight="1"/>
    <row r="1553" spans="1:38" ht="14.1" customHeight="1">
      <c r="AG1553" s="1565" t="s">
        <v>2807</v>
      </c>
      <c r="AH1553" s="1565"/>
      <c r="AI1553" s="1565"/>
      <c r="AJ1553" s="1565"/>
      <c r="AK1553" s="1565"/>
      <c r="AL1553" s="1565"/>
    </row>
    <row r="1554" spans="1:38" ht="7.15" customHeight="1">
      <c r="D1554" s="1578" t="s">
        <v>2992</v>
      </c>
      <c r="E1554" s="1578"/>
      <c r="F1554" s="1578"/>
      <c r="G1554" s="1578"/>
      <c r="H1554" s="1578"/>
      <c r="I1554" s="1578"/>
      <c r="J1554" s="1578"/>
      <c r="K1554" s="1578"/>
      <c r="L1554" s="1578"/>
      <c r="M1554" s="1578"/>
      <c r="N1554" s="1578"/>
      <c r="O1554" s="1578"/>
      <c r="P1554" s="1578"/>
      <c r="Q1554" s="1578"/>
      <c r="R1554" s="1578"/>
      <c r="S1554" s="1578"/>
      <c r="T1554" s="1578"/>
      <c r="U1554" s="1578"/>
      <c r="V1554" s="1578"/>
      <c r="W1554" s="1578"/>
      <c r="X1554" s="1578"/>
      <c r="Y1554" s="1578"/>
      <c r="Z1554" s="1578"/>
      <c r="AA1554" s="1578"/>
      <c r="AB1554" s="1578"/>
      <c r="AC1554" s="1578"/>
      <c r="AD1554" s="1578"/>
      <c r="AE1554" s="1578"/>
      <c r="AF1554" s="1578"/>
      <c r="AG1554" s="1578"/>
      <c r="AH1554" s="1578"/>
    </row>
    <row r="1555" spans="1:38" ht="9.6" customHeight="1">
      <c r="A1555" s="1579"/>
      <c r="B1555" s="1579"/>
      <c r="C1555" s="1579"/>
      <c r="D1555" s="1579"/>
      <c r="E1555" s="1579"/>
      <c r="F1555" s="1579"/>
      <c r="G1555" s="1579"/>
      <c r="H1555" s="1579"/>
      <c r="I1555" s="1579"/>
      <c r="J1555" s="1578"/>
      <c r="K1555" s="1578"/>
      <c r="L1555" s="1578"/>
      <c r="M1555" s="1578"/>
      <c r="N1555" s="1578"/>
      <c r="O1555" s="1578"/>
      <c r="P1555" s="1578"/>
      <c r="Q1555" s="1578"/>
      <c r="R1555" s="1578"/>
      <c r="S1555" s="1578"/>
      <c r="T1555" s="1578"/>
      <c r="U1555" s="1578"/>
      <c r="V1555" s="1578"/>
      <c r="W1555" s="1578"/>
      <c r="X1555" s="1578"/>
      <c r="Y1555" s="1578"/>
      <c r="Z1555" s="1578"/>
      <c r="AA1555" s="1578"/>
      <c r="AB1555" s="1578"/>
      <c r="AC1555" s="1578"/>
      <c r="AD1555" s="1578"/>
      <c r="AE1555" s="1578"/>
      <c r="AF1555" s="1578"/>
      <c r="AG1555" s="1578"/>
      <c r="AH1555" s="1578"/>
    </row>
    <row r="1556" spans="1:38" ht="13.35" customHeight="1">
      <c r="A1556" s="1579"/>
      <c r="B1556" s="1579"/>
      <c r="C1556" s="1579"/>
      <c r="D1556" s="1579"/>
      <c r="E1556" s="1579"/>
      <c r="F1556" s="1579"/>
      <c r="G1556" s="1579"/>
      <c r="H1556" s="1579"/>
      <c r="I1556" s="1579"/>
      <c r="J1556" s="1580" t="s">
        <v>79</v>
      </c>
      <c r="K1556" s="1580"/>
      <c r="L1556" s="1580"/>
      <c r="M1556" s="1580"/>
      <c r="N1556" s="1580"/>
      <c r="O1556" s="1580"/>
      <c r="P1556" s="1580"/>
      <c r="Q1556" s="1580"/>
      <c r="R1556" s="1580"/>
      <c r="S1556" s="1580"/>
      <c r="T1556" s="1580"/>
      <c r="U1556" s="1580"/>
      <c r="V1556" s="1580"/>
      <c r="W1556" s="1580"/>
      <c r="X1556" s="1580"/>
      <c r="Y1556" s="1580"/>
      <c r="Z1556" s="1580"/>
      <c r="AA1556" s="1580"/>
      <c r="AB1556" s="1580"/>
      <c r="AC1556" s="1580"/>
      <c r="AD1556" s="1580"/>
      <c r="AE1556" s="1580"/>
      <c r="AF1556" s="1580"/>
    </row>
    <row r="1557" spans="1:38" ht="5.25" customHeight="1">
      <c r="A1557" s="1579"/>
      <c r="B1557" s="1579"/>
      <c r="C1557" s="1579"/>
      <c r="D1557" s="1579"/>
      <c r="E1557" s="1579"/>
      <c r="F1557" s="1579"/>
      <c r="G1557" s="1579"/>
      <c r="H1557" s="1579"/>
      <c r="I1557" s="1579"/>
      <c r="J1557" s="1573" t="s">
        <v>6760</v>
      </c>
      <c r="K1557" s="1573"/>
      <c r="L1557" s="1573"/>
      <c r="M1557" s="1573"/>
      <c r="N1557" s="1573"/>
      <c r="O1557" s="1573"/>
      <c r="P1557" s="1573"/>
      <c r="Q1557" s="1573"/>
      <c r="R1557" s="1573"/>
      <c r="S1557" s="1573"/>
      <c r="T1557" s="1573"/>
      <c r="U1557" s="1573"/>
      <c r="V1557" s="1573"/>
      <c r="W1557" s="1573"/>
      <c r="X1557" s="1573"/>
      <c r="Y1557" s="1573"/>
      <c r="Z1557" s="1573"/>
      <c r="AA1557" s="1573"/>
      <c r="AB1557" s="1573"/>
      <c r="AC1557" s="1573"/>
      <c r="AD1557" s="1573"/>
      <c r="AE1557" s="1573"/>
    </row>
    <row r="1558" spans="1:38" ht="8.1" customHeight="1">
      <c r="C1558" s="1572" t="s">
        <v>1920</v>
      </c>
      <c r="D1558" s="1572"/>
      <c r="E1558" s="1572"/>
      <c r="F1558" s="1572"/>
      <c r="G1558" s="1572"/>
      <c r="H1558" s="1572"/>
      <c r="I1558" s="1572"/>
      <c r="J1558" s="1572"/>
      <c r="K1558" s="1573"/>
      <c r="L1558" s="1573"/>
      <c r="M1558" s="1573"/>
      <c r="N1558" s="1573"/>
      <c r="O1558" s="1573"/>
      <c r="P1558" s="1573"/>
      <c r="Q1558" s="1573"/>
      <c r="R1558" s="1573"/>
      <c r="S1558" s="1573"/>
      <c r="T1558" s="1573"/>
      <c r="U1558" s="1573"/>
      <c r="V1558" s="1573"/>
      <c r="W1558" s="1573"/>
      <c r="X1558" s="1573"/>
      <c r="Y1558" s="1574" t="s">
        <v>5920</v>
      </c>
      <c r="Z1558" s="1574"/>
      <c r="AA1558" s="1574"/>
      <c r="AB1558" s="1574"/>
      <c r="AC1558" s="1574"/>
      <c r="AD1558" s="1574"/>
      <c r="AE1558" s="1574"/>
      <c r="AF1558" s="1574"/>
      <c r="AG1558" s="1574"/>
      <c r="AH1558" s="1575" t="s">
        <v>6761</v>
      </c>
      <c r="AI1558" s="1575"/>
      <c r="AJ1558" s="1575"/>
      <c r="AK1558" s="1575"/>
      <c r="AL1558" s="1575"/>
    </row>
    <row r="1559" spans="1:38" ht="6" customHeight="1">
      <c r="C1559" s="1572"/>
      <c r="D1559" s="1572"/>
      <c r="E1559" s="1572"/>
      <c r="F1559" s="1572"/>
      <c r="G1559" s="1572"/>
      <c r="H1559" s="1572"/>
      <c r="I1559" s="1572"/>
      <c r="J1559" s="1572"/>
      <c r="K1559" s="1576" t="s">
        <v>1999</v>
      </c>
      <c r="L1559" s="1576"/>
      <c r="M1559" s="1576"/>
      <c r="N1559" s="1576"/>
      <c r="O1559" s="1576"/>
      <c r="P1559" s="1576"/>
      <c r="Q1559" s="1576"/>
      <c r="R1559" s="1576"/>
      <c r="S1559" s="1576"/>
      <c r="T1559" s="1576"/>
      <c r="U1559" s="1576"/>
      <c r="V1559" s="1576"/>
      <c r="W1559" s="1576"/>
      <c r="X1559" s="1576"/>
      <c r="Y1559" s="1574"/>
      <c r="Z1559" s="1574"/>
      <c r="AA1559" s="1574"/>
      <c r="AB1559" s="1574"/>
      <c r="AC1559" s="1574"/>
      <c r="AD1559" s="1574"/>
      <c r="AE1559" s="1574"/>
      <c r="AF1559" s="1574"/>
      <c r="AG1559" s="1574"/>
      <c r="AH1559" s="1575"/>
      <c r="AI1559" s="1575"/>
      <c r="AJ1559" s="1575"/>
      <c r="AK1559" s="1575"/>
      <c r="AL1559" s="1575"/>
    </row>
    <row r="1560" spans="1:38" ht="7.35" customHeight="1">
      <c r="C1560" s="1572" t="s">
        <v>1998</v>
      </c>
      <c r="D1560" s="1572"/>
      <c r="E1560" s="1572"/>
      <c r="F1560" s="1572"/>
      <c r="G1560" s="1577"/>
      <c r="H1560" s="1577"/>
      <c r="I1560" s="1577"/>
      <c r="J1560" s="1577"/>
      <c r="K1560" s="1577"/>
      <c r="L1560" s="1577"/>
      <c r="M1560" s="1577"/>
      <c r="N1560" s="1577"/>
      <c r="O1560" s="1577"/>
      <c r="P1560" s="1577"/>
      <c r="Q1560" s="1577"/>
      <c r="R1560" s="1577"/>
      <c r="S1560" s="1577"/>
      <c r="T1560" s="1577"/>
      <c r="U1560" s="1577"/>
      <c r="V1560" s="1577"/>
      <c r="W1560" s="1577"/>
      <c r="X1560" s="1577"/>
      <c r="Y1560" s="1577"/>
      <c r="Z1560" s="1577"/>
      <c r="AA1560" s="1577"/>
      <c r="AB1560" s="1577"/>
      <c r="AC1560" s="1577"/>
      <c r="AD1560" s="1577"/>
      <c r="AE1560" s="1577"/>
      <c r="AF1560" s="1574"/>
      <c r="AG1560" s="1574"/>
      <c r="AH1560" s="1574" t="s">
        <v>6762</v>
      </c>
      <c r="AI1560" s="1574"/>
    </row>
    <row r="1561" spans="1:38" ht="6.75" customHeight="1">
      <c r="G1561" s="1577"/>
      <c r="H1561" s="1577"/>
      <c r="I1561" s="1577"/>
      <c r="J1561" s="1577"/>
      <c r="K1561" s="1577"/>
      <c r="L1561" s="1577"/>
      <c r="M1561" s="1577"/>
      <c r="N1561" s="1577"/>
      <c r="O1561" s="1577"/>
      <c r="P1561" s="1577"/>
      <c r="Q1561" s="1577"/>
      <c r="R1561" s="1577"/>
      <c r="S1561" s="1577"/>
      <c r="T1561" s="1577"/>
      <c r="U1561" s="1577"/>
      <c r="V1561" s="1577"/>
      <c r="W1561" s="1577"/>
      <c r="X1561" s="1577"/>
      <c r="Y1561" s="1577"/>
      <c r="Z1561" s="1577"/>
      <c r="AA1561" s="1577"/>
      <c r="AB1561" s="1577"/>
      <c r="AC1561" s="1577"/>
      <c r="AD1561" s="1577"/>
      <c r="AE1561" s="1577"/>
      <c r="AF1561" s="1574"/>
      <c r="AG1561" s="1574"/>
      <c r="AH1561" s="1574"/>
      <c r="AI1561" s="1574"/>
    </row>
    <row r="1562" spans="1:38" ht="11.25" customHeight="1">
      <c r="O1562" s="1570" t="s">
        <v>1318</v>
      </c>
      <c r="P1562" s="1570"/>
      <c r="Q1562" s="1570"/>
      <c r="V1562" s="1570" t="s">
        <v>1319</v>
      </c>
      <c r="W1562" s="1570"/>
      <c r="X1562" s="1570"/>
      <c r="Y1562" s="1570"/>
      <c r="AD1562" s="1570" t="s">
        <v>1320</v>
      </c>
      <c r="AE1562" s="1570"/>
      <c r="AF1562" s="1570"/>
      <c r="AG1562" s="1570"/>
      <c r="AH1562" s="1570"/>
      <c r="AI1562" s="1570"/>
      <c r="AJ1562" s="1570"/>
    </row>
    <row r="1563" spans="1:38" ht="8.4499999999999993" customHeight="1">
      <c r="B1563" s="1571" t="s">
        <v>1321</v>
      </c>
      <c r="C1563" s="1571"/>
      <c r="D1563" s="1571"/>
      <c r="E1563" s="1571" t="s">
        <v>1322</v>
      </c>
      <c r="F1563" s="1571"/>
      <c r="G1563" s="1571"/>
      <c r="J1563" s="1571" t="s">
        <v>1323</v>
      </c>
      <c r="K1563" s="1571"/>
      <c r="L1563" s="1571"/>
      <c r="M1563" s="1571"/>
      <c r="N1563" s="1571"/>
      <c r="O1563" s="1402" t="s">
        <v>1324</v>
      </c>
      <c r="Q1563" s="1569" t="s">
        <v>1325</v>
      </c>
      <c r="R1563" s="1569"/>
      <c r="U1563" s="1569" t="s">
        <v>1324</v>
      </c>
      <c r="V1563" s="1569"/>
      <c r="X1563" s="1569" t="s">
        <v>1325</v>
      </c>
      <c r="Y1563" s="1569"/>
      <c r="Z1563" s="1569"/>
      <c r="AC1563" s="1569" t="s">
        <v>1324</v>
      </c>
      <c r="AD1563" s="1569"/>
      <c r="AE1563" s="1569"/>
      <c r="AF1563" s="1569"/>
      <c r="AH1563" s="1569" t="s">
        <v>1325</v>
      </c>
      <c r="AI1563" s="1569"/>
      <c r="AJ1563" s="1569"/>
      <c r="AK1563" s="1569"/>
    </row>
    <row r="1564" spans="1:38" ht="9.9499999999999993" customHeight="1">
      <c r="B1564" s="1568" t="s">
        <v>1326</v>
      </c>
      <c r="C1564" s="1568"/>
      <c r="D1564" s="1568"/>
      <c r="E1564" s="1568" t="s">
        <v>3339</v>
      </c>
      <c r="F1564" s="1568"/>
      <c r="G1564" s="1568"/>
      <c r="H1564" s="1568"/>
      <c r="J1564" s="1568" t="s">
        <v>2467</v>
      </c>
      <c r="K1564" s="1568"/>
      <c r="L1564" s="1568"/>
      <c r="M1564" s="1566">
        <v>0</v>
      </c>
      <c r="N1564" s="1566"/>
      <c r="O1564" s="1566"/>
      <c r="P1564" s="1566">
        <v>0</v>
      </c>
      <c r="Q1564" s="1566"/>
      <c r="R1564" s="1566"/>
      <c r="S1564" s="1566">
        <v>1637.94</v>
      </c>
      <c r="T1564" s="1566"/>
      <c r="U1564" s="1566"/>
      <c r="V1564" s="1566"/>
      <c r="W1564" s="1566">
        <v>1637.94</v>
      </c>
      <c r="X1564" s="1566"/>
      <c r="Y1564" s="1566"/>
      <c r="Z1564" s="1566"/>
      <c r="AA1564" s="1566">
        <v>0</v>
      </c>
      <c r="AB1564" s="1566"/>
      <c r="AC1564" s="1566"/>
      <c r="AD1564" s="1566"/>
      <c r="AE1564" s="1566"/>
      <c r="AF1564" s="1566"/>
      <c r="AG1564" s="1566">
        <v>0</v>
      </c>
      <c r="AH1564" s="1566"/>
      <c r="AI1564" s="1566"/>
      <c r="AJ1564" s="1566"/>
      <c r="AK1564" s="1566"/>
    </row>
    <row r="1565" spans="1:38" ht="9.4" customHeight="1">
      <c r="B1565" s="1568" t="s">
        <v>1326</v>
      </c>
      <c r="C1565" s="1568"/>
      <c r="D1565" s="1568"/>
      <c r="E1565" s="1568" t="s">
        <v>6274</v>
      </c>
      <c r="F1565" s="1568"/>
      <c r="G1565" s="1568"/>
      <c r="H1565" s="1568"/>
      <c r="J1565" s="1568" t="s">
        <v>2469</v>
      </c>
      <c r="K1565" s="1568"/>
      <c r="L1565" s="1568"/>
      <c r="M1565" s="1566">
        <v>0</v>
      </c>
      <c r="N1565" s="1566"/>
      <c r="O1565" s="1566"/>
      <c r="P1565" s="1566">
        <v>0</v>
      </c>
      <c r="Q1565" s="1566"/>
      <c r="R1565" s="1566"/>
      <c r="S1565" s="1566">
        <v>0</v>
      </c>
      <c r="T1565" s="1566"/>
      <c r="U1565" s="1566"/>
      <c r="V1565" s="1566"/>
      <c r="W1565" s="1566">
        <v>0</v>
      </c>
      <c r="X1565" s="1566"/>
      <c r="Y1565" s="1566"/>
      <c r="Z1565" s="1566"/>
      <c r="AA1565" s="1566">
        <v>0</v>
      </c>
      <c r="AB1565" s="1566"/>
      <c r="AC1565" s="1566"/>
      <c r="AD1565" s="1566"/>
      <c r="AE1565" s="1566"/>
      <c r="AF1565" s="1566"/>
      <c r="AG1565" s="1566">
        <v>0</v>
      </c>
      <c r="AH1565" s="1566"/>
      <c r="AI1565" s="1566"/>
      <c r="AJ1565" s="1566"/>
      <c r="AK1565" s="1566"/>
    </row>
    <row r="1566" spans="1:38" ht="9.4" customHeight="1">
      <c r="B1566" s="1568" t="s">
        <v>1326</v>
      </c>
      <c r="C1566" s="1568"/>
      <c r="D1566" s="1568"/>
      <c r="E1566" s="1568" t="s">
        <v>6275</v>
      </c>
      <c r="F1566" s="1568"/>
      <c r="G1566" s="1568"/>
      <c r="H1566" s="1568"/>
      <c r="J1566" s="1568" t="s">
        <v>2471</v>
      </c>
      <c r="K1566" s="1568"/>
      <c r="L1566" s="1568"/>
      <c r="M1566" s="1566">
        <v>0</v>
      </c>
      <c r="N1566" s="1566"/>
      <c r="O1566" s="1566"/>
      <c r="P1566" s="1566">
        <v>0</v>
      </c>
      <c r="Q1566" s="1566"/>
      <c r="R1566" s="1566"/>
      <c r="S1566" s="1566">
        <v>5211.1000000000004</v>
      </c>
      <c r="T1566" s="1566"/>
      <c r="U1566" s="1566"/>
      <c r="V1566" s="1566"/>
      <c r="W1566" s="1566">
        <v>5211.1000000000004</v>
      </c>
      <c r="X1566" s="1566"/>
      <c r="Y1566" s="1566"/>
      <c r="Z1566" s="1566"/>
      <c r="AA1566" s="1566">
        <v>0</v>
      </c>
      <c r="AB1566" s="1566"/>
      <c r="AC1566" s="1566"/>
      <c r="AD1566" s="1566"/>
      <c r="AE1566" s="1566"/>
      <c r="AF1566" s="1566"/>
      <c r="AG1566" s="1566">
        <v>0</v>
      </c>
      <c r="AH1566" s="1566"/>
      <c r="AI1566" s="1566"/>
      <c r="AJ1566" s="1566"/>
      <c r="AK1566" s="1566"/>
    </row>
    <row r="1567" spans="1:38" ht="9.4" customHeight="1">
      <c r="B1567" s="1568" t="s">
        <v>1326</v>
      </c>
      <c r="C1567" s="1568"/>
      <c r="D1567" s="1568"/>
      <c r="E1567" s="1568" t="s">
        <v>3340</v>
      </c>
      <c r="F1567" s="1568"/>
      <c r="G1567" s="1568"/>
      <c r="H1567" s="1568"/>
      <c r="J1567" s="1568" t="s">
        <v>2473</v>
      </c>
      <c r="K1567" s="1568"/>
      <c r="L1567" s="1568"/>
      <c r="M1567" s="1566">
        <v>0</v>
      </c>
      <c r="N1567" s="1566"/>
      <c r="O1567" s="1566"/>
      <c r="P1567" s="1566">
        <v>0</v>
      </c>
      <c r="Q1567" s="1566"/>
      <c r="R1567" s="1566"/>
      <c r="S1567" s="1566">
        <v>4514.6000000000004</v>
      </c>
      <c r="T1567" s="1566"/>
      <c r="U1567" s="1566"/>
      <c r="V1567" s="1566"/>
      <c r="W1567" s="1566">
        <v>4514.6000000000004</v>
      </c>
      <c r="X1567" s="1566"/>
      <c r="Y1567" s="1566"/>
      <c r="Z1567" s="1566"/>
      <c r="AA1567" s="1566">
        <v>0</v>
      </c>
      <c r="AB1567" s="1566"/>
      <c r="AC1567" s="1566"/>
      <c r="AD1567" s="1566"/>
      <c r="AE1567" s="1566"/>
      <c r="AF1567" s="1566"/>
      <c r="AG1567" s="1566">
        <v>0</v>
      </c>
      <c r="AH1567" s="1566"/>
      <c r="AI1567" s="1566"/>
      <c r="AJ1567" s="1566"/>
      <c r="AK1567" s="1566"/>
    </row>
    <row r="1568" spans="1:38" ht="9.4" customHeight="1">
      <c r="B1568" s="1568" t="s">
        <v>1326</v>
      </c>
      <c r="C1568" s="1568"/>
      <c r="D1568" s="1568"/>
      <c r="E1568" s="1568" t="s">
        <v>2715</v>
      </c>
      <c r="F1568" s="1568"/>
      <c r="G1568" s="1568"/>
      <c r="H1568" s="1568"/>
      <c r="J1568" s="1568" t="s">
        <v>2421</v>
      </c>
      <c r="K1568" s="1568"/>
      <c r="L1568" s="1568"/>
      <c r="M1568" s="1566">
        <v>0</v>
      </c>
      <c r="N1568" s="1566"/>
      <c r="O1568" s="1566"/>
      <c r="P1568" s="1566">
        <v>0</v>
      </c>
      <c r="Q1568" s="1566"/>
      <c r="R1568" s="1566"/>
      <c r="S1568" s="1566">
        <v>1926.52</v>
      </c>
      <c r="T1568" s="1566"/>
      <c r="U1568" s="1566"/>
      <c r="V1568" s="1566"/>
      <c r="W1568" s="1566">
        <v>1926.52</v>
      </c>
      <c r="X1568" s="1566"/>
      <c r="Y1568" s="1566"/>
      <c r="Z1568" s="1566"/>
      <c r="AA1568" s="1566">
        <v>0</v>
      </c>
      <c r="AB1568" s="1566"/>
      <c r="AC1568" s="1566"/>
      <c r="AD1568" s="1566"/>
      <c r="AE1568" s="1566"/>
      <c r="AF1568" s="1566"/>
      <c r="AG1568" s="1566">
        <v>0</v>
      </c>
      <c r="AH1568" s="1566"/>
      <c r="AI1568" s="1566"/>
      <c r="AJ1568" s="1566"/>
      <c r="AK1568" s="1566"/>
    </row>
    <row r="1569" spans="2:37" ht="9.4" customHeight="1">
      <c r="B1569" s="1568" t="s">
        <v>1326</v>
      </c>
      <c r="C1569" s="1568"/>
      <c r="D1569" s="1568"/>
      <c r="E1569" s="1568" t="s">
        <v>2716</v>
      </c>
      <c r="F1569" s="1568"/>
      <c r="G1569" s="1568"/>
      <c r="H1569" s="1568"/>
      <c r="J1569" s="1568" t="s">
        <v>2423</v>
      </c>
      <c r="K1569" s="1568"/>
      <c r="L1569" s="1568"/>
      <c r="M1569" s="1566">
        <v>0</v>
      </c>
      <c r="N1569" s="1566"/>
      <c r="O1569" s="1566"/>
      <c r="P1569" s="1566">
        <v>0</v>
      </c>
      <c r="Q1569" s="1566"/>
      <c r="R1569" s="1566"/>
      <c r="S1569" s="1566">
        <v>23993.73</v>
      </c>
      <c r="T1569" s="1566"/>
      <c r="U1569" s="1566"/>
      <c r="V1569" s="1566"/>
      <c r="W1569" s="1566">
        <v>23993.73</v>
      </c>
      <c r="X1569" s="1566"/>
      <c r="Y1569" s="1566"/>
      <c r="Z1569" s="1566"/>
      <c r="AA1569" s="1566">
        <v>0</v>
      </c>
      <c r="AB1569" s="1566"/>
      <c r="AC1569" s="1566"/>
      <c r="AD1569" s="1566"/>
      <c r="AE1569" s="1566"/>
      <c r="AF1569" s="1566"/>
      <c r="AG1569" s="1566">
        <v>0</v>
      </c>
      <c r="AH1569" s="1566"/>
      <c r="AI1569" s="1566"/>
      <c r="AJ1569" s="1566"/>
      <c r="AK1569" s="1566"/>
    </row>
    <row r="1570" spans="2:37" ht="9.4" customHeight="1">
      <c r="B1570" s="1568" t="s">
        <v>1326</v>
      </c>
      <c r="C1570" s="1568"/>
      <c r="D1570" s="1568"/>
      <c r="E1570" s="1568" t="s">
        <v>6276</v>
      </c>
      <c r="F1570" s="1568"/>
      <c r="G1570" s="1568"/>
      <c r="H1570" s="1568"/>
      <c r="J1570" s="1568" t="s">
        <v>2479</v>
      </c>
      <c r="K1570" s="1568"/>
      <c r="L1570" s="1568"/>
      <c r="M1570" s="1566">
        <v>0</v>
      </c>
      <c r="N1570" s="1566"/>
      <c r="O1570" s="1566"/>
      <c r="P1570" s="1566">
        <v>0</v>
      </c>
      <c r="Q1570" s="1566"/>
      <c r="R1570" s="1566"/>
      <c r="S1570" s="1566">
        <v>1407.75</v>
      </c>
      <c r="T1570" s="1566"/>
      <c r="U1570" s="1566"/>
      <c r="V1570" s="1566"/>
      <c r="W1570" s="1566">
        <v>1407.75</v>
      </c>
      <c r="X1570" s="1566"/>
      <c r="Y1570" s="1566"/>
      <c r="Z1570" s="1566"/>
      <c r="AA1570" s="1566">
        <v>0</v>
      </c>
      <c r="AB1570" s="1566"/>
      <c r="AC1570" s="1566"/>
      <c r="AD1570" s="1566"/>
      <c r="AE1570" s="1566"/>
      <c r="AF1570" s="1566"/>
      <c r="AG1570" s="1566">
        <v>0</v>
      </c>
      <c r="AH1570" s="1566"/>
      <c r="AI1570" s="1566"/>
      <c r="AJ1570" s="1566"/>
      <c r="AK1570" s="1566"/>
    </row>
    <row r="1571" spans="2:37" ht="9.4" customHeight="1">
      <c r="B1571" s="1568" t="s">
        <v>1326</v>
      </c>
      <c r="C1571" s="1568"/>
      <c r="D1571" s="1568"/>
      <c r="E1571" s="1568" t="s">
        <v>3341</v>
      </c>
      <c r="F1571" s="1568"/>
      <c r="G1571" s="1568"/>
      <c r="H1571" s="1568"/>
      <c r="J1571" s="1568" t="s">
        <v>2481</v>
      </c>
      <c r="K1571" s="1568"/>
      <c r="L1571" s="1568"/>
      <c r="M1571" s="1566">
        <v>0</v>
      </c>
      <c r="N1571" s="1566"/>
      <c r="O1571" s="1566"/>
      <c r="P1571" s="1566">
        <v>0</v>
      </c>
      <c r="Q1571" s="1566"/>
      <c r="R1571" s="1566"/>
      <c r="S1571" s="1566">
        <v>24776.53</v>
      </c>
      <c r="T1571" s="1566"/>
      <c r="U1571" s="1566"/>
      <c r="V1571" s="1566"/>
      <c r="W1571" s="1566">
        <v>24776.53</v>
      </c>
      <c r="X1571" s="1566"/>
      <c r="Y1571" s="1566"/>
      <c r="Z1571" s="1566"/>
      <c r="AA1571" s="1566">
        <v>0</v>
      </c>
      <c r="AB1571" s="1566"/>
      <c r="AC1571" s="1566"/>
      <c r="AD1571" s="1566"/>
      <c r="AE1571" s="1566"/>
      <c r="AF1571" s="1566"/>
      <c r="AG1571" s="1566">
        <v>0</v>
      </c>
      <c r="AH1571" s="1566"/>
      <c r="AI1571" s="1566"/>
      <c r="AJ1571" s="1566"/>
      <c r="AK1571" s="1566"/>
    </row>
    <row r="1572" spans="2:37" ht="9.4" customHeight="1">
      <c r="B1572" s="1568" t="s">
        <v>1326</v>
      </c>
      <c r="C1572" s="1568"/>
      <c r="D1572" s="1568"/>
      <c r="E1572" s="1568" t="s">
        <v>4084</v>
      </c>
      <c r="F1572" s="1568"/>
      <c r="G1572" s="1568"/>
      <c r="H1572" s="1568"/>
      <c r="J1572" s="1568" t="s">
        <v>2483</v>
      </c>
      <c r="K1572" s="1568"/>
      <c r="L1572" s="1568"/>
      <c r="M1572" s="1566">
        <v>0</v>
      </c>
      <c r="N1572" s="1566"/>
      <c r="O1572" s="1566"/>
      <c r="P1572" s="1566">
        <v>0</v>
      </c>
      <c r="Q1572" s="1566"/>
      <c r="R1572" s="1566"/>
      <c r="S1572" s="1566">
        <v>263.61</v>
      </c>
      <c r="T1572" s="1566"/>
      <c r="U1572" s="1566"/>
      <c r="V1572" s="1566"/>
      <c r="W1572" s="1566">
        <v>263.61</v>
      </c>
      <c r="X1572" s="1566"/>
      <c r="Y1572" s="1566"/>
      <c r="Z1572" s="1566"/>
      <c r="AA1572" s="1566">
        <v>0</v>
      </c>
      <c r="AB1572" s="1566"/>
      <c r="AC1572" s="1566"/>
      <c r="AD1572" s="1566"/>
      <c r="AE1572" s="1566"/>
      <c r="AF1572" s="1566"/>
      <c r="AG1572" s="1566">
        <v>0</v>
      </c>
      <c r="AH1572" s="1566"/>
      <c r="AI1572" s="1566"/>
      <c r="AJ1572" s="1566"/>
      <c r="AK1572" s="1566"/>
    </row>
    <row r="1573" spans="2:37" ht="9.4" customHeight="1">
      <c r="B1573" s="1568" t="s">
        <v>1326</v>
      </c>
      <c r="C1573" s="1568"/>
      <c r="D1573" s="1568"/>
      <c r="E1573" s="1568" t="s">
        <v>6277</v>
      </c>
      <c r="F1573" s="1568"/>
      <c r="G1573" s="1568"/>
      <c r="H1573" s="1568"/>
      <c r="J1573" s="1568" t="s">
        <v>2487</v>
      </c>
      <c r="K1573" s="1568"/>
      <c r="L1573" s="1568"/>
      <c r="M1573" s="1566">
        <v>0</v>
      </c>
      <c r="N1573" s="1566"/>
      <c r="O1573" s="1566"/>
      <c r="P1573" s="1566">
        <v>0</v>
      </c>
      <c r="Q1573" s="1566"/>
      <c r="R1573" s="1566"/>
      <c r="S1573" s="1566">
        <v>3000</v>
      </c>
      <c r="T1573" s="1566"/>
      <c r="U1573" s="1566"/>
      <c r="V1573" s="1566"/>
      <c r="W1573" s="1566">
        <v>3000</v>
      </c>
      <c r="X1573" s="1566"/>
      <c r="Y1573" s="1566"/>
      <c r="Z1573" s="1566"/>
      <c r="AA1573" s="1566">
        <v>0</v>
      </c>
      <c r="AB1573" s="1566"/>
      <c r="AC1573" s="1566"/>
      <c r="AD1573" s="1566"/>
      <c r="AE1573" s="1566"/>
      <c r="AF1573" s="1566"/>
      <c r="AG1573" s="1566">
        <v>0</v>
      </c>
      <c r="AH1573" s="1566"/>
      <c r="AI1573" s="1566"/>
      <c r="AJ1573" s="1566"/>
      <c r="AK1573" s="1566"/>
    </row>
    <row r="1574" spans="2:37" ht="9.4" customHeight="1">
      <c r="B1574" s="1568" t="s">
        <v>1326</v>
      </c>
      <c r="C1574" s="1568"/>
      <c r="D1574" s="1568"/>
      <c r="E1574" s="1568" t="s">
        <v>2717</v>
      </c>
      <c r="F1574" s="1568"/>
      <c r="G1574" s="1568"/>
      <c r="H1574" s="1568"/>
      <c r="J1574" s="1568" t="s">
        <v>2491</v>
      </c>
      <c r="K1574" s="1568"/>
      <c r="L1574" s="1568"/>
      <c r="M1574" s="1566">
        <v>0</v>
      </c>
      <c r="N1574" s="1566"/>
      <c r="O1574" s="1566"/>
      <c r="P1574" s="1566">
        <v>0</v>
      </c>
      <c r="Q1574" s="1566"/>
      <c r="R1574" s="1566"/>
      <c r="S1574" s="1566">
        <v>25956.639999999999</v>
      </c>
      <c r="T1574" s="1566"/>
      <c r="U1574" s="1566"/>
      <c r="V1574" s="1566"/>
      <c r="W1574" s="1566">
        <v>25956.639999999999</v>
      </c>
      <c r="X1574" s="1566"/>
      <c r="Y1574" s="1566"/>
      <c r="Z1574" s="1566"/>
      <c r="AA1574" s="1566">
        <v>0</v>
      </c>
      <c r="AB1574" s="1566"/>
      <c r="AC1574" s="1566"/>
      <c r="AD1574" s="1566"/>
      <c r="AE1574" s="1566"/>
      <c r="AF1574" s="1566"/>
      <c r="AG1574" s="1566">
        <v>0</v>
      </c>
      <c r="AH1574" s="1566"/>
      <c r="AI1574" s="1566"/>
      <c r="AJ1574" s="1566"/>
      <c r="AK1574" s="1566"/>
    </row>
    <row r="1575" spans="2:37" ht="9.4" customHeight="1">
      <c r="B1575" s="1568" t="s">
        <v>1326</v>
      </c>
      <c r="C1575" s="1568"/>
      <c r="D1575" s="1568"/>
      <c r="E1575" s="1568" t="s">
        <v>2718</v>
      </c>
      <c r="F1575" s="1568"/>
      <c r="G1575" s="1568"/>
      <c r="H1575" s="1568"/>
      <c r="J1575" s="1568" t="s">
        <v>2493</v>
      </c>
      <c r="K1575" s="1568"/>
      <c r="L1575" s="1568"/>
      <c r="M1575" s="1566">
        <v>0</v>
      </c>
      <c r="N1575" s="1566"/>
      <c r="O1575" s="1566"/>
      <c r="P1575" s="1566">
        <v>0</v>
      </c>
      <c r="Q1575" s="1566"/>
      <c r="R1575" s="1566"/>
      <c r="S1575" s="1566">
        <v>0</v>
      </c>
      <c r="T1575" s="1566"/>
      <c r="U1575" s="1566"/>
      <c r="V1575" s="1566"/>
      <c r="W1575" s="1566">
        <v>0</v>
      </c>
      <c r="X1575" s="1566"/>
      <c r="Y1575" s="1566"/>
      <c r="Z1575" s="1566"/>
      <c r="AA1575" s="1566">
        <v>0</v>
      </c>
      <c r="AB1575" s="1566"/>
      <c r="AC1575" s="1566"/>
      <c r="AD1575" s="1566"/>
      <c r="AE1575" s="1566"/>
      <c r="AF1575" s="1566"/>
      <c r="AG1575" s="1566">
        <v>0</v>
      </c>
      <c r="AH1575" s="1566"/>
      <c r="AI1575" s="1566"/>
      <c r="AJ1575" s="1566"/>
      <c r="AK1575" s="1566"/>
    </row>
    <row r="1576" spans="2:37" ht="9.4" customHeight="1">
      <c r="B1576" s="1568" t="s">
        <v>1326</v>
      </c>
      <c r="C1576" s="1568"/>
      <c r="D1576" s="1568"/>
      <c r="E1576" s="1568" t="s">
        <v>2719</v>
      </c>
      <c r="F1576" s="1568"/>
      <c r="G1576" s="1568"/>
      <c r="H1576" s="1568"/>
      <c r="J1576" s="1568" t="s">
        <v>2495</v>
      </c>
      <c r="K1576" s="1568"/>
      <c r="L1576" s="1568"/>
      <c r="M1576" s="1566">
        <v>0</v>
      </c>
      <c r="N1576" s="1566"/>
      <c r="O1576" s="1566"/>
      <c r="P1576" s="1566">
        <v>0</v>
      </c>
      <c r="Q1576" s="1566"/>
      <c r="R1576" s="1566"/>
      <c r="S1576" s="1566">
        <v>5367.4</v>
      </c>
      <c r="T1576" s="1566"/>
      <c r="U1576" s="1566"/>
      <c r="V1576" s="1566"/>
      <c r="W1576" s="1566">
        <v>5367.4</v>
      </c>
      <c r="X1576" s="1566"/>
      <c r="Y1576" s="1566"/>
      <c r="Z1576" s="1566"/>
      <c r="AA1576" s="1566">
        <v>0</v>
      </c>
      <c r="AB1576" s="1566"/>
      <c r="AC1576" s="1566"/>
      <c r="AD1576" s="1566"/>
      <c r="AE1576" s="1566"/>
      <c r="AF1576" s="1566"/>
      <c r="AG1576" s="1566">
        <v>0</v>
      </c>
      <c r="AH1576" s="1566"/>
      <c r="AI1576" s="1566"/>
      <c r="AJ1576" s="1566"/>
      <c r="AK1576" s="1566"/>
    </row>
    <row r="1577" spans="2:37" ht="9.4" customHeight="1">
      <c r="B1577" s="1568" t="s">
        <v>1326</v>
      </c>
      <c r="C1577" s="1568"/>
      <c r="D1577" s="1568"/>
      <c r="E1577" s="1568" t="s">
        <v>2720</v>
      </c>
      <c r="F1577" s="1568"/>
      <c r="G1577" s="1568"/>
      <c r="H1577" s="1568"/>
      <c r="J1577" s="1568" t="s">
        <v>2426</v>
      </c>
      <c r="K1577" s="1568"/>
      <c r="L1577" s="1568"/>
      <c r="M1577" s="1566">
        <v>0</v>
      </c>
      <c r="N1577" s="1566"/>
      <c r="O1577" s="1566"/>
      <c r="P1577" s="1566">
        <v>0</v>
      </c>
      <c r="Q1577" s="1566"/>
      <c r="R1577" s="1566"/>
      <c r="S1577" s="1566">
        <v>10236.879999999999</v>
      </c>
      <c r="T1577" s="1566"/>
      <c r="U1577" s="1566"/>
      <c r="V1577" s="1566"/>
      <c r="W1577" s="1566">
        <v>10236.879999999999</v>
      </c>
      <c r="X1577" s="1566"/>
      <c r="Y1577" s="1566"/>
      <c r="Z1577" s="1566"/>
      <c r="AA1577" s="1566">
        <v>0</v>
      </c>
      <c r="AB1577" s="1566"/>
      <c r="AC1577" s="1566"/>
      <c r="AD1577" s="1566"/>
      <c r="AE1577" s="1566"/>
      <c r="AF1577" s="1566"/>
      <c r="AG1577" s="1566">
        <v>0</v>
      </c>
      <c r="AH1577" s="1566"/>
      <c r="AI1577" s="1566"/>
      <c r="AJ1577" s="1566"/>
      <c r="AK1577" s="1566"/>
    </row>
    <row r="1578" spans="2:37" ht="9.4" customHeight="1">
      <c r="B1578" s="1568" t="s">
        <v>1326</v>
      </c>
      <c r="C1578" s="1568"/>
      <c r="D1578" s="1568"/>
      <c r="E1578" s="1568" t="s">
        <v>6795</v>
      </c>
      <c r="F1578" s="1568"/>
      <c r="G1578" s="1568"/>
      <c r="H1578" s="1568"/>
      <c r="J1578" s="1568" t="s">
        <v>2498</v>
      </c>
      <c r="K1578" s="1568"/>
      <c r="L1578" s="1568"/>
      <c r="M1578" s="1566">
        <v>0</v>
      </c>
      <c r="N1578" s="1566"/>
      <c r="O1578" s="1566"/>
      <c r="P1578" s="1566">
        <v>0</v>
      </c>
      <c r="Q1578" s="1566"/>
      <c r="R1578" s="1566"/>
      <c r="S1578" s="1566">
        <v>559.16</v>
      </c>
      <c r="T1578" s="1566"/>
      <c r="U1578" s="1566"/>
      <c r="V1578" s="1566"/>
      <c r="W1578" s="1566">
        <v>559.16</v>
      </c>
      <c r="X1578" s="1566"/>
      <c r="Y1578" s="1566"/>
      <c r="Z1578" s="1566"/>
      <c r="AA1578" s="1566">
        <v>0</v>
      </c>
      <c r="AB1578" s="1566"/>
      <c r="AC1578" s="1566"/>
      <c r="AD1578" s="1566"/>
      <c r="AE1578" s="1566"/>
      <c r="AF1578" s="1566"/>
      <c r="AG1578" s="1566">
        <v>0</v>
      </c>
      <c r="AH1578" s="1566"/>
      <c r="AI1578" s="1566"/>
      <c r="AJ1578" s="1566"/>
      <c r="AK1578" s="1566"/>
    </row>
    <row r="1579" spans="2:37" ht="9.4" customHeight="1">
      <c r="B1579" s="1568" t="s">
        <v>1326</v>
      </c>
      <c r="C1579" s="1568"/>
      <c r="D1579" s="1568"/>
      <c r="E1579" s="1568" t="s">
        <v>3342</v>
      </c>
      <c r="F1579" s="1568"/>
      <c r="G1579" s="1568"/>
      <c r="H1579" s="1568"/>
      <c r="J1579" s="1568" t="s">
        <v>2428</v>
      </c>
      <c r="K1579" s="1568"/>
      <c r="L1579" s="1568"/>
      <c r="M1579" s="1566">
        <v>0</v>
      </c>
      <c r="N1579" s="1566"/>
      <c r="O1579" s="1566"/>
      <c r="P1579" s="1566">
        <v>0</v>
      </c>
      <c r="Q1579" s="1566"/>
      <c r="R1579" s="1566"/>
      <c r="S1579" s="1566">
        <v>580</v>
      </c>
      <c r="T1579" s="1566"/>
      <c r="U1579" s="1566"/>
      <c r="V1579" s="1566"/>
      <c r="W1579" s="1566">
        <v>580</v>
      </c>
      <c r="X1579" s="1566"/>
      <c r="Y1579" s="1566"/>
      <c r="Z1579" s="1566"/>
      <c r="AA1579" s="1566">
        <v>0</v>
      </c>
      <c r="AB1579" s="1566"/>
      <c r="AC1579" s="1566"/>
      <c r="AD1579" s="1566"/>
      <c r="AE1579" s="1566"/>
      <c r="AF1579" s="1566"/>
      <c r="AG1579" s="1566">
        <v>0</v>
      </c>
      <c r="AH1579" s="1566"/>
      <c r="AI1579" s="1566"/>
      <c r="AJ1579" s="1566"/>
      <c r="AK1579" s="1566"/>
    </row>
    <row r="1580" spans="2:37" ht="9.1999999999999993" customHeight="1">
      <c r="J1580" s="1568"/>
      <c r="K1580" s="1568"/>
      <c r="L1580" s="1568"/>
    </row>
    <row r="1581" spans="2:37" ht="8.4499999999999993" customHeight="1">
      <c r="B1581" s="1568" t="s">
        <v>1326</v>
      </c>
      <c r="C1581" s="1568"/>
      <c r="D1581" s="1568"/>
      <c r="E1581" s="1568" t="s">
        <v>6278</v>
      </c>
      <c r="F1581" s="1568"/>
      <c r="G1581" s="1568"/>
      <c r="H1581" s="1568"/>
      <c r="J1581" s="1568" t="s">
        <v>2503</v>
      </c>
      <c r="K1581" s="1568"/>
      <c r="L1581" s="1568"/>
      <c r="M1581" s="1566">
        <v>0</v>
      </c>
      <c r="N1581" s="1566"/>
      <c r="O1581" s="1566"/>
      <c r="P1581" s="1566">
        <v>0</v>
      </c>
      <c r="Q1581" s="1566"/>
      <c r="R1581" s="1566"/>
      <c r="S1581" s="1566">
        <v>0</v>
      </c>
      <c r="T1581" s="1566"/>
      <c r="U1581" s="1566"/>
      <c r="V1581" s="1566"/>
      <c r="W1581" s="1566">
        <v>0</v>
      </c>
      <c r="X1581" s="1566"/>
      <c r="Y1581" s="1566"/>
      <c r="Z1581" s="1566"/>
      <c r="AA1581" s="1566">
        <v>0</v>
      </c>
      <c r="AB1581" s="1566"/>
      <c r="AC1581" s="1566"/>
      <c r="AD1581" s="1566"/>
      <c r="AE1581" s="1566"/>
      <c r="AF1581" s="1566"/>
      <c r="AG1581" s="1566">
        <v>0</v>
      </c>
      <c r="AH1581" s="1566"/>
      <c r="AI1581" s="1566"/>
      <c r="AJ1581" s="1566"/>
      <c r="AK1581" s="1566"/>
    </row>
    <row r="1582" spans="2:37" ht="9.4" customHeight="1">
      <c r="B1582" s="1568" t="s">
        <v>1326</v>
      </c>
      <c r="C1582" s="1568"/>
      <c r="D1582" s="1568"/>
      <c r="E1582" s="1568" t="s">
        <v>2721</v>
      </c>
      <c r="F1582" s="1568"/>
      <c r="G1582" s="1568"/>
      <c r="H1582" s="1568"/>
      <c r="J1582" s="1568" t="s">
        <v>2505</v>
      </c>
      <c r="K1582" s="1568"/>
      <c r="L1582" s="1568"/>
      <c r="M1582" s="1566">
        <v>0</v>
      </c>
      <c r="N1582" s="1566"/>
      <c r="O1582" s="1566"/>
      <c r="P1582" s="1566">
        <v>0</v>
      </c>
      <c r="Q1582" s="1566"/>
      <c r="R1582" s="1566"/>
      <c r="S1582" s="1566">
        <v>12752.6</v>
      </c>
      <c r="T1582" s="1566"/>
      <c r="U1582" s="1566"/>
      <c r="V1582" s="1566"/>
      <c r="W1582" s="1566">
        <v>12752.6</v>
      </c>
      <c r="X1582" s="1566"/>
      <c r="Y1582" s="1566"/>
      <c r="Z1582" s="1566"/>
      <c r="AA1582" s="1566">
        <v>0</v>
      </c>
      <c r="AB1582" s="1566"/>
      <c r="AC1582" s="1566"/>
      <c r="AD1582" s="1566"/>
      <c r="AE1582" s="1566"/>
      <c r="AF1582" s="1566"/>
      <c r="AG1582" s="1566">
        <v>0</v>
      </c>
      <c r="AH1582" s="1566"/>
      <c r="AI1582" s="1566"/>
      <c r="AJ1582" s="1566"/>
      <c r="AK1582" s="1566"/>
    </row>
    <row r="1583" spans="2:37" ht="9.1999999999999993" customHeight="1">
      <c r="J1583" s="1568"/>
      <c r="K1583" s="1568"/>
      <c r="L1583" s="1568"/>
    </row>
    <row r="1584" spans="2:37" ht="8.4499999999999993" customHeight="1">
      <c r="B1584" s="1568" t="s">
        <v>1326</v>
      </c>
      <c r="C1584" s="1568"/>
      <c r="D1584" s="1568"/>
      <c r="E1584" s="1568" t="s">
        <v>2722</v>
      </c>
      <c r="F1584" s="1568"/>
      <c r="G1584" s="1568"/>
      <c r="H1584" s="1568"/>
      <c r="J1584" s="1568" t="s">
        <v>2507</v>
      </c>
      <c r="K1584" s="1568"/>
      <c r="L1584" s="1568"/>
      <c r="M1584" s="1566">
        <v>0</v>
      </c>
      <c r="N1584" s="1566"/>
      <c r="O1584" s="1566"/>
      <c r="P1584" s="1566">
        <v>0</v>
      </c>
      <c r="Q1584" s="1566"/>
      <c r="R1584" s="1566"/>
      <c r="S1584" s="1566">
        <v>46510.21</v>
      </c>
      <c r="T1584" s="1566"/>
      <c r="U1584" s="1566"/>
      <c r="V1584" s="1566"/>
      <c r="W1584" s="1566">
        <v>46510.21</v>
      </c>
      <c r="X1584" s="1566"/>
      <c r="Y1584" s="1566"/>
      <c r="Z1584" s="1566"/>
      <c r="AA1584" s="1566">
        <v>0</v>
      </c>
      <c r="AB1584" s="1566"/>
      <c r="AC1584" s="1566"/>
      <c r="AD1584" s="1566"/>
      <c r="AE1584" s="1566"/>
      <c r="AF1584" s="1566"/>
      <c r="AG1584" s="1566">
        <v>0</v>
      </c>
      <c r="AH1584" s="1566"/>
      <c r="AI1584" s="1566"/>
      <c r="AJ1584" s="1566"/>
      <c r="AK1584" s="1566"/>
    </row>
    <row r="1585" spans="2:37" ht="9.4" customHeight="1">
      <c r="B1585" s="1568" t="s">
        <v>1326</v>
      </c>
      <c r="C1585" s="1568"/>
      <c r="D1585" s="1568"/>
      <c r="E1585" s="1568" t="s">
        <v>2723</v>
      </c>
      <c r="F1585" s="1568"/>
      <c r="G1585" s="1568"/>
      <c r="H1585" s="1568"/>
      <c r="J1585" s="1568" t="s">
        <v>2514</v>
      </c>
      <c r="K1585" s="1568"/>
      <c r="L1585" s="1568"/>
      <c r="M1585" s="1566">
        <v>0</v>
      </c>
      <c r="N1585" s="1566"/>
      <c r="O1585" s="1566"/>
      <c r="P1585" s="1566">
        <v>0</v>
      </c>
      <c r="Q1585" s="1566"/>
      <c r="R1585" s="1566"/>
      <c r="S1585" s="1566">
        <v>6650.72</v>
      </c>
      <c r="T1585" s="1566"/>
      <c r="U1585" s="1566"/>
      <c r="V1585" s="1566"/>
      <c r="W1585" s="1566">
        <v>6650.72</v>
      </c>
      <c r="X1585" s="1566"/>
      <c r="Y1585" s="1566"/>
      <c r="Z1585" s="1566"/>
      <c r="AA1585" s="1566">
        <v>0</v>
      </c>
      <c r="AB1585" s="1566"/>
      <c r="AC1585" s="1566"/>
      <c r="AD1585" s="1566"/>
      <c r="AE1585" s="1566"/>
      <c r="AF1585" s="1566"/>
      <c r="AG1585" s="1566">
        <v>0</v>
      </c>
      <c r="AH1585" s="1566"/>
      <c r="AI1585" s="1566"/>
      <c r="AJ1585" s="1566"/>
      <c r="AK1585" s="1566"/>
    </row>
    <row r="1586" spans="2:37" ht="9.4" customHeight="1">
      <c r="B1586" s="1568" t="s">
        <v>1326</v>
      </c>
      <c r="C1586" s="1568"/>
      <c r="D1586" s="1568"/>
      <c r="E1586" s="1568" t="s">
        <v>2724</v>
      </c>
      <c r="F1586" s="1568"/>
      <c r="G1586" s="1568"/>
      <c r="H1586" s="1568"/>
      <c r="J1586" s="1568" t="s">
        <v>2516</v>
      </c>
      <c r="K1586" s="1568"/>
      <c r="L1586" s="1568"/>
      <c r="M1586" s="1566">
        <v>0</v>
      </c>
      <c r="N1586" s="1566"/>
      <c r="O1586" s="1566"/>
      <c r="P1586" s="1566">
        <v>0</v>
      </c>
      <c r="Q1586" s="1566"/>
      <c r="R1586" s="1566"/>
      <c r="S1586" s="1566">
        <v>19956.84</v>
      </c>
      <c r="T1586" s="1566"/>
      <c r="U1586" s="1566"/>
      <c r="V1586" s="1566"/>
      <c r="W1586" s="1566">
        <v>19956.84</v>
      </c>
      <c r="X1586" s="1566"/>
      <c r="Y1586" s="1566"/>
      <c r="Z1586" s="1566"/>
      <c r="AA1586" s="1566">
        <v>0</v>
      </c>
      <c r="AB1586" s="1566"/>
      <c r="AC1586" s="1566"/>
      <c r="AD1586" s="1566"/>
      <c r="AE1586" s="1566"/>
      <c r="AF1586" s="1566"/>
      <c r="AG1586" s="1566">
        <v>0</v>
      </c>
      <c r="AH1586" s="1566"/>
      <c r="AI1586" s="1566"/>
      <c r="AJ1586" s="1566"/>
      <c r="AK1586" s="1566"/>
    </row>
    <row r="1587" spans="2:37" ht="9.4" customHeight="1">
      <c r="B1587" s="1568" t="s">
        <v>1326</v>
      </c>
      <c r="C1587" s="1568"/>
      <c r="D1587" s="1568"/>
      <c r="E1587" s="1568" t="s">
        <v>2973</v>
      </c>
      <c r="F1587" s="1568"/>
      <c r="G1587" s="1568"/>
      <c r="H1587" s="1568"/>
      <c r="J1587" s="1568" t="s">
        <v>2518</v>
      </c>
      <c r="K1587" s="1568"/>
      <c r="L1587" s="1568"/>
      <c r="M1587" s="1566">
        <v>0</v>
      </c>
      <c r="N1587" s="1566"/>
      <c r="O1587" s="1566"/>
      <c r="P1587" s="1566">
        <v>0</v>
      </c>
      <c r="Q1587" s="1566"/>
      <c r="R1587" s="1566"/>
      <c r="S1587" s="1566">
        <v>7491.12</v>
      </c>
      <c r="T1587" s="1566"/>
      <c r="U1587" s="1566"/>
      <c r="V1587" s="1566"/>
      <c r="W1587" s="1566">
        <v>7491.12</v>
      </c>
      <c r="X1587" s="1566"/>
      <c r="Y1587" s="1566"/>
      <c r="Z1587" s="1566"/>
      <c r="AA1587" s="1566">
        <v>0</v>
      </c>
      <c r="AB1587" s="1566"/>
      <c r="AC1587" s="1566"/>
      <c r="AD1587" s="1566"/>
      <c r="AE1587" s="1566"/>
      <c r="AF1587" s="1566"/>
      <c r="AG1587" s="1566">
        <v>0</v>
      </c>
      <c r="AH1587" s="1566"/>
      <c r="AI1587" s="1566"/>
      <c r="AJ1587" s="1566"/>
      <c r="AK1587" s="1566"/>
    </row>
    <row r="1588" spans="2:37" ht="9.4" customHeight="1">
      <c r="B1588" s="1568" t="s">
        <v>1326</v>
      </c>
      <c r="C1588" s="1568"/>
      <c r="D1588" s="1568"/>
      <c r="E1588" s="1568" t="s">
        <v>2725</v>
      </c>
      <c r="F1588" s="1568"/>
      <c r="G1588" s="1568"/>
      <c r="H1588" s="1568"/>
      <c r="J1588" s="1568" t="s">
        <v>2392</v>
      </c>
      <c r="K1588" s="1568"/>
      <c r="L1588" s="1568"/>
      <c r="M1588" s="1566">
        <v>0</v>
      </c>
      <c r="N1588" s="1566"/>
      <c r="O1588" s="1566"/>
      <c r="P1588" s="1566">
        <v>0</v>
      </c>
      <c r="Q1588" s="1566"/>
      <c r="R1588" s="1566"/>
      <c r="S1588" s="1566">
        <v>207421.8</v>
      </c>
      <c r="T1588" s="1566"/>
      <c r="U1588" s="1566"/>
      <c r="V1588" s="1566"/>
      <c r="W1588" s="1566">
        <v>207421.8</v>
      </c>
      <c r="X1588" s="1566"/>
      <c r="Y1588" s="1566"/>
      <c r="Z1588" s="1566"/>
      <c r="AA1588" s="1566">
        <v>0</v>
      </c>
      <c r="AB1588" s="1566"/>
      <c r="AC1588" s="1566"/>
      <c r="AD1588" s="1566"/>
      <c r="AE1588" s="1566"/>
      <c r="AF1588" s="1566"/>
      <c r="AG1588" s="1566">
        <v>0</v>
      </c>
      <c r="AH1588" s="1566"/>
      <c r="AI1588" s="1566"/>
      <c r="AJ1588" s="1566"/>
      <c r="AK1588" s="1566"/>
    </row>
    <row r="1589" spans="2:37" ht="9.4" customHeight="1">
      <c r="B1589" s="1568" t="s">
        <v>1326</v>
      </c>
      <c r="C1589" s="1568"/>
      <c r="D1589" s="1568"/>
      <c r="E1589" s="1568" t="s">
        <v>2726</v>
      </c>
      <c r="F1589" s="1568"/>
      <c r="G1589" s="1568"/>
      <c r="H1589" s="1568"/>
      <c r="J1589" s="1568" t="s">
        <v>2401</v>
      </c>
      <c r="K1589" s="1568"/>
      <c r="L1589" s="1568"/>
      <c r="M1589" s="1566">
        <v>0</v>
      </c>
      <c r="N1589" s="1566"/>
      <c r="O1589" s="1566"/>
      <c r="P1589" s="1566">
        <v>0</v>
      </c>
      <c r="Q1589" s="1566"/>
      <c r="R1589" s="1566"/>
      <c r="S1589" s="1566">
        <v>35261.760000000002</v>
      </c>
      <c r="T1589" s="1566"/>
      <c r="U1589" s="1566"/>
      <c r="V1589" s="1566"/>
      <c r="W1589" s="1566">
        <v>35261.760000000002</v>
      </c>
      <c r="X1589" s="1566"/>
      <c r="Y1589" s="1566"/>
      <c r="Z1589" s="1566"/>
      <c r="AA1589" s="1566">
        <v>0</v>
      </c>
      <c r="AB1589" s="1566"/>
      <c r="AC1589" s="1566"/>
      <c r="AD1589" s="1566"/>
      <c r="AE1589" s="1566"/>
      <c r="AF1589" s="1566"/>
      <c r="AG1589" s="1566">
        <v>0</v>
      </c>
      <c r="AH1589" s="1566"/>
      <c r="AI1589" s="1566"/>
      <c r="AJ1589" s="1566"/>
      <c r="AK1589" s="1566"/>
    </row>
    <row r="1590" spans="2:37" ht="9.4" customHeight="1">
      <c r="B1590" s="1568" t="s">
        <v>1326</v>
      </c>
      <c r="C1590" s="1568"/>
      <c r="D1590" s="1568"/>
      <c r="E1590" s="1568" t="s">
        <v>2727</v>
      </c>
      <c r="F1590" s="1568"/>
      <c r="G1590" s="1568"/>
      <c r="H1590" s="1568"/>
      <c r="J1590" s="1568" t="s">
        <v>2403</v>
      </c>
      <c r="K1590" s="1568"/>
      <c r="L1590" s="1568"/>
      <c r="M1590" s="1566">
        <v>0</v>
      </c>
      <c r="N1590" s="1566"/>
      <c r="O1590" s="1566"/>
      <c r="P1590" s="1566">
        <v>0</v>
      </c>
      <c r="Q1590" s="1566"/>
      <c r="R1590" s="1566"/>
      <c r="S1590" s="1566">
        <v>451.21</v>
      </c>
      <c r="T1590" s="1566"/>
      <c r="U1590" s="1566"/>
      <c r="V1590" s="1566"/>
      <c r="W1590" s="1566">
        <v>451.21</v>
      </c>
      <c r="X1590" s="1566"/>
      <c r="Y1590" s="1566"/>
      <c r="Z1590" s="1566"/>
      <c r="AA1590" s="1566">
        <v>0</v>
      </c>
      <c r="AB1590" s="1566"/>
      <c r="AC1590" s="1566"/>
      <c r="AD1590" s="1566"/>
      <c r="AE1590" s="1566"/>
      <c r="AF1590" s="1566"/>
      <c r="AG1590" s="1566">
        <v>0</v>
      </c>
      <c r="AH1590" s="1566"/>
      <c r="AI1590" s="1566"/>
      <c r="AJ1590" s="1566"/>
      <c r="AK1590" s="1566"/>
    </row>
    <row r="1591" spans="2:37" ht="9.4" customHeight="1">
      <c r="B1591" s="1568" t="s">
        <v>1326</v>
      </c>
      <c r="C1591" s="1568"/>
      <c r="D1591" s="1568"/>
      <c r="E1591" s="1568" t="s">
        <v>2728</v>
      </c>
      <c r="F1591" s="1568"/>
      <c r="G1591" s="1568"/>
      <c r="H1591" s="1568"/>
      <c r="J1591" s="1568" t="s">
        <v>2405</v>
      </c>
      <c r="K1591" s="1568"/>
      <c r="L1591" s="1568"/>
      <c r="M1591" s="1566">
        <v>0</v>
      </c>
      <c r="N1591" s="1566"/>
      <c r="O1591" s="1566"/>
      <c r="P1591" s="1566">
        <v>0</v>
      </c>
      <c r="Q1591" s="1566"/>
      <c r="R1591" s="1566"/>
      <c r="S1591" s="1566">
        <v>13980.72</v>
      </c>
      <c r="T1591" s="1566"/>
      <c r="U1591" s="1566"/>
      <c r="V1591" s="1566"/>
      <c r="W1591" s="1566">
        <v>13980.72</v>
      </c>
      <c r="X1591" s="1566"/>
      <c r="Y1591" s="1566"/>
      <c r="Z1591" s="1566"/>
      <c r="AA1591" s="1566">
        <v>0</v>
      </c>
      <c r="AB1591" s="1566"/>
      <c r="AC1591" s="1566"/>
      <c r="AD1591" s="1566"/>
      <c r="AE1591" s="1566"/>
      <c r="AF1591" s="1566"/>
      <c r="AG1591" s="1566">
        <v>0</v>
      </c>
      <c r="AH1591" s="1566"/>
      <c r="AI1591" s="1566"/>
      <c r="AJ1591" s="1566"/>
      <c r="AK1591" s="1566"/>
    </row>
    <row r="1592" spans="2:37" ht="9.4" customHeight="1">
      <c r="B1592" s="1568" t="s">
        <v>1326</v>
      </c>
      <c r="C1592" s="1568"/>
      <c r="D1592" s="1568"/>
      <c r="E1592" s="1568" t="s">
        <v>2729</v>
      </c>
      <c r="F1592" s="1568"/>
      <c r="G1592" s="1568"/>
      <c r="H1592" s="1568"/>
      <c r="J1592" s="1568" t="s">
        <v>2407</v>
      </c>
      <c r="K1592" s="1568"/>
      <c r="L1592" s="1568"/>
      <c r="M1592" s="1566">
        <v>0</v>
      </c>
      <c r="N1592" s="1566"/>
      <c r="O1592" s="1566"/>
      <c r="P1592" s="1566">
        <v>0</v>
      </c>
      <c r="Q1592" s="1566"/>
      <c r="R1592" s="1566"/>
      <c r="S1592" s="1566">
        <v>10754.4</v>
      </c>
      <c r="T1592" s="1566"/>
      <c r="U1592" s="1566"/>
      <c r="V1592" s="1566"/>
      <c r="W1592" s="1566">
        <v>10754.4</v>
      </c>
      <c r="X1592" s="1566"/>
      <c r="Y1592" s="1566"/>
      <c r="Z1592" s="1566"/>
      <c r="AA1592" s="1566">
        <v>0</v>
      </c>
      <c r="AB1592" s="1566"/>
      <c r="AC1592" s="1566"/>
      <c r="AD1592" s="1566"/>
      <c r="AE1592" s="1566"/>
      <c r="AF1592" s="1566"/>
      <c r="AG1592" s="1566">
        <v>0</v>
      </c>
      <c r="AH1592" s="1566"/>
      <c r="AI1592" s="1566"/>
      <c r="AJ1592" s="1566"/>
      <c r="AK1592" s="1566"/>
    </row>
    <row r="1593" spans="2:37" ht="9.4" customHeight="1">
      <c r="B1593" s="1568" t="s">
        <v>1326</v>
      </c>
      <c r="C1593" s="1568"/>
      <c r="D1593" s="1568"/>
      <c r="E1593" s="1568" t="s">
        <v>2730</v>
      </c>
      <c r="F1593" s="1568"/>
      <c r="G1593" s="1568"/>
      <c r="H1593" s="1568"/>
      <c r="J1593" s="1568" t="s">
        <v>2424</v>
      </c>
      <c r="K1593" s="1568"/>
      <c r="L1593" s="1568"/>
      <c r="M1593" s="1566">
        <v>0</v>
      </c>
      <c r="N1593" s="1566"/>
      <c r="O1593" s="1566"/>
      <c r="P1593" s="1566">
        <v>0</v>
      </c>
      <c r="Q1593" s="1566"/>
      <c r="R1593" s="1566"/>
      <c r="S1593" s="1566">
        <v>133482.20000000001</v>
      </c>
      <c r="T1593" s="1566"/>
      <c r="U1593" s="1566"/>
      <c r="V1593" s="1566"/>
      <c r="W1593" s="1566">
        <v>133482.20000000001</v>
      </c>
      <c r="X1593" s="1566"/>
      <c r="Y1593" s="1566"/>
      <c r="Z1593" s="1566"/>
      <c r="AA1593" s="1566">
        <v>0</v>
      </c>
      <c r="AB1593" s="1566"/>
      <c r="AC1593" s="1566"/>
      <c r="AD1593" s="1566"/>
      <c r="AE1593" s="1566"/>
      <c r="AF1593" s="1566"/>
      <c r="AG1593" s="1566">
        <v>0</v>
      </c>
      <c r="AH1593" s="1566"/>
      <c r="AI1593" s="1566"/>
      <c r="AJ1593" s="1566"/>
      <c r="AK1593" s="1566"/>
    </row>
    <row r="1594" spans="2:37" ht="9.1999999999999993" customHeight="1">
      <c r="J1594" s="1568"/>
      <c r="K1594" s="1568"/>
      <c r="L1594" s="1568"/>
    </row>
    <row r="1595" spans="2:37" ht="8.4499999999999993" customHeight="1">
      <c r="B1595" s="1568" t="s">
        <v>1326</v>
      </c>
      <c r="C1595" s="1568"/>
      <c r="D1595" s="1568"/>
      <c r="E1595" s="1568" t="s">
        <v>2731</v>
      </c>
      <c r="F1595" s="1568"/>
      <c r="G1595" s="1568"/>
      <c r="H1595" s="1568"/>
      <c r="J1595" s="1568" t="s">
        <v>2529</v>
      </c>
      <c r="K1595" s="1568"/>
      <c r="L1595" s="1568"/>
      <c r="M1595" s="1566">
        <v>0</v>
      </c>
      <c r="N1595" s="1566"/>
      <c r="O1595" s="1566"/>
      <c r="P1595" s="1566">
        <v>0</v>
      </c>
      <c r="Q1595" s="1566"/>
      <c r="R1595" s="1566"/>
      <c r="S1595" s="1566">
        <v>13376.28</v>
      </c>
      <c r="T1595" s="1566"/>
      <c r="U1595" s="1566"/>
      <c r="V1595" s="1566"/>
      <c r="W1595" s="1566">
        <v>13376.28</v>
      </c>
      <c r="X1595" s="1566"/>
      <c r="Y1595" s="1566"/>
      <c r="Z1595" s="1566"/>
      <c r="AA1595" s="1566">
        <v>0</v>
      </c>
      <c r="AB1595" s="1566"/>
      <c r="AC1595" s="1566"/>
      <c r="AD1595" s="1566"/>
      <c r="AE1595" s="1566"/>
      <c r="AF1595" s="1566"/>
      <c r="AG1595" s="1566">
        <v>0</v>
      </c>
      <c r="AH1595" s="1566"/>
      <c r="AI1595" s="1566"/>
      <c r="AJ1595" s="1566"/>
      <c r="AK1595" s="1566"/>
    </row>
    <row r="1596" spans="2:37" ht="9.4" customHeight="1">
      <c r="B1596" s="1568" t="s">
        <v>1326</v>
      </c>
      <c r="C1596" s="1568"/>
      <c r="D1596" s="1568"/>
      <c r="E1596" s="1568" t="s">
        <v>3122</v>
      </c>
      <c r="F1596" s="1568"/>
      <c r="G1596" s="1568"/>
      <c r="H1596" s="1568"/>
      <c r="J1596" s="1568" t="s">
        <v>2533</v>
      </c>
      <c r="K1596" s="1568"/>
      <c r="L1596" s="1568"/>
      <c r="M1596" s="1566">
        <v>0</v>
      </c>
      <c r="N1596" s="1566"/>
      <c r="O1596" s="1566"/>
      <c r="P1596" s="1566">
        <v>0</v>
      </c>
      <c r="Q1596" s="1566"/>
      <c r="R1596" s="1566"/>
      <c r="S1596" s="1566">
        <v>125523.16</v>
      </c>
      <c r="T1596" s="1566"/>
      <c r="U1596" s="1566"/>
      <c r="V1596" s="1566"/>
      <c r="W1596" s="1566">
        <v>125523.16</v>
      </c>
      <c r="X1596" s="1566"/>
      <c r="Y1596" s="1566"/>
      <c r="Z1596" s="1566"/>
      <c r="AA1596" s="1566">
        <v>0</v>
      </c>
      <c r="AB1596" s="1566"/>
      <c r="AC1596" s="1566"/>
      <c r="AD1596" s="1566"/>
      <c r="AE1596" s="1566"/>
      <c r="AF1596" s="1566"/>
      <c r="AG1596" s="1566">
        <v>0</v>
      </c>
      <c r="AH1596" s="1566"/>
      <c r="AI1596" s="1566"/>
      <c r="AJ1596" s="1566"/>
      <c r="AK1596" s="1566"/>
    </row>
    <row r="1597" spans="2:37" ht="9.4" customHeight="1">
      <c r="B1597" s="1568" t="s">
        <v>1326</v>
      </c>
      <c r="C1597" s="1568"/>
      <c r="D1597" s="1568"/>
      <c r="E1597" s="1568" t="s">
        <v>6279</v>
      </c>
      <c r="F1597" s="1568"/>
      <c r="G1597" s="1568"/>
      <c r="H1597" s="1568"/>
      <c r="J1597" s="1568" t="s">
        <v>2535</v>
      </c>
      <c r="K1597" s="1568"/>
      <c r="L1597" s="1568"/>
      <c r="M1597" s="1566">
        <v>0</v>
      </c>
      <c r="N1597" s="1566"/>
      <c r="O1597" s="1566"/>
      <c r="P1597" s="1566">
        <v>0</v>
      </c>
      <c r="Q1597" s="1566"/>
      <c r="R1597" s="1566"/>
      <c r="S1597" s="1566">
        <v>0</v>
      </c>
      <c r="T1597" s="1566"/>
      <c r="U1597" s="1566"/>
      <c r="V1597" s="1566"/>
      <c r="W1597" s="1566">
        <v>0</v>
      </c>
      <c r="X1597" s="1566"/>
      <c r="Y1597" s="1566"/>
      <c r="Z1597" s="1566"/>
      <c r="AA1597" s="1566">
        <v>0</v>
      </c>
      <c r="AB1597" s="1566"/>
      <c r="AC1597" s="1566"/>
      <c r="AD1597" s="1566"/>
      <c r="AE1597" s="1566"/>
      <c r="AF1597" s="1566"/>
      <c r="AG1597" s="1566">
        <v>0</v>
      </c>
      <c r="AH1597" s="1566"/>
      <c r="AI1597" s="1566"/>
      <c r="AJ1597" s="1566"/>
      <c r="AK1597" s="1566"/>
    </row>
    <row r="1598" spans="2:37" ht="9.4" customHeight="1">
      <c r="B1598" s="1568" t="s">
        <v>1326</v>
      </c>
      <c r="C1598" s="1568"/>
      <c r="D1598" s="1568"/>
      <c r="E1598" s="1568" t="s">
        <v>1701</v>
      </c>
      <c r="F1598" s="1568"/>
      <c r="G1598" s="1568"/>
      <c r="H1598" s="1568"/>
      <c r="J1598" s="1568" t="s">
        <v>1702</v>
      </c>
      <c r="K1598" s="1568"/>
      <c r="L1598" s="1568"/>
      <c r="M1598" s="1566">
        <v>0</v>
      </c>
      <c r="N1598" s="1566"/>
      <c r="O1598" s="1566"/>
      <c r="P1598" s="1566">
        <v>0</v>
      </c>
      <c r="Q1598" s="1566"/>
      <c r="R1598" s="1566"/>
      <c r="S1598" s="1566">
        <v>3736719.24</v>
      </c>
      <c r="T1598" s="1566"/>
      <c r="U1598" s="1566"/>
      <c r="V1598" s="1566"/>
      <c r="W1598" s="1566">
        <v>3736719.24</v>
      </c>
      <c r="X1598" s="1566"/>
      <c r="Y1598" s="1566"/>
      <c r="Z1598" s="1566"/>
      <c r="AA1598" s="1566">
        <v>0</v>
      </c>
      <c r="AB1598" s="1566"/>
      <c r="AC1598" s="1566"/>
      <c r="AD1598" s="1566"/>
      <c r="AE1598" s="1566"/>
      <c r="AF1598" s="1566"/>
      <c r="AG1598" s="1566">
        <v>0</v>
      </c>
      <c r="AH1598" s="1566"/>
      <c r="AI1598" s="1566"/>
      <c r="AJ1598" s="1566"/>
      <c r="AK1598" s="1566"/>
    </row>
    <row r="1599" spans="2:37" ht="9.4" customHeight="1">
      <c r="B1599" s="1568" t="s">
        <v>1326</v>
      </c>
      <c r="C1599" s="1568"/>
      <c r="D1599" s="1568"/>
      <c r="E1599" s="1568" t="s">
        <v>2732</v>
      </c>
      <c r="F1599" s="1568"/>
      <c r="G1599" s="1568"/>
      <c r="H1599" s="1568"/>
      <c r="J1599" s="1568" t="s">
        <v>2392</v>
      </c>
      <c r="K1599" s="1568"/>
      <c r="L1599" s="1568"/>
      <c r="M1599" s="1566">
        <v>0</v>
      </c>
      <c r="N1599" s="1566"/>
      <c r="O1599" s="1566"/>
      <c r="P1599" s="1566">
        <v>0</v>
      </c>
      <c r="Q1599" s="1566"/>
      <c r="R1599" s="1566"/>
      <c r="S1599" s="1566">
        <v>42271.5</v>
      </c>
      <c r="T1599" s="1566"/>
      <c r="U1599" s="1566"/>
      <c r="V1599" s="1566"/>
      <c r="W1599" s="1566">
        <v>42271.5</v>
      </c>
      <c r="X1599" s="1566"/>
      <c r="Y1599" s="1566"/>
      <c r="Z1599" s="1566"/>
      <c r="AA1599" s="1566">
        <v>0</v>
      </c>
      <c r="AB1599" s="1566"/>
      <c r="AC1599" s="1566"/>
      <c r="AD1599" s="1566"/>
      <c r="AE1599" s="1566"/>
      <c r="AF1599" s="1566"/>
      <c r="AG1599" s="1566">
        <v>0</v>
      </c>
      <c r="AH1599" s="1566"/>
      <c r="AI1599" s="1566"/>
      <c r="AJ1599" s="1566"/>
      <c r="AK1599" s="1566"/>
    </row>
    <row r="1600" spans="2:37" ht="9.4" customHeight="1">
      <c r="B1600" s="1568" t="s">
        <v>1326</v>
      </c>
      <c r="C1600" s="1568"/>
      <c r="D1600" s="1568"/>
      <c r="E1600" s="1568" t="s">
        <v>2733</v>
      </c>
      <c r="F1600" s="1568"/>
      <c r="G1600" s="1568"/>
      <c r="H1600" s="1568"/>
      <c r="J1600" s="1568" t="s">
        <v>2401</v>
      </c>
      <c r="K1600" s="1568"/>
      <c r="L1600" s="1568"/>
      <c r="M1600" s="1566">
        <v>0</v>
      </c>
      <c r="N1600" s="1566"/>
      <c r="O1600" s="1566"/>
      <c r="P1600" s="1566">
        <v>0</v>
      </c>
      <c r="Q1600" s="1566"/>
      <c r="R1600" s="1566"/>
      <c r="S1600" s="1566">
        <v>7186.16</v>
      </c>
      <c r="T1600" s="1566"/>
      <c r="U1600" s="1566"/>
      <c r="V1600" s="1566"/>
      <c r="W1600" s="1566">
        <v>7186.16</v>
      </c>
      <c r="X1600" s="1566"/>
      <c r="Y1600" s="1566"/>
      <c r="Z1600" s="1566"/>
      <c r="AA1600" s="1566">
        <v>0</v>
      </c>
      <c r="AB1600" s="1566"/>
      <c r="AC1600" s="1566"/>
      <c r="AD1600" s="1566"/>
      <c r="AE1600" s="1566"/>
      <c r="AF1600" s="1566"/>
      <c r="AG1600" s="1566">
        <v>0</v>
      </c>
      <c r="AH1600" s="1566"/>
      <c r="AI1600" s="1566"/>
      <c r="AJ1600" s="1566"/>
      <c r="AK1600" s="1566"/>
    </row>
    <row r="1601" spans="1:38" ht="9.4" customHeight="1">
      <c r="B1601" s="1568" t="s">
        <v>1326</v>
      </c>
      <c r="C1601" s="1568"/>
      <c r="D1601" s="1568"/>
      <c r="E1601" s="1568" t="s">
        <v>2734</v>
      </c>
      <c r="F1601" s="1568"/>
      <c r="G1601" s="1568"/>
      <c r="H1601" s="1568"/>
      <c r="J1601" s="1568" t="s">
        <v>2403</v>
      </c>
      <c r="K1601" s="1568"/>
      <c r="L1601" s="1568"/>
      <c r="M1601" s="1566">
        <v>0</v>
      </c>
      <c r="N1601" s="1566"/>
      <c r="O1601" s="1566"/>
      <c r="P1601" s="1566">
        <v>0</v>
      </c>
      <c r="Q1601" s="1566"/>
      <c r="R1601" s="1566"/>
      <c r="S1601" s="1566">
        <v>205.09</v>
      </c>
      <c r="T1601" s="1566"/>
      <c r="U1601" s="1566"/>
      <c r="V1601" s="1566"/>
      <c r="W1601" s="1566">
        <v>205.09</v>
      </c>
      <c r="X1601" s="1566"/>
      <c r="Y1601" s="1566"/>
      <c r="Z1601" s="1566"/>
      <c r="AA1601" s="1566">
        <v>0</v>
      </c>
      <c r="AB1601" s="1566"/>
      <c r="AC1601" s="1566"/>
      <c r="AD1601" s="1566"/>
      <c r="AE1601" s="1566"/>
      <c r="AF1601" s="1566"/>
      <c r="AG1601" s="1566">
        <v>0</v>
      </c>
      <c r="AH1601" s="1566"/>
      <c r="AI1601" s="1566"/>
      <c r="AJ1601" s="1566"/>
      <c r="AK1601" s="1566"/>
    </row>
    <row r="1602" spans="1:38" ht="9.4" customHeight="1">
      <c r="B1602" s="1568" t="s">
        <v>1326</v>
      </c>
      <c r="C1602" s="1568"/>
      <c r="D1602" s="1568"/>
      <c r="E1602" s="1568" t="s">
        <v>2735</v>
      </c>
      <c r="F1602" s="1568"/>
      <c r="G1602" s="1568"/>
      <c r="H1602" s="1568"/>
      <c r="J1602" s="1568" t="s">
        <v>2405</v>
      </c>
      <c r="K1602" s="1568"/>
      <c r="L1602" s="1568"/>
      <c r="M1602" s="1566">
        <v>0</v>
      </c>
      <c r="N1602" s="1566"/>
      <c r="O1602" s="1566"/>
      <c r="P1602" s="1566">
        <v>0</v>
      </c>
      <c r="Q1602" s="1566"/>
      <c r="R1602" s="1566"/>
      <c r="S1602" s="1566">
        <v>3495.18</v>
      </c>
      <c r="T1602" s="1566"/>
      <c r="U1602" s="1566"/>
      <c r="V1602" s="1566"/>
      <c r="W1602" s="1566">
        <v>3495.18</v>
      </c>
      <c r="X1602" s="1566"/>
      <c r="Y1602" s="1566"/>
      <c r="Z1602" s="1566"/>
      <c r="AA1602" s="1566">
        <v>0</v>
      </c>
      <c r="AB1602" s="1566"/>
      <c r="AC1602" s="1566"/>
      <c r="AD1602" s="1566"/>
      <c r="AE1602" s="1566"/>
      <c r="AF1602" s="1566"/>
      <c r="AG1602" s="1566">
        <v>0</v>
      </c>
      <c r="AH1602" s="1566"/>
      <c r="AI1602" s="1566"/>
      <c r="AJ1602" s="1566"/>
      <c r="AK1602" s="1566"/>
    </row>
    <row r="1603" spans="1:38" ht="9.4" customHeight="1">
      <c r="B1603" s="1568" t="s">
        <v>1326</v>
      </c>
      <c r="C1603" s="1568"/>
      <c r="D1603" s="1568"/>
      <c r="E1603" s="1568" t="s">
        <v>2736</v>
      </c>
      <c r="F1603" s="1568"/>
      <c r="G1603" s="1568"/>
      <c r="H1603" s="1568"/>
      <c r="J1603" s="1568" t="s">
        <v>2407</v>
      </c>
      <c r="K1603" s="1568"/>
      <c r="L1603" s="1568"/>
      <c r="M1603" s="1566">
        <v>0</v>
      </c>
      <c r="N1603" s="1566"/>
      <c r="O1603" s="1566"/>
      <c r="P1603" s="1566">
        <v>0</v>
      </c>
      <c r="Q1603" s="1566"/>
      <c r="R1603" s="1566"/>
      <c r="S1603" s="1566">
        <v>2688.6</v>
      </c>
      <c r="T1603" s="1566"/>
      <c r="U1603" s="1566"/>
      <c r="V1603" s="1566"/>
      <c r="W1603" s="1566">
        <v>2688.6</v>
      </c>
      <c r="X1603" s="1566"/>
      <c r="Y1603" s="1566"/>
      <c r="Z1603" s="1566"/>
      <c r="AA1603" s="1566">
        <v>0</v>
      </c>
      <c r="AB1603" s="1566"/>
      <c r="AC1603" s="1566"/>
      <c r="AD1603" s="1566"/>
      <c r="AE1603" s="1566"/>
      <c r="AF1603" s="1566"/>
      <c r="AG1603" s="1566">
        <v>0</v>
      </c>
      <c r="AH1603" s="1566"/>
      <c r="AI1603" s="1566"/>
      <c r="AJ1603" s="1566"/>
      <c r="AK1603" s="1566"/>
    </row>
    <row r="1604" spans="1:38" ht="9.4" customHeight="1">
      <c r="B1604" s="1568" t="s">
        <v>1326</v>
      </c>
      <c r="C1604" s="1568"/>
      <c r="D1604" s="1568"/>
      <c r="E1604" s="1568" t="s">
        <v>3343</v>
      </c>
      <c r="F1604" s="1568"/>
      <c r="G1604" s="1568"/>
      <c r="H1604" s="1568"/>
      <c r="J1604" s="1568" t="s">
        <v>2409</v>
      </c>
      <c r="K1604" s="1568"/>
      <c r="L1604" s="1568"/>
      <c r="M1604" s="1566">
        <v>0</v>
      </c>
      <c r="N1604" s="1566"/>
      <c r="O1604" s="1566"/>
      <c r="P1604" s="1566">
        <v>0</v>
      </c>
      <c r="Q1604" s="1566"/>
      <c r="R1604" s="1566"/>
      <c r="S1604" s="1566">
        <v>309570.68</v>
      </c>
      <c r="T1604" s="1566"/>
      <c r="U1604" s="1566"/>
      <c r="V1604" s="1566"/>
      <c r="W1604" s="1566">
        <v>309570.68</v>
      </c>
      <c r="X1604" s="1566"/>
      <c r="Y1604" s="1566"/>
      <c r="Z1604" s="1566"/>
      <c r="AA1604" s="1566">
        <v>0</v>
      </c>
      <c r="AB1604" s="1566"/>
      <c r="AC1604" s="1566"/>
      <c r="AD1604" s="1566"/>
      <c r="AE1604" s="1566"/>
      <c r="AF1604" s="1566"/>
      <c r="AG1604" s="1566">
        <v>0</v>
      </c>
      <c r="AH1604" s="1566"/>
      <c r="AI1604" s="1566"/>
      <c r="AJ1604" s="1566"/>
      <c r="AK1604" s="1566"/>
    </row>
    <row r="1605" spans="1:38" ht="9.4" customHeight="1">
      <c r="B1605" s="1568" t="s">
        <v>1326</v>
      </c>
      <c r="C1605" s="1568"/>
      <c r="D1605" s="1568"/>
      <c r="E1605" s="1568" t="s">
        <v>3344</v>
      </c>
      <c r="F1605" s="1568"/>
      <c r="G1605" s="1568"/>
      <c r="H1605" s="1568"/>
      <c r="J1605" s="1568" t="s">
        <v>2409</v>
      </c>
      <c r="K1605" s="1568"/>
      <c r="L1605" s="1568"/>
      <c r="M1605" s="1566">
        <v>0</v>
      </c>
      <c r="N1605" s="1566"/>
      <c r="O1605" s="1566"/>
      <c r="P1605" s="1566">
        <v>0</v>
      </c>
      <c r="Q1605" s="1566"/>
      <c r="R1605" s="1566"/>
      <c r="S1605" s="1566">
        <v>105454.58</v>
      </c>
      <c r="T1605" s="1566"/>
      <c r="U1605" s="1566"/>
      <c r="V1605" s="1566"/>
      <c r="W1605" s="1566">
        <v>105454.58</v>
      </c>
      <c r="X1605" s="1566"/>
      <c r="Y1605" s="1566"/>
      <c r="Z1605" s="1566"/>
      <c r="AA1605" s="1566">
        <v>0</v>
      </c>
      <c r="AB1605" s="1566"/>
      <c r="AC1605" s="1566"/>
      <c r="AD1605" s="1566"/>
      <c r="AE1605" s="1566"/>
      <c r="AF1605" s="1566"/>
      <c r="AG1605" s="1566">
        <v>0</v>
      </c>
      <c r="AH1605" s="1566"/>
      <c r="AI1605" s="1566"/>
      <c r="AJ1605" s="1566"/>
      <c r="AK1605" s="1566"/>
    </row>
    <row r="1606" spans="1:38" ht="9.4" customHeight="1">
      <c r="B1606" s="1568" t="s">
        <v>1326</v>
      </c>
      <c r="C1606" s="1568"/>
      <c r="D1606" s="1568"/>
      <c r="E1606" s="1568" t="s">
        <v>3345</v>
      </c>
      <c r="F1606" s="1568"/>
      <c r="G1606" s="1568"/>
      <c r="H1606" s="1568"/>
      <c r="J1606" s="1568" t="s">
        <v>2409</v>
      </c>
      <c r="K1606" s="1568"/>
      <c r="L1606" s="1568"/>
      <c r="M1606" s="1566">
        <v>0</v>
      </c>
      <c r="N1606" s="1566"/>
      <c r="O1606" s="1566"/>
      <c r="P1606" s="1566">
        <v>0</v>
      </c>
      <c r="Q1606" s="1566"/>
      <c r="R1606" s="1566"/>
      <c r="S1606" s="1566">
        <v>78500</v>
      </c>
      <c r="T1606" s="1566"/>
      <c r="U1606" s="1566"/>
      <c r="V1606" s="1566"/>
      <c r="W1606" s="1566">
        <v>78500</v>
      </c>
      <c r="X1606" s="1566"/>
      <c r="Y1606" s="1566"/>
      <c r="Z1606" s="1566"/>
      <c r="AA1606" s="1566">
        <v>0</v>
      </c>
      <c r="AB1606" s="1566"/>
      <c r="AC1606" s="1566"/>
      <c r="AD1606" s="1566"/>
      <c r="AE1606" s="1566"/>
      <c r="AF1606" s="1566"/>
      <c r="AG1606" s="1566">
        <v>0</v>
      </c>
      <c r="AH1606" s="1566"/>
      <c r="AI1606" s="1566"/>
      <c r="AJ1606" s="1566"/>
      <c r="AK1606" s="1566"/>
    </row>
    <row r="1607" spans="1:38" ht="9.4" customHeight="1">
      <c r="B1607" s="1568" t="s">
        <v>1326</v>
      </c>
      <c r="C1607" s="1568"/>
      <c r="D1607" s="1568"/>
      <c r="E1607" s="1568" t="s">
        <v>2737</v>
      </c>
      <c r="F1607" s="1568"/>
      <c r="G1607" s="1568"/>
      <c r="H1607" s="1568"/>
      <c r="J1607" s="1568" t="s">
        <v>2392</v>
      </c>
      <c r="K1607" s="1568"/>
      <c r="L1607" s="1568"/>
      <c r="M1607" s="1566">
        <v>0</v>
      </c>
      <c r="N1607" s="1566"/>
      <c r="O1607" s="1566"/>
      <c r="P1607" s="1566">
        <v>0</v>
      </c>
      <c r="Q1607" s="1566"/>
      <c r="R1607" s="1566"/>
      <c r="S1607" s="1566">
        <v>213436.2</v>
      </c>
      <c r="T1607" s="1566"/>
      <c r="U1607" s="1566"/>
      <c r="V1607" s="1566"/>
      <c r="W1607" s="1566">
        <v>213436.2</v>
      </c>
      <c r="X1607" s="1566"/>
      <c r="Y1607" s="1566"/>
      <c r="Z1607" s="1566"/>
      <c r="AA1607" s="1566">
        <v>0</v>
      </c>
      <c r="AB1607" s="1566"/>
      <c r="AC1607" s="1566"/>
      <c r="AD1607" s="1566"/>
      <c r="AE1607" s="1566"/>
      <c r="AF1607" s="1566"/>
      <c r="AG1607" s="1566">
        <v>0</v>
      </c>
      <c r="AH1607" s="1566"/>
      <c r="AI1607" s="1566"/>
      <c r="AJ1607" s="1566"/>
      <c r="AK1607" s="1566"/>
    </row>
    <row r="1608" spans="1:38" ht="9.4" customHeight="1">
      <c r="B1608" s="1568" t="s">
        <v>1326</v>
      </c>
      <c r="C1608" s="1568"/>
      <c r="D1608" s="1568"/>
      <c r="E1608" s="1568" t="s">
        <v>2738</v>
      </c>
      <c r="F1608" s="1568"/>
      <c r="G1608" s="1568"/>
      <c r="H1608" s="1568"/>
      <c r="J1608" s="1568" t="s">
        <v>2401</v>
      </c>
      <c r="K1608" s="1568"/>
      <c r="L1608" s="1568"/>
      <c r="M1608" s="1566">
        <v>0</v>
      </c>
      <c r="N1608" s="1566"/>
      <c r="O1608" s="1566"/>
      <c r="P1608" s="1566">
        <v>0</v>
      </c>
      <c r="Q1608" s="1566"/>
      <c r="R1608" s="1566"/>
      <c r="S1608" s="1566">
        <v>36284.199999999997</v>
      </c>
      <c r="T1608" s="1566"/>
      <c r="U1608" s="1566"/>
      <c r="V1608" s="1566"/>
      <c r="W1608" s="1566">
        <v>36284.199999999997</v>
      </c>
      <c r="X1608" s="1566"/>
      <c r="Y1608" s="1566"/>
      <c r="Z1608" s="1566"/>
      <c r="AA1608" s="1566">
        <v>0</v>
      </c>
      <c r="AB1608" s="1566"/>
      <c r="AC1608" s="1566"/>
      <c r="AD1608" s="1566"/>
      <c r="AE1608" s="1566"/>
      <c r="AF1608" s="1566"/>
      <c r="AG1608" s="1566">
        <v>0</v>
      </c>
      <c r="AH1608" s="1566"/>
      <c r="AI1608" s="1566"/>
      <c r="AJ1608" s="1566"/>
      <c r="AK1608" s="1566"/>
    </row>
    <row r="1609" spans="1:38" ht="9.4" customHeight="1">
      <c r="B1609" s="1568" t="s">
        <v>1326</v>
      </c>
      <c r="C1609" s="1568"/>
      <c r="D1609" s="1568"/>
      <c r="E1609" s="1568" t="s">
        <v>2739</v>
      </c>
      <c r="F1609" s="1568"/>
      <c r="G1609" s="1568"/>
      <c r="H1609" s="1568"/>
      <c r="J1609" s="1568" t="s">
        <v>2403</v>
      </c>
      <c r="K1609" s="1568"/>
      <c r="L1609" s="1568"/>
      <c r="M1609" s="1566">
        <v>0</v>
      </c>
      <c r="N1609" s="1566"/>
      <c r="O1609" s="1566"/>
      <c r="P1609" s="1566">
        <v>0</v>
      </c>
      <c r="Q1609" s="1566"/>
      <c r="R1609" s="1566"/>
      <c r="S1609" s="1566">
        <v>656.3</v>
      </c>
      <c r="T1609" s="1566"/>
      <c r="U1609" s="1566"/>
      <c r="V1609" s="1566"/>
      <c r="W1609" s="1566">
        <v>656.3</v>
      </c>
      <c r="X1609" s="1566"/>
      <c r="Y1609" s="1566"/>
      <c r="Z1609" s="1566"/>
      <c r="AA1609" s="1566">
        <v>0</v>
      </c>
      <c r="AB1609" s="1566"/>
      <c r="AC1609" s="1566"/>
      <c r="AD1609" s="1566"/>
      <c r="AE1609" s="1566"/>
      <c r="AF1609" s="1566"/>
      <c r="AG1609" s="1566">
        <v>0</v>
      </c>
      <c r="AH1609" s="1566"/>
      <c r="AI1609" s="1566"/>
      <c r="AJ1609" s="1566"/>
      <c r="AK1609" s="1566"/>
    </row>
    <row r="1610" spans="1:38" ht="9.4" customHeight="1">
      <c r="B1610" s="1568" t="s">
        <v>1326</v>
      </c>
      <c r="C1610" s="1568"/>
      <c r="D1610" s="1568"/>
      <c r="E1610" s="1568" t="s">
        <v>2740</v>
      </c>
      <c r="F1610" s="1568"/>
      <c r="G1610" s="1568"/>
      <c r="H1610" s="1568"/>
      <c r="J1610" s="1568" t="s">
        <v>2405</v>
      </c>
      <c r="K1610" s="1568"/>
      <c r="L1610" s="1568"/>
      <c r="M1610" s="1566">
        <v>0</v>
      </c>
      <c r="N1610" s="1566"/>
      <c r="O1610" s="1566"/>
      <c r="P1610" s="1566">
        <v>0</v>
      </c>
      <c r="Q1610" s="1566"/>
      <c r="R1610" s="1566"/>
      <c r="S1610" s="1566">
        <v>20971.080000000002</v>
      </c>
      <c r="T1610" s="1566"/>
      <c r="U1610" s="1566"/>
      <c r="V1610" s="1566"/>
      <c r="W1610" s="1566">
        <v>20971.080000000002</v>
      </c>
      <c r="X1610" s="1566"/>
      <c r="Y1610" s="1566"/>
      <c r="Z1610" s="1566"/>
      <c r="AA1610" s="1566">
        <v>0</v>
      </c>
      <c r="AB1610" s="1566"/>
      <c r="AC1610" s="1566"/>
      <c r="AD1610" s="1566"/>
      <c r="AE1610" s="1566"/>
      <c r="AF1610" s="1566"/>
      <c r="AG1610" s="1566">
        <v>0</v>
      </c>
      <c r="AH1610" s="1566"/>
      <c r="AI1610" s="1566"/>
      <c r="AJ1610" s="1566"/>
      <c r="AK1610" s="1566"/>
    </row>
    <row r="1611" spans="1:38" ht="9.4" customHeight="1">
      <c r="B1611" s="1568" t="s">
        <v>1326</v>
      </c>
      <c r="C1611" s="1568"/>
      <c r="D1611" s="1568"/>
      <c r="E1611" s="1568" t="s">
        <v>2741</v>
      </c>
      <c r="F1611" s="1568"/>
      <c r="G1611" s="1568"/>
      <c r="H1611" s="1568"/>
      <c r="J1611" s="1568" t="s">
        <v>2407</v>
      </c>
      <c r="K1611" s="1568"/>
      <c r="L1611" s="1568"/>
      <c r="M1611" s="1566">
        <v>0</v>
      </c>
      <c r="N1611" s="1566"/>
      <c r="O1611" s="1566"/>
      <c r="P1611" s="1566">
        <v>0</v>
      </c>
      <c r="Q1611" s="1566"/>
      <c r="R1611" s="1566"/>
      <c r="S1611" s="1566">
        <v>16131.6</v>
      </c>
      <c r="T1611" s="1566"/>
      <c r="U1611" s="1566"/>
      <c r="V1611" s="1566"/>
      <c r="W1611" s="1566">
        <v>16131.6</v>
      </c>
      <c r="X1611" s="1566"/>
      <c r="Y1611" s="1566"/>
      <c r="Z1611" s="1566"/>
      <c r="AA1611" s="1566">
        <v>0</v>
      </c>
      <c r="AB1611" s="1566"/>
      <c r="AC1611" s="1566"/>
      <c r="AD1611" s="1566"/>
      <c r="AE1611" s="1566"/>
      <c r="AF1611" s="1566"/>
      <c r="AG1611" s="1566">
        <v>0</v>
      </c>
      <c r="AH1611" s="1566"/>
      <c r="AI1611" s="1566"/>
      <c r="AJ1611" s="1566"/>
      <c r="AK1611" s="1566"/>
    </row>
    <row r="1612" spans="1:38" ht="7.35" customHeight="1"/>
    <row r="1613" spans="1:38" ht="14.1" customHeight="1">
      <c r="AG1613" s="1565" t="s">
        <v>2829</v>
      </c>
      <c r="AH1613" s="1565"/>
      <c r="AI1613" s="1565"/>
      <c r="AJ1613" s="1565"/>
      <c r="AK1613" s="1565"/>
      <c r="AL1613" s="1565"/>
    </row>
    <row r="1614" spans="1:38" ht="7.15" customHeight="1">
      <c r="D1614" s="1578" t="s">
        <v>2992</v>
      </c>
      <c r="E1614" s="1578"/>
      <c r="F1614" s="1578"/>
      <c r="G1614" s="1578"/>
      <c r="H1614" s="1578"/>
      <c r="I1614" s="1578"/>
      <c r="J1614" s="1578"/>
      <c r="K1614" s="1578"/>
      <c r="L1614" s="1578"/>
      <c r="M1614" s="1578"/>
      <c r="N1614" s="1578"/>
      <c r="O1614" s="1578"/>
      <c r="P1614" s="1578"/>
      <c r="Q1614" s="1578"/>
      <c r="R1614" s="1578"/>
      <c r="S1614" s="1578"/>
      <c r="T1614" s="1578"/>
      <c r="U1614" s="1578"/>
      <c r="V1614" s="1578"/>
      <c r="W1614" s="1578"/>
      <c r="X1614" s="1578"/>
      <c r="Y1614" s="1578"/>
      <c r="Z1614" s="1578"/>
      <c r="AA1614" s="1578"/>
      <c r="AB1614" s="1578"/>
      <c r="AC1614" s="1578"/>
      <c r="AD1614" s="1578"/>
      <c r="AE1614" s="1578"/>
      <c r="AF1614" s="1578"/>
      <c r="AG1614" s="1578"/>
      <c r="AH1614" s="1578"/>
    </row>
    <row r="1615" spans="1:38" ht="9.6" customHeight="1">
      <c r="A1615" s="1579"/>
      <c r="B1615" s="1579"/>
      <c r="C1615" s="1579"/>
      <c r="D1615" s="1579"/>
      <c r="E1615" s="1579"/>
      <c r="F1615" s="1579"/>
      <c r="G1615" s="1579"/>
      <c r="H1615" s="1579"/>
      <c r="I1615" s="1579"/>
      <c r="J1615" s="1578"/>
      <c r="K1615" s="1578"/>
      <c r="L1615" s="1578"/>
      <c r="M1615" s="1578"/>
      <c r="N1615" s="1578"/>
      <c r="O1615" s="1578"/>
      <c r="P1615" s="1578"/>
      <c r="Q1615" s="1578"/>
      <c r="R1615" s="1578"/>
      <c r="S1615" s="1578"/>
      <c r="T1615" s="1578"/>
      <c r="U1615" s="1578"/>
      <c r="V1615" s="1578"/>
      <c r="W1615" s="1578"/>
      <c r="X1615" s="1578"/>
      <c r="Y1615" s="1578"/>
      <c r="Z1615" s="1578"/>
      <c r="AA1615" s="1578"/>
      <c r="AB1615" s="1578"/>
      <c r="AC1615" s="1578"/>
      <c r="AD1615" s="1578"/>
      <c r="AE1615" s="1578"/>
      <c r="AF1615" s="1578"/>
      <c r="AG1615" s="1578"/>
      <c r="AH1615" s="1578"/>
    </row>
    <row r="1616" spans="1:38" ht="13.35" customHeight="1">
      <c r="A1616" s="1579"/>
      <c r="B1616" s="1579"/>
      <c r="C1616" s="1579"/>
      <c r="D1616" s="1579"/>
      <c r="E1616" s="1579"/>
      <c r="F1616" s="1579"/>
      <c r="G1616" s="1579"/>
      <c r="H1616" s="1579"/>
      <c r="I1616" s="1579"/>
      <c r="J1616" s="1580" t="s">
        <v>79</v>
      </c>
      <c r="K1616" s="1580"/>
      <c r="L1616" s="1580"/>
      <c r="M1616" s="1580"/>
      <c r="N1616" s="1580"/>
      <c r="O1616" s="1580"/>
      <c r="P1616" s="1580"/>
      <c r="Q1616" s="1580"/>
      <c r="R1616" s="1580"/>
      <c r="S1616" s="1580"/>
      <c r="T1616" s="1580"/>
      <c r="U1616" s="1580"/>
      <c r="V1616" s="1580"/>
      <c r="W1616" s="1580"/>
      <c r="X1616" s="1580"/>
      <c r="Y1616" s="1580"/>
      <c r="Z1616" s="1580"/>
      <c r="AA1616" s="1580"/>
      <c r="AB1616" s="1580"/>
      <c r="AC1616" s="1580"/>
      <c r="AD1616" s="1580"/>
      <c r="AE1616" s="1580"/>
      <c r="AF1616" s="1580"/>
    </row>
    <row r="1617" spans="1:38" ht="5.25" customHeight="1">
      <c r="A1617" s="1579"/>
      <c r="B1617" s="1579"/>
      <c r="C1617" s="1579"/>
      <c r="D1617" s="1579"/>
      <c r="E1617" s="1579"/>
      <c r="F1617" s="1579"/>
      <c r="G1617" s="1579"/>
      <c r="H1617" s="1579"/>
      <c r="I1617" s="1579"/>
      <c r="J1617" s="1573" t="s">
        <v>6760</v>
      </c>
      <c r="K1617" s="1573"/>
      <c r="L1617" s="1573"/>
      <c r="M1617" s="1573"/>
      <c r="N1617" s="1573"/>
      <c r="O1617" s="1573"/>
      <c r="P1617" s="1573"/>
      <c r="Q1617" s="1573"/>
      <c r="R1617" s="1573"/>
      <c r="S1617" s="1573"/>
      <c r="T1617" s="1573"/>
      <c r="U1617" s="1573"/>
      <c r="V1617" s="1573"/>
      <c r="W1617" s="1573"/>
      <c r="X1617" s="1573"/>
      <c r="Y1617" s="1573"/>
      <c r="Z1617" s="1573"/>
      <c r="AA1617" s="1573"/>
      <c r="AB1617" s="1573"/>
      <c r="AC1617" s="1573"/>
      <c r="AD1617" s="1573"/>
      <c r="AE1617" s="1573"/>
    </row>
    <row r="1618" spans="1:38" ht="8.1" customHeight="1">
      <c r="C1618" s="1572" t="s">
        <v>1920</v>
      </c>
      <c r="D1618" s="1572"/>
      <c r="E1618" s="1572"/>
      <c r="F1618" s="1572"/>
      <c r="G1618" s="1572"/>
      <c r="H1618" s="1572"/>
      <c r="I1618" s="1572"/>
      <c r="J1618" s="1572"/>
      <c r="K1618" s="1573"/>
      <c r="L1618" s="1573"/>
      <c r="M1618" s="1573"/>
      <c r="N1618" s="1573"/>
      <c r="O1618" s="1573"/>
      <c r="P1618" s="1573"/>
      <c r="Q1618" s="1573"/>
      <c r="R1618" s="1573"/>
      <c r="S1618" s="1573"/>
      <c r="T1618" s="1573"/>
      <c r="U1618" s="1573"/>
      <c r="V1618" s="1573"/>
      <c r="W1618" s="1573"/>
      <c r="X1618" s="1573"/>
      <c r="Y1618" s="1574" t="s">
        <v>5920</v>
      </c>
      <c r="Z1618" s="1574"/>
      <c r="AA1618" s="1574"/>
      <c r="AB1618" s="1574"/>
      <c r="AC1618" s="1574"/>
      <c r="AD1618" s="1574"/>
      <c r="AE1618" s="1574"/>
      <c r="AF1618" s="1574"/>
      <c r="AG1618" s="1574"/>
      <c r="AH1618" s="1575" t="s">
        <v>6761</v>
      </c>
      <c r="AI1618" s="1575"/>
      <c r="AJ1618" s="1575"/>
      <c r="AK1618" s="1575"/>
      <c r="AL1618" s="1575"/>
    </row>
    <row r="1619" spans="1:38" ht="6" customHeight="1">
      <c r="C1619" s="1572"/>
      <c r="D1619" s="1572"/>
      <c r="E1619" s="1572"/>
      <c r="F1619" s="1572"/>
      <c r="G1619" s="1572"/>
      <c r="H1619" s="1572"/>
      <c r="I1619" s="1572"/>
      <c r="J1619" s="1572"/>
      <c r="K1619" s="1576" t="s">
        <v>1999</v>
      </c>
      <c r="L1619" s="1576"/>
      <c r="M1619" s="1576"/>
      <c r="N1619" s="1576"/>
      <c r="O1619" s="1576"/>
      <c r="P1619" s="1576"/>
      <c r="Q1619" s="1576"/>
      <c r="R1619" s="1576"/>
      <c r="S1619" s="1576"/>
      <c r="T1619" s="1576"/>
      <c r="U1619" s="1576"/>
      <c r="V1619" s="1576"/>
      <c r="W1619" s="1576"/>
      <c r="X1619" s="1576"/>
      <c r="Y1619" s="1574"/>
      <c r="Z1619" s="1574"/>
      <c r="AA1619" s="1574"/>
      <c r="AB1619" s="1574"/>
      <c r="AC1619" s="1574"/>
      <c r="AD1619" s="1574"/>
      <c r="AE1619" s="1574"/>
      <c r="AF1619" s="1574"/>
      <c r="AG1619" s="1574"/>
      <c r="AH1619" s="1575"/>
      <c r="AI1619" s="1575"/>
      <c r="AJ1619" s="1575"/>
      <c r="AK1619" s="1575"/>
      <c r="AL1619" s="1575"/>
    </row>
    <row r="1620" spans="1:38" ht="7.35" customHeight="1">
      <c r="C1620" s="1572" t="s">
        <v>1998</v>
      </c>
      <c r="D1620" s="1572"/>
      <c r="E1620" s="1572"/>
      <c r="F1620" s="1572"/>
      <c r="G1620" s="1577"/>
      <c r="H1620" s="1577"/>
      <c r="I1620" s="1577"/>
      <c r="J1620" s="1577"/>
      <c r="K1620" s="1577"/>
      <c r="L1620" s="1577"/>
      <c r="M1620" s="1577"/>
      <c r="N1620" s="1577"/>
      <c r="O1620" s="1577"/>
      <c r="P1620" s="1577"/>
      <c r="Q1620" s="1577"/>
      <c r="R1620" s="1577"/>
      <c r="S1620" s="1577"/>
      <c r="T1620" s="1577"/>
      <c r="U1620" s="1577"/>
      <c r="V1620" s="1577"/>
      <c r="W1620" s="1577"/>
      <c r="X1620" s="1577"/>
      <c r="Y1620" s="1577"/>
      <c r="Z1620" s="1577"/>
      <c r="AA1620" s="1577"/>
      <c r="AB1620" s="1577"/>
      <c r="AC1620" s="1577"/>
      <c r="AD1620" s="1577"/>
      <c r="AE1620" s="1577"/>
      <c r="AF1620" s="1574"/>
      <c r="AG1620" s="1574"/>
      <c r="AH1620" s="1574" t="s">
        <v>6762</v>
      </c>
      <c r="AI1620" s="1574"/>
    </row>
    <row r="1621" spans="1:38" ht="6.75" customHeight="1">
      <c r="G1621" s="1577"/>
      <c r="H1621" s="1577"/>
      <c r="I1621" s="1577"/>
      <c r="J1621" s="1577"/>
      <c r="K1621" s="1577"/>
      <c r="L1621" s="1577"/>
      <c r="M1621" s="1577"/>
      <c r="N1621" s="1577"/>
      <c r="O1621" s="1577"/>
      <c r="P1621" s="1577"/>
      <c r="Q1621" s="1577"/>
      <c r="R1621" s="1577"/>
      <c r="S1621" s="1577"/>
      <c r="T1621" s="1577"/>
      <c r="U1621" s="1577"/>
      <c r="V1621" s="1577"/>
      <c r="W1621" s="1577"/>
      <c r="X1621" s="1577"/>
      <c r="Y1621" s="1577"/>
      <c r="Z1621" s="1577"/>
      <c r="AA1621" s="1577"/>
      <c r="AB1621" s="1577"/>
      <c r="AC1621" s="1577"/>
      <c r="AD1621" s="1577"/>
      <c r="AE1621" s="1577"/>
      <c r="AF1621" s="1574"/>
      <c r="AG1621" s="1574"/>
      <c r="AH1621" s="1574"/>
      <c r="AI1621" s="1574"/>
    </row>
    <row r="1622" spans="1:38" ht="11.25" customHeight="1">
      <c r="O1622" s="1570" t="s">
        <v>1318</v>
      </c>
      <c r="P1622" s="1570"/>
      <c r="Q1622" s="1570"/>
      <c r="V1622" s="1570" t="s">
        <v>1319</v>
      </c>
      <c r="W1622" s="1570"/>
      <c r="X1622" s="1570"/>
      <c r="Y1622" s="1570"/>
      <c r="AD1622" s="1570" t="s">
        <v>1320</v>
      </c>
      <c r="AE1622" s="1570"/>
      <c r="AF1622" s="1570"/>
      <c r="AG1622" s="1570"/>
      <c r="AH1622" s="1570"/>
      <c r="AI1622" s="1570"/>
      <c r="AJ1622" s="1570"/>
    </row>
    <row r="1623" spans="1:38" ht="8.4499999999999993" customHeight="1">
      <c r="B1623" s="1571" t="s">
        <v>1321</v>
      </c>
      <c r="C1623" s="1571"/>
      <c r="D1623" s="1571"/>
      <c r="E1623" s="1571" t="s">
        <v>1322</v>
      </c>
      <c r="F1623" s="1571"/>
      <c r="G1623" s="1571"/>
      <c r="J1623" s="1571" t="s">
        <v>1323</v>
      </c>
      <c r="K1623" s="1571"/>
      <c r="L1623" s="1571"/>
      <c r="M1623" s="1571"/>
      <c r="N1623" s="1571"/>
      <c r="O1623" s="1402" t="s">
        <v>1324</v>
      </c>
      <c r="Q1623" s="1569" t="s">
        <v>1325</v>
      </c>
      <c r="R1623" s="1569"/>
      <c r="U1623" s="1569" t="s">
        <v>1324</v>
      </c>
      <c r="V1623" s="1569"/>
      <c r="X1623" s="1569" t="s">
        <v>1325</v>
      </c>
      <c r="Y1623" s="1569"/>
      <c r="Z1623" s="1569"/>
      <c r="AC1623" s="1569" t="s">
        <v>1324</v>
      </c>
      <c r="AD1623" s="1569"/>
      <c r="AE1623" s="1569"/>
      <c r="AF1623" s="1569"/>
      <c r="AH1623" s="1569" t="s">
        <v>1325</v>
      </c>
      <c r="AI1623" s="1569"/>
      <c r="AJ1623" s="1569"/>
      <c r="AK1623" s="1569"/>
    </row>
    <row r="1624" spans="1:38" ht="9.9499999999999993" customHeight="1">
      <c r="B1624" s="1568" t="s">
        <v>1326</v>
      </c>
      <c r="C1624" s="1568"/>
      <c r="D1624" s="1568"/>
      <c r="E1624" s="1568" t="s">
        <v>2869</v>
      </c>
      <c r="F1624" s="1568"/>
      <c r="G1624" s="1568"/>
      <c r="H1624" s="1568"/>
      <c r="J1624" s="1568" t="s">
        <v>2421</v>
      </c>
      <c r="K1624" s="1568"/>
      <c r="L1624" s="1568"/>
      <c r="M1624" s="1566">
        <v>0</v>
      </c>
      <c r="N1624" s="1566"/>
      <c r="O1624" s="1566"/>
      <c r="P1624" s="1566">
        <v>0</v>
      </c>
      <c r="Q1624" s="1566"/>
      <c r="R1624" s="1566"/>
      <c r="S1624" s="1566">
        <v>24245.5</v>
      </c>
      <c r="T1624" s="1566"/>
      <c r="U1624" s="1566"/>
      <c r="V1624" s="1566"/>
      <c r="W1624" s="1566">
        <v>24245.5</v>
      </c>
      <c r="X1624" s="1566"/>
      <c r="Y1624" s="1566"/>
      <c r="Z1624" s="1566"/>
      <c r="AA1624" s="1566">
        <v>0</v>
      </c>
      <c r="AB1624" s="1566"/>
      <c r="AC1624" s="1566"/>
      <c r="AD1624" s="1566"/>
      <c r="AE1624" s="1566"/>
      <c r="AF1624" s="1566"/>
      <c r="AG1624" s="1566">
        <v>0</v>
      </c>
      <c r="AH1624" s="1566"/>
      <c r="AI1624" s="1566"/>
      <c r="AJ1624" s="1566"/>
      <c r="AK1624" s="1566"/>
    </row>
    <row r="1625" spans="1:38" ht="9.4" customHeight="1">
      <c r="B1625" s="1568" t="s">
        <v>1326</v>
      </c>
      <c r="C1625" s="1568"/>
      <c r="D1625" s="1568"/>
      <c r="E1625" s="1568" t="s">
        <v>2743</v>
      </c>
      <c r="F1625" s="1568"/>
      <c r="G1625" s="1568"/>
      <c r="H1625" s="1568"/>
      <c r="J1625" s="1568" t="s">
        <v>2423</v>
      </c>
      <c r="K1625" s="1568"/>
      <c r="L1625" s="1568"/>
      <c r="M1625" s="1566">
        <v>0</v>
      </c>
      <c r="N1625" s="1566"/>
      <c r="O1625" s="1566"/>
      <c r="P1625" s="1566">
        <v>0</v>
      </c>
      <c r="Q1625" s="1566"/>
      <c r="R1625" s="1566"/>
      <c r="S1625" s="1566">
        <v>351664.54</v>
      </c>
      <c r="T1625" s="1566"/>
      <c r="U1625" s="1566"/>
      <c r="V1625" s="1566"/>
      <c r="W1625" s="1566">
        <v>351664.54</v>
      </c>
      <c r="X1625" s="1566"/>
      <c r="Y1625" s="1566"/>
      <c r="Z1625" s="1566"/>
      <c r="AA1625" s="1566">
        <v>0</v>
      </c>
      <c r="AB1625" s="1566"/>
      <c r="AC1625" s="1566"/>
      <c r="AD1625" s="1566"/>
      <c r="AE1625" s="1566"/>
      <c r="AF1625" s="1566"/>
      <c r="AG1625" s="1566">
        <v>0</v>
      </c>
      <c r="AH1625" s="1566"/>
      <c r="AI1625" s="1566"/>
      <c r="AJ1625" s="1566"/>
      <c r="AK1625" s="1566"/>
    </row>
    <row r="1626" spans="1:38" ht="9.4" customHeight="1">
      <c r="B1626" s="1568" t="s">
        <v>1326</v>
      </c>
      <c r="C1626" s="1568"/>
      <c r="D1626" s="1568"/>
      <c r="E1626" s="1568" t="s">
        <v>2744</v>
      </c>
      <c r="F1626" s="1568"/>
      <c r="G1626" s="1568"/>
      <c r="H1626" s="1568"/>
      <c r="J1626" s="1568" t="s">
        <v>2426</v>
      </c>
      <c r="K1626" s="1568"/>
      <c r="L1626" s="1568"/>
      <c r="M1626" s="1566">
        <v>0</v>
      </c>
      <c r="N1626" s="1566"/>
      <c r="O1626" s="1566"/>
      <c r="P1626" s="1566">
        <v>0</v>
      </c>
      <c r="Q1626" s="1566"/>
      <c r="R1626" s="1566"/>
      <c r="S1626" s="1566">
        <v>15656.85</v>
      </c>
      <c r="T1626" s="1566"/>
      <c r="U1626" s="1566"/>
      <c r="V1626" s="1566"/>
      <c r="W1626" s="1566">
        <v>15656.85</v>
      </c>
      <c r="X1626" s="1566"/>
      <c r="Y1626" s="1566"/>
      <c r="Z1626" s="1566"/>
      <c r="AA1626" s="1566">
        <v>0</v>
      </c>
      <c r="AB1626" s="1566"/>
      <c r="AC1626" s="1566"/>
      <c r="AD1626" s="1566"/>
      <c r="AE1626" s="1566"/>
      <c r="AF1626" s="1566"/>
      <c r="AG1626" s="1566">
        <v>0</v>
      </c>
      <c r="AH1626" s="1566"/>
      <c r="AI1626" s="1566"/>
      <c r="AJ1626" s="1566"/>
      <c r="AK1626" s="1566"/>
    </row>
    <row r="1627" spans="1:38" ht="9.4" customHeight="1">
      <c r="B1627" s="1568" t="s">
        <v>1326</v>
      </c>
      <c r="C1627" s="1568"/>
      <c r="D1627" s="1568"/>
      <c r="E1627" s="1568" t="s">
        <v>2745</v>
      </c>
      <c r="F1627" s="1568"/>
      <c r="G1627" s="1568"/>
      <c r="H1627" s="1568"/>
      <c r="J1627" s="1568" t="s">
        <v>2428</v>
      </c>
      <c r="K1627" s="1568"/>
      <c r="L1627" s="1568"/>
      <c r="M1627" s="1566">
        <v>0</v>
      </c>
      <c r="N1627" s="1566"/>
      <c r="O1627" s="1566"/>
      <c r="P1627" s="1566">
        <v>0</v>
      </c>
      <c r="Q1627" s="1566"/>
      <c r="R1627" s="1566"/>
      <c r="S1627" s="1566">
        <v>401511.32</v>
      </c>
      <c r="T1627" s="1566"/>
      <c r="U1627" s="1566"/>
      <c r="V1627" s="1566"/>
      <c r="W1627" s="1566">
        <v>401511.32</v>
      </c>
      <c r="X1627" s="1566"/>
      <c r="Y1627" s="1566"/>
      <c r="Z1627" s="1566"/>
      <c r="AA1627" s="1566">
        <v>0</v>
      </c>
      <c r="AB1627" s="1566"/>
      <c r="AC1627" s="1566"/>
      <c r="AD1627" s="1566"/>
      <c r="AE1627" s="1566"/>
      <c r="AF1627" s="1566"/>
      <c r="AG1627" s="1566">
        <v>0</v>
      </c>
      <c r="AH1627" s="1566"/>
      <c r="AI1627" s="1566"/>
      <c r="AJ1627" s="1566"/>
      <c r="AK1627" s="1566"/>
    </row>
    <row r="1628" spans="1:38" ht="9.1999999999999993" customHeight="1">
      <c r="J1628" s="1568"/>
      <c r="K1628" s="1568"/>
      <c r="L1628" s="1568"/>
    </row>
    <row r="1629" spans="1:38" ht="8.4499999999999993" customHeight="1">
      <c r="B1629" s="1568" t="s">
        <v>1326</v>
      </c>
      <c r="C1629" s="1568"/>
      <c r="D1629" s="1568"/>
      <c r="E1629" s="1568" t="s">
        <v>6280</v>
      </c>
      <c r="F1629" s="1568"/>
      <c r="G1629" s="1568"/>
      <c r="H1629" s="1568"/>
      <c r="J1629" s="1568" t="s">
        <v>2421</v>
      </c>
      <c r="K1629" s="1568"/>
      <c r="L1629" s="1568"/>
      <c r="M1629" s="1566">
        <v>0</v>
      </c>
      <c r="N1629" s="1566"/>
      <c r="O1629" s="1566"/>
      <c r="P1629" s="1566">
        <v>0</v>
      </c>
      <c r="Q1629" s="1566"/>
      <c r="R1629" s="1566"/>
      <c r="S1629" s="1566">
        <v>7400</v>
      </c>
      <c r="T1629" s="1566"/>
      <c r="U1629" s="1566"/>
      <c r="V1629" s="1566"/>
      <c r="W1629" s="1566">
        <v>7400</v>
      </c>
      <c r="X1629" s="1566"/>
      <c r="Y1629" s="1566"/>
      <c r="Z1629" s="1566"/>
      <c r="AA1629" s="1566">
        <v>0</v>
      </c>
      <c r="AB1629" s="1566"/>
      <c r="AC1629" s="1566"/>
      <c r="AD1629" s="1566"/>
      <c r="AE1629" s="1566"/>
      <c r="AF1629" s="1566"/>
      <c r="AG1629" s="1566">
        <v>0</v>
      </c>
      <c r="AH1629" s="1566"/>
      <c r="AI1629" s="1566"/>
      <c r="AJ1629" s="1566"/>
      <c r="AK1629" s="1566"/>
    </row>
    <row r="1630" spans="1:38" ht="9.4" customHeight="1">
      <c r="B1630" s="1568" t="s">
        <v>1326</v>
      </c>
      <c r="C1630" s="1568"/>
      <c r="D1630" s="1568"/>
      <c r="E1630" s="1568" t="s">
        <v>2746</v>
      </c>
      <c r="F1630" s="1568"/>
      <c r="G1630" s="1568"/>
      <c r="H1630" s="1568"/>
      <c r="J1630" s="1568" t="s">
        <v>2423</v>
      </c>
      <c r="K1630" s="1568"/>
      <c r="L1630" s="1568"/>
      <c r="M1630" s="1566">
        <v>0</v>
      </c>
      <c r="N1630" s="1566"/>
      <c r="O1630" s="1566"/>
      <c r="P1630" s="1566">
        <v>0</v>
      </c>
      <c r="Q1630" s="1566"/>
      <c r="R1630" s="1566"/>
      <c r="S1630" s="1566">
        <v>139859.34</v>
      </c>
      <c r="T1630" s="1566"/>
      <c r="U1630" s="1566"/>
      <c r="V1630" s="1566"/>
      <c r="W1630" s="1566">
        <v>139859.34</v>
      </c>
      <c r="X1630" s="1566"/>
      <c r="Y1630" s="1566"/>
      <c r="Z1630" s="1566"/>
      <c r="AA1630" s="1566">
        <v>0</v>
      </c>
      <c r="AB1630" s="1566"/>
      <c r="AC1630" s="1566"/>
      <c r="AD1630" s="1566"/>
      <c r="AE1630" s="1566"/>
      <c r="AF1630" s="1566"/>
      <c r="AG1630" s="1566">
        <v>0</v>
      </c>
      <c r="AH1630" s="1566"/>
      <c r="AI1630" s="1566"/>
      <c r="AJ1630" s="1566"/>
      <c r="AK1630" s="1566"/>
    </row>
    <row r="1631" spans="1:38" ht="9.4" customHeight="1">
      <c r="B1631" s="1568" t="s">
        <v>1326</v>
      </c>
      <c r="C1631" s="1568"/>
      <c r="D1631" s="1568"/>
      <c r="E1631" s="1568" t="s">
        <v>6281</v>
      </c>
      <c r="F1631" s="1568"/>
      <c r="G1631" s="1568"/>
      <c r="H1631" s="1568"/>
      <c r="J1631" s="1568" t="s">
        <v>2428</v>
      </c>
      <c r="K1631" s="1568"/>
      <c r="L1631" s="1568"/>
      <c r="M1631" s="1566">
        <v>0</v>
      </c>
      <c r="N1631" s="1566"/>
      <c r="O1631" s="1566"/>
      <c r="P1631" s="1566">
        <v>0</v>
      </c>
      <c r="Q1631" s="1566"/>
      <c r="R1631" s="1566"/>
      <c r="S1631" s="1566">
        <v>87698.1</v>
      </c>
      <c r="T1631" s="1566"/>
      <c r="U1631" s="1566"/>
      <c r="V1631" s="1566"/>
      <c r="W1631" s="1566">
        <v>87698.1</v>
      </c>
      <c r="X1631" s="1566"/>
      <c r="Y1631" s="1566"/>
      <c r="Z1631" s="1566"/>
      <c r="AA1631" s="1566">
        <v>0</v>
      </c>
      <c r="AB1631" s="1566"/>
      <c r="AC1631" s="1566"/>
      <c r="AD1631" s="1566"/>
      <c r="AE1631" s="1566"/>
      <c r="AF1631" s="1566"/>
      <c r="AG1631" s="1566">
        <v>0</v>
      </c>
      <c r="AH1631" s="1566"/>
      <c r="AI1631" s="1566"/>
      <c r="AJ1631" s="1566"/>
      <c r="AK1631" s="1566"/>
    </row>
    <row r="1632" spans="1:38" ht="9.1999999999999993" customHeight="1">
      <c r="J1632" s="1568"/>
      <c r="K1632" s="1568"/>
      <c r="L1632" s="1568"/>
    </row>
    <row r="1633" spans="2:37" ht="8.4499999999999993" customHeight="1">
      <c r="B1633" s="1568" t="s">
        <v>1326</v>
      </c>
      <c r="C1633" s="1568"/>
      <c r="D1633" s="1568"/>
      <c r="E1633" s="1568" t="s">
        <v>6282</v>
      </c>
      <c r="F1633" s="1568"/>
      <c r="G1633" s="1568"/>
      <c r="H1633" s="1568"/>
      <c r="J1633" s="1568" t="s">
        <v>2421</v>
      </c>
      <c r="K1633" s="1568"/>
      <c r="L1633" s="1568"/>
      <c r="M1633" s="1566">
        <v>0</v>
      </c>
      <c r="N1633" s="1566"/>
      <c r="O1633" s="1566"/>
      <c r="P1633" s="1566">
        <v>0</v>
      </c>
      <c r="Q1633" s="1566"/>
      <c r="R1633" s="1566"/>
      <c r="S1633" s="1566">
        <v>2200</v>
      </c>
      <c r="T1633" s="1566"/>
      <c r="U1633" s="1566"/>
      <c r="V1633" s="1566"/>
      <c r="W1633" s="1566">
        <v>2200</v>
      </c>
      <c r="X1633" s="1566"/>
      <c r="Y1633" s="1566"/>
      <c r="Z1633" s="1566"/>
      <c r="AA1633" s="1566">
        <v>0</v>
      </c>
      <c r="AB1633" s="1566"/>
      <c r="AC1633" s="1566"/>
      <c r="AD1633" s="1566"/>
      <c r="AE1633" s="1566"/>
      <c r="AF1633" s="1566"/>
      <c r="AG1633" s="1566">
        <v>0</v>
      </c>
      <c r="AH1633" s="1566"/>
      <c r="AI1633" s="1566"/>
      <c r="AJ1633" s="1566"/>
      <c r="AK1633" s="1566"/>
    </row>
    <row r="1634" spans="2:37" ht="9.4" customHeight="1">
      <c r="B1634" s="1568" t="s">
        <v>1326</v>
      </c>
      <c r="C1634" s="1568"/>
      <c r="D1634" s="1568"/>
      <c r="E1634" s="1568" t="s">
        <v>2747</v>
      </c>
      <c r="F1634" s="1568"/>
      <c r="G1634" s="1568"/>
      <c r="H1634" s="1568"/>
      <c r="J1634" s="1568" t="s">
        <v>2423</v>
      </c>
      <c r="K1634" s="1568"/>
      <c r="L1634" s="1568"/>
      <c r="M1634" s="1566">
        <v>0</v>
      </c>
      <c r="N1634" s="1566"/>
      <c r="O1634" s="1566"/>
      <c r="P1634" s="1566">
        <v>0</v>
      </c>
      <c r="Q1634" s="1566"/>
      <c r="R1634" s="1566"/>
      <c r="S1634" s="1566">
        <v>31411.18</v>
      </c>
      <c r="T1634" s="1566"/>
      <c r="U1634" s="1566"/>
      <c r="V1634" s="1566"/>
      <c r="W1634" s="1566">
        <v>31411.18</v>
      </c>
      <c r="X1634" s="1566"/>
      <c r="Y1634" s="1566"/>
      <c r="Z1634" s="1566"/>
      <c r="AA1634" s="1566">
        <v>0</v>
      </c>
      <c r="AB1634" s="1566"/>
      <c r="AC1634" s="1566"/>
      <c r="AD1634" s="1566"/>
      <c r="AE1634" s="1566"/>
      <c r="AF1634" s="1566"/>
      <c r="AG1634" s="1566">
        <v>0</v>
      </c>
      <c r="AH1634" s="1566"/>
      <c r="AI1634" s="1566"/>
      <c r="AJ1634" s="1566"/>
      <c r="AK1634" s="1566"/>
    </row>
    <row r="1635" spans="2:37" ht="9.4" customHeight="1">
      <c r="B1635" s="1568" t="s">
        <v>1326</v>
      </c>
      <c r="C1635" s="1568"/>
      <c r="D1635" s="1568"/>
      <c r="E1635" s="1568" t="s">
        <v>2748</v>
      </c>
      <c r="F1635" s="1568"/>
      <c r="G1635" s="1568"/>
      <c r="H1635" s="1568"/>
      <c r="J1635" s="1568" t="s">
        <v>2428</v>
      </c>
      <c r="K1635" s="1568"/>
      <c r="L1635" s="1568"/>
      <c r="M1635" s="1566">
        <v>0</v>
      </c>
      <c r="N1635" s="1566"/>
      <c r="O1635" s="1566"/>
      <c r="P1635" s="1566">
        <v>0</v>
      </c>
      <c r="Q1635" s="1566"/>
      <c r="R1635" s="1566"/>
      <c r="S1635" s="1566">
        <v>58210.37</v>
      </c>
      <c r="T1635" s="1566"/>
      <c r="U1635" s="1566"/>
      <c r="V1635" s="1566"/>
      <c r="W1635" s="1566">
        <v>58210.37</v>
      </c>
      <c r="X1635" s="1566"/>
      <c r="Y1635" s="1566"/>
      <c r="Z1635" s="1566"/>
      <c r="AA1635" s="1566">
        <v>0</v>
      </c>
      <c r="AB1635" s="1566"/>
      <c r="AC1635" s="1566"/>
      <c r="AD1635" s="1566"/>
      <c r="AE1635" s="1566"/>
      <c r="AF1635" s="1566"/>
      <c r="AG1635" s="1566">
        <v>0</v>
      </c>
      <c r="AH1635" s="1566"/>
      <c r="AI1635" s="1566"/>
      <c r="AJ1635" s="1566"/>
      <c r="AK1635" s="1566"/>
    </row>
    <row r="1636" spans="2:37" ht="9.1999999999999993" customHeight="1">
      <c r="J1636" s="1568"/>
      <c r="K1636" s="1568"/>
      <c r="L1636" s="1568"/>
    </row>
    <row r="1637" spans="2:37" ht="8.4499999999999993" customHeight="1">
      <c r="B1637" s="1568" t="s">
        <v>1326</v>
      </c>
      <c r="C1637" s="1568"/>
      <c r="D1637" s="1568"/>
      <c r="E1637" s="1568" t="s">
        <v>6283</v>
      </c>
      <c r="F1637" s="1568"/>
      <c r="G1637" s="1568"/>
      <c r="H1637" s="1568"/>
      <c r="J1637" s="1568" t="s">
        <v>2421</v>
      </c>
      <c r="K1637" s="1568"/>
      <c r="L1637" s="1568"/>
      <c r="M1637" s="1566">
        <v>0</v>
      </c>
      <c r="N1637" s="1566"/>
      <c r="O1637" s="1566"/>
      <c r="P1637" s="1566">
        <v>0</v>
      </c>
      <c r="Q1637" s="1566"/>
      <c r="R1637" s="1566"/>
      <c r="S1637" s="1566">
        <v>1600</v>
      </c>
      <c r="T1637" s="1566"/>
      <c r="U1637" s="1566"/>
      <c r="V1637" s="1566"/>
      <c r="W1637" s="1566">
        <v>1600</v>
      </c>
      <c r="X1637" s="1566"/>
      <c r="Y1637" s="1566"/>
      <c r="Z1637" s="1566"/>
      <c r="AA1637" s="1566">
        <v>0</v>
      </c>
      <c r="AB1637" s="1566"/>
      <c r="AC1637" s="1566"/>
      <c r="AD1637" s="1566"/>
      <c r="AE1637" s="1566"/>
      <c r="AF1637" s="1566"/>
      <c r="AG1637" s="1566">
        <v>0</v>
      </c>
      <c r="AH1637" s="1566"/>
      <c r="AI1637" s="1566"/>
      <c r="AJ1637" s="1566"/>
      <c r="AK1637" s="1566"/>
    </row>
    <row r="1638" spans="2:37" ht="9.4" customHeight="1">
      <c r="B1638" s="1568" t="s">
        <v>1326</v>
      </c>
      <c r="C1638" s="1568"/>
      <c r="D1638" s="1568"/>
      <c r="E1638" s="1568" t="s">
        <v>2749</v>
      </c>
      <c r="F1638" s="1568"/>
      <c r="G1638" s="1568"/>
      <c r="H1638" s="1568"/>
      <c r="J1638" s="1568" t="s">
        <v>2423</v>
      </c>
      <c r="K1638" s="1568"/>
      <c r="L1638" s="1568"/>
      <c r="M1638" s="1566">
        <v>0</v>
      </c>
      <c r="N1638" s="1566"/>
      <c r="O1638" s="1566"/>
      <c r="P1638" s="1566">
        <v>0</v>
      </c>
      <c r="Q1638" s="1566"/>
      <c r="R1638" s="1566"/>
      <c r="S1638" s="1566">
        <v>8571.5</v>
      </c>
      <c r="T1638" s="1566"/>
      <c r="U1638" s="1566"/>
      <c r="V1638" s="1566"/>
      <c r="W1638" s="1566">
        <v>8571.5</v>
      </c>
      <c r="X1638" s="1566"/>
      <c r="Y1638" s="1566"/>
      <c r="Z1638" s="1566"/>
      <c r="AA1638" s="1566">
        <v>0</v>
      </c>
      <c r="AB1638" s="1566"/>
      <c r="AC1638" s="1566"/>
      <c r="AD1638" s="1566"/>
      <c r="AE1638" s="1566"/>
      <c r="AF1638" s="1566"/>
      <c r="AG1638" s="1566">
        <v>0</v>
      </c>
      <c r="AH1638" s="1566"/>
      <c r="AI1638" s="1566"/>
      <c r="AJ1638" s="1566"/>
      <c r="AK1638" s="1566"/>
    </row>
    <row r="1639" spans="2:37" ht="9.4" customHeight="1">
      <c r="B1639" s="1568" t="s">
        <v>1326</v>
      </c>
      <c r="C1639" s="1568"/>
      <c r="D1639" s="1568"/>
      <c r="E1639" s="1568" t="s">
        <v>6284</v>
      </c>
      <c r="F1639" s="1568"/>
      <c r="G1639" s="1568"/>
      <c r="H1639" s="1568"/>
      <c r="J1639" s="1568" t="s">
        <v>2428</v>
      </c>
      <c r="K1639" s="1568"/>
      <c r="L1639" s="1568"/>
      <c r="M1639" s="1566">
        <v>0</v>
      </c>
      <c r="N1639" s="1566"/>
      <c r="O1639" s="1566"/>
      <c r="P1639" s="1566">
        <v>0</v>
      </c>
      <c r="Q1639" s="1566"/>
      <c r="R1639" s="1566"/>
      <c r="S1639" s="1566">
        <v>42002.35</v>
      </c>
      <c r="T1639" s="1566"/>
      <c r="U1639" s="1566"/>
      <c r="V1639" s="1566"/>
      <c r="W1639" s="1566">
        <v>42002.35</v>
      </c>
      <c r="X1639" s="1566"/>
      <c r="Y1639" s="1566"/>
      <c r="Z1639" s="1566"/>
      <c r="AA1639" s="1566">
        <v>0</v>
      </c>
      <c r="AB1639" s="1566"/>
      <c r="AC1639" s="1566"/>
      <c r="AD1639" s="1566"/>
      <c r="AE1639" s="1566"/>
      <c r="AF1639" s="1566"/>
      <c r="AG1639" s="1566">
        <v>0</v>
      </c>
      <c r="AH1639" s="1566"/>
      <c r="AI1639" s="1566"/>
      <c r="AJ1639" s="1566"/>
      <c r="AK1639" s="1566"/>
    </row>
    <row r="1640" spans="2:37" ht="9.1999999999999993" customHeight="1">
      <c r="J1640" s="1568"/>
      <c r="K1640" s="1568"/>
      <c r="L1640" s="1568"/>
    </row>
    <row r="1641" spans="2:37" ht="8.4499999999999993" customHeight="1">
      <c r="B1641" s="1568" t="s">
        <v>1326</v>
      </c>
      <c r="C1641" s="1568"/>
      <c r="D1641" s="1568"/>
      <c r="E1641" s="1568" t="s">
        <v>6285</v>
      </c>
      <c r="F1641" s="1568"/>
      <c r="G1641" s="1568"/>
      <c r="H1641" s="1568"/>
      <c r="J1641" s="1568" t="s">
        <v>2421</v>
      </c>
      <c r="K1641" s="1568"/>
      <c r="L1641" s="1568"/>
      <c r="M1641" s="1566">
        <v>0</v>
      </c>
      <c r="N1641" s="1566"/>
      <c r="O1641" s="1566"/>
      <c r="P1641" s="1566">
        <v>0</v>
      </c>
      <c r="Q1641" s="1566"/>
      <c r="R1641" s="1566"/>
      <c r="S1641" s="1566">
        <v>3800</v>
      </c>
      <c r="T1641" s="1566"/>
      <c r="U1641" s="1566"/>
      <c r="V1641" s="1566"/>
      <c r="W1641" s="1566">
        <v>3800</v>
      </c>
      <c r="X1641" s="1566"/>
      <c r="Y1641" s="1566"/>
      <c r="Z1641" s="1566"/>
      <c r="AA1641" s="1566">
        <v>0</v>
      </c>
      <c r="AB1641" s="1566"/>
      <c r="AC1641" s="1566"/>
      <c r="AD1641" s="1566"/>
      <c r="AE1641" s="1566"/>
      <c r="AF1641" s="1566"/>
      <c r="AG1641" s="1566">
        <v>0</v>
      </c>
      <c r="AH1641" s="1566"/>
      <c r="AI1641" s="1566"/>
      <c r="AJ1641" s="1566"/>
      <c r="AK1641" s="1566"/>
    </row>
    <row r="1642" spans="2:37" ht="9.4" customHeight="1">
      <c r="B1642" s="1568" t="s">
        <v>1326</v>
      </c>
      <c r="C1642" s="1568"/>
      <c r="D1642" s="1568"/>
      <c r="E1642" s="1568" t="s">
        <v>2750</v>
      </c>
      <c r="F1642" s="1568"/>
      <c r="G1642" s="1568"/>
      <c r="H1642" s="1568"/>
      <c r="J1642" s="1568" t="s">
        <v>2423</v>
      </c>
      <c r="K1642" s="1568"/>
      <c r="L1642" s="1568"/>
      <c r="M1642" s="1566">
        <v>0</v>
      </c>
      <c r="N1642" s="1566"/>
      <c r="O1642" s="1566"/>
      <c r="P1642" s="1566">
        <v>0</v>
      </c>
      <c r="Q1642" s="1566"/>
      <c r="R1642" s="1566"/>
      <c r="S1642" s="1566">
        <v>20630.86</v>
      </c>
      <c r="T1642" s="1566"/>
      <c r="U1642" s="1566"/>
      <c r="V1642" s="1566"/>
      <c r="W1642" s="1566">
        <v>20630.86</v>
      </c>
      <c r="X1642" s="1566"/>
      <c r="Y1642" s="1566"/>
      <c r="Z1642" s="1566"/>
      <c r="AA1642" s="1566">
        <v>0</v>
      </c>
      <c r="AB1642" s="1566"/>
      <c r="AC1642" s="1566"/>
      <c r="AD1642" s="1566"/>
      <c r="AE1642" s="1566"/>
      <c r="AF1642" s="1566"/>
      <c r="AG1642" s="1566">
        <v>0</v>
      </c>
      <c r="AH1642" s="1566"/>
      <c r="AI1642" s="1566"/>
      <c r="AJ1642" s="1566"/>
      <c r="AK1642" s="1566"/>
    </row>
    <row r="1643" spans="2:37" ht="9.4" customHeight="1">
      <c r="B1643" s="1568" t="s">
        <v>1326</v>
      </c>
      <c r="C1643" s="1568"/>
      <c r="D1643" s="1568"/>
      <c r="E1643" s="1568" t="s">
        <v>2751</v>
      </c>
      <c r="F1643" s="1568"/>
      <c r="G1643" s="1568"/>
      <c r="H1643" s="1568"/>
      <c r="J1643" s="1568" t="s">
        <v>2428</v>
      </c>
      <c r="K1643" s="1568"/>
      <c r="L1643" s="1568"/>
      <c r="M1643" s="1566">
        <v>0</v>
      </c>
      <c r="N1643" s="1566"/>
      <c r="O1643" s="1566"/>
      <c r="P1643" s="1566">
        <v>0</v>
      </c>
      <c r="Q1643" s="1566"/>
      <c r="R1643" s="1566"/>
      <c r="S1643" s="1566">
        <v>38325.379999999997</v>
      </c>
      <c r="T1643" s="1566"/>
      <c r="U1643" s="1566"/>
      <c r="V1643" s="1566"/>
      <c r="W1643" s="1566">
        <v>38325.379999999997</v>
      </c>
      <c r="X1643" s="1566"/>
      <c r="Y1643" s="1566"/>
      <c r="Z1643" s="1566"/>
      <c r="AA1643" s="1566">
        <v>0</v>
      </c>
      <c r="AB1643" s="1566"/>
      <c r="AC1643" s="1566"/>
      <c r="AD1643" s="1566"/>
      <c r="AE1643" s="1566"/>
      <c r="AF1643" s="1566"/>
      <c r="AG1643" s="1566">
        <v>0</v>
      </c>
      <c r="AH1643" s="1566"/>
      <c r="AI1643" s="1566"/>
      <c r="AJ1643" s="1566"/>
      <c r="AK1643" s="1566"/>
    </row>
    <row r="1644" spans="2:37" ht="9.1999999999999993" customHeight="1">
      <c r="J1644" s="1568"/>
      <c r="K1644" s="1568"/>
      <c r="L1644" s="1568"/>
    </row>
    <row r="1645" spans="2:37" ht="8.4499999999999993" customHeight="1">
      <c r="B1645" s="1568" t="s">
        <v>1326</v>
      </c>
      <c r="C1645" s="1568"/>
      <c r="D1645" s="1568"/>
      <c r="E1645" s="1568" t="s">
        <v>2752</v>
      </c>
      <c r="F1645" s="1568"/>
      <c r="G1645" s="1568"/>
      <c r="H1645" s="1568"/>
      <c r="J1645" s="1568" t="s">
        <v>2392</v>
      </c>
      <c r="K1645" s="1568"/>
      <c r="L1645" s="1568"/>
      <c r="M1645" s="1566">
        <v>0</v>
      </c>
      <c r="N1645" s="1566"/>
      <c r="O1645" s="1566"/>
      <c r="P1645" s="1566">
        <v>0</v>
      </c>
      <c r="Q1645" s="1566"/>
      <c r="R1645" s="1566"/>
      <c r="S1645" s="1566">
        <v>42559.8</v>
      </c>
      <c r="T1645" s="1566"/>
      <c r="U1645" s="1566"/>
      <c r="V1645" s="1566"/>
      <c r="W1645" s="1566">
        <v>42559.8</v>
      </c>
      <c r="X1645" s="1566"/>
      <c r="Y1645" s="1566"/>
      <c r="Z1645" s="1566"/>
      <c r="AA1645" s="1566">
        <v>0</v>
      </c>
      <c r="AB1645" s="1566"/>
      <c r="AC1645" s="1566"/>
      <c r="AD1645" s="1566"/>
      <c r="AE1645" s="1566"/>
      <c r="AF1645" s="1566"/>
      <c r="AG1645" s="1566">
        <v>0</v>
      </c>
      <c r="AH1645" s="1566"/>
      <c r="AI1645" s="1566"/>
      <c r="AJ1645" s="1566"/>
      <c r="AK1645" s="1566"/>
    </row>
    <row r="1646" spans="2:37" ht="9.4" customHeight="1">
      <c r="B1646" s="1568" t="s">
        <v>1326</v>
      </c>
      <c r="C1646" s="1568"/>
      <c r="D1646" s="1568"/>
      <c r="E1646" s="1568" t="s">
        <v>3296</v>
      </c>
      <c r="F1646" s="1568"/>
      <c r="G1646" s="1568"/>
      <c r="H1646" s="1568"/>
      <c r="J1646" s="1568" t="s">
        <v>2460</v>
      </c>
      <c r="K1646" s="1568"/>
      <c r="L1646" s="1568"/>
      <c r="M1646" s="1566">
        <v>0</v>
      </c>
      <c r="N1646" s="1566"/>
      <c r="O1646" s="1566"/>
      <c r="P1646" s="1566">
        <v>0</v>
      </c>
      <c r="Q1646" s="1566"/>
      <c r="R1646" s="1566"/>
      <c r="S1646" s="1566">
        <v>2026.19</v>
      </c>
      <c r="T1646" s="1566"/>
      <c r="U1646" s="1566"/>
      <c r="V1646" s="1566"/>
      <c r="W1646" s="1566">
        <v>2026.19</v>
      </c>
      <c r="X1646" s="1566"/>
      <c r="Y1646" s="1566"/>
      <c r="Z1646" s="1566"/>
      <c r="AA1646" s="1566">
        <v>0</v>
      </c>
      <c r="AB1646" s="1566"/>
      <c r="AC1646" s="1566"/>
      <c r="AD1646" s="1566"/>
      <c r="AE1646" s="1566"/>
      <c r="AF1646" s="1566"/>
      <c r="AG1646" s="1566">
        <v>0</v>
      </c>
      <c r="AH1646" s="1566"/>
      <c r="AI1646" s="1566"/>
      <c r="AJ1646" s="1566"/>
      <c r="AK1646" s="1566"/>
    </row>
    <row r="1647" spans="2:37" ht="9.4" customHeight="1">
      <c r="B1647" s="1568" t="s">
        <v>1326</v>
      </c>
      <c r="C1647" s="1568"/>
      <c r="D1647" s="1568"/>
      <c r="E1647" s="1568" t="s">
        <v>2753</v>
      </c>
      <c r="F1647" s="1568"/>
      <c r="G1647" s="1568"/>
      <c r="H1647" s="1568"/>
      <c r="J1647" s="1568" t="s">
        <v>2401</v>
      </c>
      <c r="K1647" s="1568"/>
      <c r="L1647" s="1568"/>
      <c r="M1647" s="1566">
        <v>0</v>
      </c>
      <c r="N1647" s="1566"/>
      <c r="O1647" s="1566"/>
      <c r="P1647" s="1566">
        <v>0</v>
      </c>
      <c r="Q1647" s="1566"/>
      <c r="R1647" s="1566"/>
      <c r="S1647" s="1566">
        <v>7235.18</v>
      </c>
      <c r="T1647" s="1566"/>
      <c r="U1647" s="1566"/>
      <c r="V1647" s="1566"/>
      <c r="W1647" s="1566">
        <v>7235.18</v>
      </c>
      <c r="X1647" s="1566"/>
      <c r="Y1647" s="1566"/>
      <c r="Z1647" s="1566"/>
      <c r="AA1647" s="1566">
        <v>0</v>
      </c>
      <c r="AB1647" s="1566"/>
      <c r="AC1647" s="1566"/>
      <c r="AD1647" s="1566"/>
      <c r="AE1647" s="1566"/>
      <c r="AF1647" s="1566"/>
      <c r="AG1647" s="1566">
        <v>0</v>
      </c>
      <c r="AH1647" s="1566"/>
      <c r="AI1647" s="1566"/>
      <c r="AJ1647" s="1566"/>
      <c r="AK1647" s="1566"/>
    </row>
    <row r="1648" spans="2:37" ht="9.4" customHeight="1">
      <c r="B1648" s="1568" t="s">
        <v>1326</v>
      </c>
      <c r="C1648" s="1568"/>
      <c r="D1648" s="1568"/>
      <c r="E1648" s="1568" t="s">
        <v>2754</v>
      </c>
      <c r="F1648" s="1568"/>
      <c r="G1648" s="1568"/>
      <c r="H1648" s="1568"/>
      <c r="J1648" s="1568" t="s">
        <v>2403</v>
      </c>
      <c r="K1648" s="1568"/>
      <c r="L1648" s="1568"/>
      <c r="M1648" s="1566">
        <v>0</v>
      </c>
      <c r="N1648" s="1566"/>
      <c r="O1648" s="1566"/>
      <c r="P1648" s="1566">
        <v>0</v>
      </c>
      <c r="Q1648" s="1566"/>
      <c r="R1648" s="1566"/>
      <c r="S1648" s="1566">
        <v>328.15</v>
      </c>
      <c r="T1648" s="1566"/>
      <c r="U1648" s="1566"/>
      <c r="V1648" s="1566"/>
      <c r="W1648" s="1566">
        <v>328.15</v>
      </c>
      <c r="X1648" s="1566"/>
      <c r="Y1648" s="1566"/>
      <c r="Z1648" s="1566"/>
      <c r="AA1648" s="1566">
        <v>0</v>
      </c>
      <c r="AB1648" s="1566"/>
      <c r="AC1648" s="1566"/>
      <c r="AD1648" s="1566"/>
      <c r="AE1648" s="1566"/>
      <c r="AF1648" s="1566"/>
      <c r="AG1648" s="1566">
        <v>0</v>
      </c>
      <c r="AH1648" s="1566"/>
      <c r="AI1648" s="1566"/>
      <c r="AJ1648" s="1566"/>
      <c r="AK1648" s="1566"/>
    </row>
    <row r="1649" spans="2:37" ht="9.4" customHeight="1">
      <c r="B1649" s="1568" t="s">
        <v>1326</v>
      </c>
      <c r="C1649" s="1568"/>
      <c r="D1649" s="1568"/>
      <c r="E1649" s="1568" t="s">
        <v>2755</v>
      </c>
      <c r="F1649" s="1568"/>
      <c r="G1649" s="1568"/>
      <c r="H1649" s="1568"/>
      <c r="J1649" s="1568" t="s">
        <v>2405</v>
      </c>
      <c r="K1649" s="1568"/>
      <c r="L1649" s="1568"/>
      <c r="M1649" s="1566">
        <v>0</v>
      </c>
      <c r="N1649" s="1566"/>
      <c r="O1649" s="1566"/>
      <c r="P1649" s="1566">
        <v>0</v>
      </c>
      <c r="Q1649" s="1566"/>
      <c r="R1649" s="1566"/>
      <c r="S1649" s="1566">
        <v>5354.5</v>
      </c>
      <c r="T1649" s="1566"/>
      <c r="U1649" s="1566"/>
      <c r="V1649" s="1566"/>
      <c r="W1649" s="1566">
        <v>5354.5</v>
      </c>
      <c r="X1649" s="1566"/>
      <c r="Y1649" s="1566"/>
      <c r="Z1649" s="1566"/>
      <c r="AA1649" s="1566">
        <v>0</v>
      </c>
      <c r="AB1649" s="1566"/>
      <c r="AC1649" s="1566"/>
      <c r="AD1649" s="1566"/>
      <c r="AE1649" s="1566"/>
      <c r="AF1649" s="1566"/>
      <c r="AG1649" s="1566">
        <v>0</v>
      </c>
      <c r="AH1649" s="1566"/>
      <c r="AI1649" s="1566"/>
      <c r="AJ1649" s="1566"/>
      <c r="AK1649" s="1566"/>
    </row>
    <row r="1650" spans="2:37" ht="9.4" customHeight="1">
      <c r="B1650" s="1568" t="s">
        <v>1326</v>
      </c>
      <c r="C1650" s="1568"/>
      <c r="D1650" s="1568"/>
      <c r="E1650" s="1568" t="s">
        <v>2756</v>
      </c>
      <c r="F1650" s="1568"/>
      <c r="G1650" s="1568"/>
      <c r="H1650" s="1568"/>
      <c r="J1650" s="1568" t="s">
        <v>2407</v>
      </c>
      <c r="K1650" s="1568"/>
      <c r="L1650" s="1568"/>
      <c r="M1650" s="1566">
        <v>0</v>
      </c>
      <c r="N1650" s="1566"/>
      <c r="O1650" s="1566"/>
      <c r="P1650" s="1566">
        <v>0</v>
      </c>
      <c r="Q1650" s="1566"/>
      <c r="R1650" s="1566"/>
      <c r="S1650" s="1566">
        <v>4833.9799999999996</v>
      </c>
      <c r="T1650" s="1566"/>
      <c r="U1650" s="1566"/>
      <c r="V1650" s="1566"/>
      <c r="W1650" s="1566">
        <v>4833.9799999999996</v>
      </c>
      <c r="X1650" s="1566"/>
      <c r="Y1650" s="1566"/>
      <c r="Z1650" s="1566"/>
      <c r="AA1650" s="1566">
        <v>0</v>
      </c>
      <c r="AB1650" s="1566"/>
      <c r="AC1650" s="1566"/>
      <c r="AD1650" s="1566"/>
      <c r="AE1650" s="1566"/>
      <c r="AF1650" s="1566"/>
      <c r="AG1650" s="1566">
        <v>0</v>
      </c>
      <c r="AH1650" s="1566"/>
      <c r="AI1650" s="1566"/>
      <c r="AJ1650" s="1566"/>
      <c r="AK1650" s="1566"/>
    </row>
    <row r="1651" spans="2:37" ht="9.4" customHeight="1">
      <c r="B1651" s="1568" t="s">
        <v>1326</v>
      </c>
      <c r="C1651" s="1568"/>
      <c r="D1651" s="1568"/>
      <c r="E1651" s="1568" t="s">
        <v>2757</v>
      </c>
      <c r="F1651" s="1568"/>
      <c r="G1651" s="1568"/>
      <c r="H1651" s="1568"/>
      <c r="J1651" s="1568" t="s">
        <v>2448</v>
      </c>
      <c r="K1651" s="1568"/>
      <c r="L1651" s="1568"/>
      <c r="M1651" s="1566">
        <v>0</v>
      </c>
      <c r="N1651" s="1566"/>
      <c r="O1651" s="1566"/>
      <c r="P1651" s="1566">
        <v>0</v>
      </c>
      <c r="Q1651" s="1566"/>
      <c r="R1651" s="1566"/>
      <c r="S1651" s="1566">
        <v>260058.8</v>
      </c>
      <c r="T1651" s="1566"/>
      <c r="U1651" s="1566"/>
      <c r="V1651" s="1566"/>
      <c r="W1651" s="1566">
        <v>260058.8</v>
      </c>
      <c r="X1651" s="1566"/>
      <c r="Y1651" s="1566"/>
      <c r="Z1651" s="1566"/>
      <c r="AA1651" s="1566">
        <v>0</v>
      </c>
      <c r="AB1651" s="1566"/>
      <c r="AC1651" s="1566"/>
      <c r="AD1651" s="1566"/>
      <c r="AE1651" s="1566"/>
      <c r="AF1651" s="1566"/>
      <c r="AG1651" s="1566">
        <v>0</v>
      </c>
      <c r="AH1651" s="1566"/>
      <c r="AI1651" s="1566"/>
      <c r="AJ1651" s="1566"/>
      <c r="AK1651" s="1566"/>
    </row>
    <row r="1652" spans="2:37" ht="9.4" customHeight="1">
      <c r="B1652" s="1568" t="s">
        <v>1326</v>
      </c>
      <c r="C1652" s="1568"/>
      <c r="D1652" s="1568"/>
      <c r="E1652" s="1568" t="s">
        <v>6286</v>
      </c>
      <c r="F1652" s="1568"/>
      <c r="G1652" s="1568"/>
      <c r="H1652" s="1568"/>
      <c r="J1652" s="1568" t="s">
        <v>2450</v>
      </c>
      <c r="K1652" s="1568"/>
      <c r="L1652" s="1568"/>
      <c r="M1652" s="1566">
        <v>0</v>
      </c>
      <c r="N1652" s="1566"/>
      <c r="O1652" s="1566"/>
      <c r="P1652" s="1566">
        <v>0</v>
      </c>
      <c r="Q1652" s="1566"/>
      <c r="R1652" s="1566"/>
      <c r="S1652" s="1566">
        <v>12150</v>
      </c>
      <c r="T1652" s="1566"/>
      <c r="U1652" s="1566"/>
      <c r="V1652" s="1566"/>
      <c r="W1652" s="1566">
        <v>12150</v>
      </c>
      <c r="X1652" s="1566"/>
      <c r="Y1652" s="1566"/>
      <c r="Z1652" s="1566"/>
      <c r="AA1652" s="1566">
        <v>0</v>
      </c>
      <c r="AB1652" s="1566"/>
      <c r="AC1652" s="1566"/>
      <c r="AD1652" s="1566"/>
      <c r="AE1652" s="1566"/>
      <c r="AF1652" s="1566"/>
      <c r="AG1652" s="1566">
        <v>0</v>
      </c>
      <c r="AH1652" s="1566"/>
      <c r="AI1652" s="1566"/>
      <c r="AJ1652" s="1566"/>
      <c r="AK1652" s="1566"/>
    </row>
    <row r="1653" spans="2:37" ht="9.4" customHeight="1">
      <c r="B1653" s="1568" t="s">
        <v>1326</v>
      </c>
      <c r="C1653" s="1568"/>
      <c r="D1653" s="1568"/>
      <c r="E1653" s="1568" t="s">
        <v>6796</v>
      </c>
      <c r="F1653" s="1568"/>
      <c r="G1653" s="1568"/>
      <c r="H1653" s="1568"/>
      <c r="J1653" s="1568" t="s">
        <v>2448</v>
      </c>
      <c r="K1653" s="1568"/>
      <c r="L1653" s="1568"/>
      <c r="M1653" s="1566">
        <v>0</v>
      </c>
      <c r="N1653" s="1566"/>
      <c r="O1653" s="1566"/>
      <c r="P1653" s="1566">
        <v>0</v>
      </c>
      <c r="Q1653" s="1566"/>
      <c r="R1653" s="1566"/>
      <c r="S1653" s="1566">
        <v>85841</v>
      </c>
      <c r="T1653" s="1566"/>
      <c r="U1653" s="1566"/>
      <c r="V1653" s="1566"/>
      <c r="W1653" s="1566">
        <v>85841</v>
      </c>
      <c r="X1653" s="1566"/>
      <c r="Y1653" s="1566"/>
      <c r="Z1653" s="1566"/>
      <c r="AA1653" s="1566">
        <v>0</v>
      </c>
      <c r="AB1653" s="1566"/>
      <c r="AC1653" s="1566"/>
      <c r="AD1653" s="1566"/>
      <c r="AE1653" s="1566"/>
      <c r="AF1653" s="1566"/>
      <c r="AG1653" s="1566">
        <v>0</v>
      </c>
      <c r="AH1653" s="1566"/>
      <c r="AI1653" s="1566"/>
      <c r="AJ1653" s="1566"/>
      <c r="AK1653" s="1566"/>
    </row>
    <row r="1654" spans="2:37" ht="9.4" customHeight="1">
      <c r="B1654" s="1568" t="s">
        <v>1326</v>
      </c>
      <c r="C1654" s="1568"/>
      <c r="D1654" s="1568"/>
      <c r="E1654" s="1568" t="s">
        <v>6797</v>
      </c>
      <c r="F1654" s="1568"/>
      <c r="G1654" s="1568"/>
      <c r="H1654" s="1568"/>
      <c r="J1654" s="1568" t="s">
        <v>2448</v>
      </c>
      <c r="K1654" s="1568"/>
      <c r="L1654" s="1568"/>
      <c r="M1654" s="1566">
        <v>0</v>
      </c>
      <c r="N1654" s="1566"/>
      <c r="O1654" s="1566"/>
      <c r="P1654" s="1566">
        <v>0</v>
      </c>
      <c r="Q1654" s="1566"/>
      <c r="R1654" s="1566"/>
      <c r="S1654" s="1566">
        <v>958</v>
      </c>
      <c r="T1654" s="1566"/>
      <c r="U1654" s="1566"/>
      <c r="V1654" s="1566"/>
      <c r="W1654" s="1566">
        <v>958</v>
      </c>
      <c r="X1654" s="1566"/>
      <c r="Y1654" s="1566"/>
      <c r="Z1654" s="1566"/>
      <c r="AA1654" s="1566">
        <v>0</v>
      </c>
      <c r="AB1654" s="1566"/>
      <c r="AC1654" s="1566"/>
      <c r="AD1654" s="1566"/>
      <c r="AE1654" s="1566"/>
      <c r="AF1654" s="1566"/>
      <c r="AG1654" s="1566">
        <v>0</v>
      </c>
      <c r="AH1654" s="1566"/>
      <c r="AI1654" s="1566"/>
      <c r="AJ1654" s="1566"/>
      <c r="AK1654" s="1566"/>
    </row>
    <row r="1655" spans="2:37" ht="9.4" customHeight="1">
      <c r="B1655" s="1568" t="s">
        <v>1326</v>
      </c>
      <c r="C1655" s="1568"/>
      <c r="D1655" s="1568"/>
      <c r="E1655" s="1568" t="s">
        <v>6287</v>
      </c>
      <c r="F1655" s="1568"/>
      <c r="G1655" s="1568"/>
      <c r="H1655" s="1568"/>
      <c r="J1655" s="1568" t="s">
        <v>2450</v>
      </c>
      <c r="K1655" s="1568"/>
      <c r="L1655" s="1568"/>
      <c r="M1655" s="1566">
        <v>0</v>
      </c>
      <c r="N1655" s="1566"/>
      <c r="O1655" s="1566"/>
      <c r="P1655" s="1566">
        <v>0</v>
      </c>
      <c r="Q1655" s="1566"/>
      <c r="R1655" s="1566"/>
      <c r="S1655" s="1566">
        <v>0</v>
      </c>
      <c r="T1655" s="1566"/>
      <c r="U1655" s="1566"/>
      <c r="V1655" s="1566"/>
      <c r="W1655" s="1566">
        <v>0</v>
      </c>
      <c r="X1655" s="1566"/>
      <c r="Y1655" s="1566"/>
      <c r="Z1655" s="1566"/>
      <c r="AA1655" s="1566">
        <v>0</v>
      </c>
      <c r="AB1655" s="1566"/>
      <c r="AC1655" s="1566"/>
      <c r="AD1655" s="1566"/>
      <c r="AE1655" s="1566"/>
      <c r="AF1655" s="1566"/>
      <c r="AG1655" s="1566">
        <v>0</v>
      </c>
      <c r="AH1655" s="1566"/>
      <c r="AI1655" s="1566"/>
      <c r="AJ1655" s="1566"/>
      <c r="AK1655" s="1566"/>
    </row>
    <row r="1656" spans="2:37" ht="9.4" customHeight="1">
      <c r="B1656" s="1568" t="s">
        <v>1326</v>
      </c>
      <c r="C1656" s="1568"/>
      <c r="D1656" s="1568"/>
      <c r="E1656" s="1568" t="s">
        <v>6798</v>
      </c>
      <c r="F1656" s="1568"/>
      <c r="G1656" s="1568"/>
      <c r="H1656" s="1568"/>
      <c r="J1656" s="1568" t="s">
        <v>2448</v>
      </c>
      <c r="K1656" s="1568"/>
      <c r="L1656" s="1568"/>
      <c r="M1656" s="1566">
        <v>0</v>
      </c>
      <c r="N1656" s="1566"/>
      <c r="O1656" s="1566"/>
      <c r="P1656" s="1566">
        <v>0</v>
      </c>
      <c r="Q1656" s="1566"/>
      <c r="R1656" s="1566"/>
      <c r="S1656" s="1566">
        <v>3323</v>
      </c>
      <c r="T1656" s="1566"/>
      <c r="U1656" s="1566"/>
      <c r="V1656" s="1566"/>
      <c r="W1656" s="1566">
        <v>3323</v>
      </c>
      <c r="X1656" s="1566"/>
      <c r="Y1656" s="1566"/>
      <c r="Z1656" s="1566"/>
      <c r="AA1656" s="1566">
        <v>0</v>
      </c>
      <c r="AB1656" s="1566"/>
      <c r="AC1656" s="1566"/>
      <c r="AD1656" s="1566"/>
      <c r="AE1656" s="1566"/>
      <c r="AF1656" s="1566"/>
      <c r="AG1656" s="1566">
        <v>0</v>
      </c>
      <c r="AH1656" s="1566"/>
      <c r="AI1656" s="1566"/>
      <c r="AJ1656" s="1566"/>
      <c r="AK1656" s="1566"/>
    </row>
    <row r="1657" spans="2:37" ht="9.4" customHeight="1">
      <c r="B1657" s="1568" t="s">
        <v>1326</v>
      </c>
      <c r="C1657" s="1568"/>
      <c r="D1657" s="1568"/>
      <c r="E1657" s="1568" t="s">
        <v>6520</v>
      </c>
      <c r="F1657" s="1568"/>
      <c r="G1657" s="1568"/>
      <c r="H1657" s="1568"/>
      <c r="J1657" s="1568" t="s">
        <v>2450</v>
      </c>
      <c r="K1657" s="1568"/>
      <c r="L1657" s="1568"/>
      <c r="M1657" s="1566">
        <v>0</v>
      </c>
      <c r="N1657" s="1566"/>
      <c r="O1657" s="1566"/>
      <c r="P1657" s="1566">
        <v>0</v>
      </c>
      <c r="Q1657" s="1566"/>
      <c r="R1657" s="1566"/>
      <c r="S1657" s="1566">
        <v>56000</v>
      </c>
      <c r="T1657" s="1566"/>
      <c r="U1657" s="1566"/>
      <c r="V1657" s="1566"/>
      <c r="W1657" s="1566">
        <v>56000</v>
      </c>
      <c r="X1657" s="1566"/>
      <c r="Y1657" s="1566"/>
      <c r="Z1657" s="1566"/>
      <c r="AA1657" s="1566">
        <v>0</v>
      </c>
      <c r="AB1657" s="1566"/>
      <c r="AC1657" s="1566"/>
      <c r="AD1657" s="1566"/>
      <c r="AE1657" s="1566"/>
      <c r="AF1657" s="1566"/>
      <c r="AG1657" s="1566">
        <v>0</v>
      </c>
      <c r="AH1657" s="1566"/>
      <c r="AI1657" s="1566"/>
      <c r="AJ1657" s="1566"/>
      <c r="AK1657" s="1566"/>
    </row>
    <row r="1658" spans="2:37" ht="9.4" customHeight="1">
      <c r="B1658" s="1568" t="s">
        <v>1326</v>
      </c>
      <c r="C1658" s="1568"/>
      <c r="D1658" s="1568"/>
      <c r="E1658" s="1568" t="s">
        <v>2758</v>
      </c>
      <c r="F1658" s="1568"/>
      <c r="G1658" s="1568"/>
      <c r="H1658" s="1568"/>
      <c r="J1658" s="1568" t="s">
        <v>2392</v>
      </c>
      <c r="K1658" s="1568"/>
      <c r="L1658" s="1568"/>
      <c r="M1658" s="1566">
        <v>0</v>
      </c>
      <c r="N1658" s="1566"/>
      <c r="O1658" s="1566"/>
      <c r="P1658" s="1566">
        <v>0</v>
      </c>
      <c r="Q1658" s="1566"/>
      <c r="R1658" s="1566"/>
      <c r="S1658" s="1566">
        <v>333184.2</v>
      </c>
      <c r="T1658" s="1566"/>
      <c r="U1658" s="1566"/>
      <c r="V1658" s="1566"/>
      <c r="W1658" s="1566">
        <v>333184.2</v>
      </c>
      <c r="X1658" s="1566"/>
      <c r="Y1658" s="1566"/>
      <c r="Z1658" s="1566"/>
      <c r="AA1658" s="1566">
        <v>0</v>
      </c>
      <c r="AB1658" s="1566"/>
      <c r="AC1658" s="1566"/>
      <c r="AD1658" s="1566"/>
      <c r="AE1658" s="1566"/>
      <c r="AF1658" s="1566"/>
      <c r="AG1658" s="1566">
        <v>0</v>
      </c>
      <c r="AH1658" s="1566"/>
      <c r="AI1658" s="1566"/>
      <c r="AJ1658" s="1566"/>
      <c r="AK1658" s="1566"/>
    </row>
    <row r="1659" spans="2:37" ht="9.4" customHeight="1">
      <c r="B1659" s="1568" t="s">
        <v>1326</v>
      </c>
      <c r="C1659" s="1568"/>
      <c r="D1659" s="1568"/>
      <c r="E1659" s="1568" t="s">
        <v>2759</v>
      </c>
      <c r="F1659" s="1568"/>
      <c r="G1659" s="1568"/>
      <c r="H1659" s="1568"/>
      <c r="J1659" s="1568" t="s">
        <v>2401</v>
      </c>
      <c r="K1659" s="1568"/>
      <c r="L1659" s="1568"/>
      <c r="M1659" s="1566">
        <v>0</v>
      </c>
      <c r="N1659" s="1566"/>
      <c r="O1659" s="1566"/>
      <c r="P1659" s="1566">
        <v>0</v>
      </c>
      <c r="Q1659" s="1566"/>
      <c r="R1659" s="1566"/>
      <c r="S1659" s="1566">
        <v>56251.74</v>
      </c>
      <c r="T1659" s="1566"/>
      <c r="U1659" s="1566"/>
      <c r="V1659" s="1566"/>
      <c r="W1659" s="1566">
        <v>56251.74</v>
      </c>
      <c r="X1659" s="1566"/>
      <c r="Y1659" s="1566"/>
      <c r="Z1659" s="1566"/>
      <c r="AA1659" s="1566">
        <v>0</v>
      </c>
      <c r="AB1659" s="1566"/>
      <c r="AC1659" s="1566"/>
      <c r="AD1659" s="1566"/>
      <c r="AE1659" s="1566"/>
      <c r="AF1659" s="1566"/>
      <c r="AG1659" s="1566">
        <v>0</v>
      </c>
      <c r="AH1659" s="1566"/>
      <c r="AI1659" s="1566"/>
      <c r="AJ1659" s="1566"/>
      <c r="AK1659" s="1566"/>
    </row>
    <row r="1660" spans="2:37" ht="9.4" customHeight="1">
      <c r="B1660" s="1568" t="s">
        <v>1326</v>
      </c>
      <c r="C1660" s="1568"/>
      <c r="D1660" s="1568"/>
      <c r="E1660" s="1568" t="s">
        <v>2760</v>
      </c>
      <c r="F1660" s="1568"/>
      <c r="G1660" s="1568"/>
      <c r="H1660" s="1568"/>
      <c r="J1660" s="1568" t="s">
        <v>2403</v>
      </c>
      <c r="K1660" s="1568"/>
      <c r="L1660" s="1568"/>
      <c r="M1660" s="1566">
        <v>0</v>
      </c>
      <c r="N1660" s="1566"/>
      <c r="O1660" s="1566"/>
      <c r="P1660" s="1566">
        <v>0</v>
      </c>
      <c r="Q1660" s="1566"/>
      <c r="R1660" s="1566"/>
      <c r="S1660" s="1566">
        <v>2461.12</v>
      </c>
      <c r="T1660" s="1566"/>
      <c r="U1660" s="1566"/>
      <c r="V1660" s="1566"/>
      <c r="W1660" s="1566">
        <v>2461.12</v>
      </c>
      <c r="X1660" s="1566"/>
      <c r="Y1660" s="1566"/>
      <c r="Z1660" s="1566"/>
      <c r="AA1660" s="1566">
        <v>0</v>
      </c>
      <c r="AB1660" s="1566"/>
      <c r="AC1660" s="1566"/>
      <c r="AD1660" s="1566"/>
      <c r="AE1660" s="1566"/>
      <c r="AF1660" s="1566"/>
      <c r="AG1660" s="1566">
        <v>0</v>
      </c>
      <c r="AH1660" s="1566"/>
      <c r="AI1660" s="1566"/>
      <c r="AJ1660" s="1566"/>
      <c r="AK1660" s="1566"/>
    </row>
    <row r="1661" spans="2:37" ht="9.4" customHeight="1">
      <c r="B1661" s="1568" t="s">
        <v>1326</v>
      </c>
      <c r="C1661" s="1568"/>
      <c r="D1661" s="1568"/>
      <c r="E1661" s="1568" t="s">
        <v>2761</v>
      </c>
      <c r="F1661" s="1568"/>
      <c r="G1661" s="1568"/>
      <c r="H1661" s="1568"/>
      <c r="J1661" s="1568" t="s">
        <v>2405</v>
      </c>
      <c r="K1661" s="1568"/>
      <c r="L1661" s="1568"/>
      <c r="M1661" s="1566">
        <v>0</v>
      </c>
      <c r="N1661" s="1566"/>
      <c r="O1661" s="1566"/>
      <c r="P1661" s="1566">
        <v>0</v>
      </c>
      <c r="Q1661" s="1566"/>
      <c r="R1661" s="1566"/>
      <c r="S1661" s="1566">
        <v>27961.439999999999</v>
      </c>
      <c r="T1661" s="1566"/>
      <c r="U1661" s="1566"/>
      <c r="V1661" s="1566"/>
      <c r="W1661" s="1566">
        <v>27961.439999999999</v>
      </c>
      <c r="X1661" s="1566"/>
      <c r="Y1661" s="1566"/>
      <c r="Z1661" s="1566"/>
      <c r="AA1661" s="1566">
        <v>0</v>
      </c>
      <c r="AB1661" s="1566"/>
      <c r="AC1661" s="1566"/>
      <c r="AD1661" s="1566"/>
      <c r="AE1661" s="1566"/>
      <c r="AF1661" s="1566"/>
      <c r="AG1661" s="1566">
        <v>0</v>
      </c>
      <c r="AH1661" s="1566"/>
      <c r="AI1661" s="1566"/>
      <c r="AJ1661" s="1566"/>
      <c r="AK1661" s="1566"/>
    </row>
    <row r="1662" spans="2:37" ht="9.4" customHeight="1">
      <c r="B1662" s="1568" t="s">
        <v>1326</v>
      </c>
      <c r="C1662" s="1568"/>
      <c r="D1662" s="1568"/>
      <c r="E1662" s="1568" t="s">
        <v>2762</v>
      </c>
      <c r="F1662" s="1568"/>
      <c r="G1662" s="1568"/>
      <c r="H1662" s="1568"/>
      <c r="J1662" s="1568" t="s">
        <v>2407</v>
      </c>
      <c r="K1662" s="1568"/>
      <c r="L1662" s="1568"/>
      <c r="M1662" s="1566">
        <v>0</v>
      </c>
      <c r="N1662" s="1566"/>
      <c r="O1662" s="1566"/>
      <c r="P1662" s="1566">
        <v>0</v>
      </c>
      <c r="Q1662" s="1566"/>
      <c r="R1662" s="1566"/>
      <c r="S1662" s="1566">
        <v>21508.799999999999</v>
      </c>
      <c r="T1662" s="1566"/>
      <c r="U1662" s="1566"/>
      <c r="V1662" s="1566"/>
      <c r="W1662" s="1566">
        <v>21508.799999999999</v>
      </c>
      <c r="X1662" s="1566"/>
      <c r="Y1662" s="1566"/>
      <c r="Z1662" s="1566"/>
      <c r="AA1662" s="1566">
        <v>0</v>
      </c>
      <c r="AB1662" s="1566"/>
      <c r="AC1662" s="1566"/>
      <c r="AD1662" s="1566"/>
      <c r="AE1662" s="1566"/>
      <c r="AF1662" s="1566"/>
      <c r="AG1662" s="1566">
        <v>0</v>
      </c>
      <c r="AH1662" s="1566"/>
      <c r="AI1662" s="1566"/>
      <c r="AJ1662" s="1566"/>
      <c r="AK1662" s="1566"/>
    </row>
    <row r="1663" spans="2:37" ht="9.4" customHeight="1">
      <c r="B1663" s="1568" t="s">
        <v>1326</v>
      </c>
      <c r="C1663" s="1568"/>
      <c r="D1663" s="1568"/>
      <c r="E1663" s="1568" t="s">
        <v>3346</v>
      </c>
      <c r="F1663" s="1568"/>
      <c r="G1663" s="1568"/>
      <c r="H1663" s="1568"/>
      <c r="J1663" s="1568" t="s">
        <v>2467</v>
      </c>
      <c r="K1663" s="1568"/>
      <c r="L1663" s="1568"/>
      <c r="M1663" s="1566">
        <v>0</v>
      </c>
      <c r="N1663" s="1566"/>
      <c r="O1663" s="1566"/>
      <c r="P1663" s="1566">
        <v>0</v>
      </c>
      <c r="Q1663" s="1566"/>
      <c r="R1663" s="1566"/>
      <c r="S1663" s="1566">
        <v>1637.94</v>
      </c>
      <c r="T1663" s="1566"/>
      <c r="U1663" s="1566"/>
      <c r="V1663" s="1566"/>
      <c r="W1663" s="1566">
        <v>1637.94</v>
      </c>
      <c r="X1663" s="1566"/>
      <c r="Y1663" s="1566"/>
      <c r="Z1663" s="1566"/>
      <c r="AA1663" s="1566">
        <v>0</v>
      </c>
      <c r="AB1663" s="1566"/>
      <c r="AC1663" s="1566"/>
      <c r="AD1663" s="1566"/>
      <c r="AE1663" s="1566"/>
      <c r="AF1663" s="1566"/>
      <c r="AG1663" s="1566">
        <v>0</v>
      </c>
      <c r="AH1663" s="1566"/>
      <c r="AI1663" s="1566"/>
      <c r="AJ1663" s="1566"/>
      <c r="AK1663" s="1566"/>
    </row>
    <row r="1664" spans="2:37" ht="9.4" customHeight="1">
      <c r="B1664" s="1568" t="s">
        <v>1326</v>
      </c>
      <c r="C1664" s="1568"/>
      <c r="D1664" s="1568"/>
      <c r="E1664" s="1568" t="s">
        <v>6288</v>
      </c>
      <c r="F1664" s="1568"/>
      <c r="G1664" s="1568"/>
      <c r="H1664" s="1568"/>
      <c r="J1664" s="1568" t="s">
        <v>2469</v>
      </c>
      <c r="K1664" s="1568"/>
      <c r="L1664" s="1568"/>
      <c r="M1664" s="1566">
        <v>0</v>
      </c>
      <c r="N1664" s="1566"/>
      <c r="O1664" s="1566"/>
      <c r="P1664" s="1566">
        <v>0</v>
      </c>
      <c r="Q1664" s="1566"/>
      <c r="R1664" s="1566"/>
      <c r="S1664" s="1566">
        <v>0</v>
      </c>
      <c r="T1664" s="1566"/>
      <c r="U1664" s="1566"/>
      <c r="V1664" s="1566"/>
      <c r="W1664" s="1566">
        <v>0</v>
      </c>
      <c r="X1664" s="1566"/>
      <c r="Y1664" s="1566"/>
      <c r="Z1664" s="1566"/>
      <c r="AA1664" s="1566">
        <v>0</v>
      </c>
      <c r="AB1664" s="1566"/>
      <c r="AC1664" s="1566"/>
      <c r="AD1664" s="1566"/>
      <c r="AE1664" s="1566"/>
      <c r="AF1664" s="1566"/>
      <c r="AG1664" s="1566">
        <v>0</v>
      </c>
      <c r="AH1664" s="1566"/>
      <c r="AI1664" s="1566"/>
      <c r="AJ1664" s="1566"/>
      <c r="AK1664" s="1566"/>
    </row>
    <row r="1665" spans="1:38" ht="9.4" customHeight="1">
      <c r="B1665" s="1568" t="s">
        <v>1326</v>
      </c>
      <c r="C1665" s="1568"/>
      <c r="D1665" s="1568"/>
      <c r="E1665" s="1568" t="s">
        <v>6289</v>
      </c>
      <c r="F1665" s="1568"/>
      <c r="G1665" s="1568"/>
      <c r="H1665" s="1568"/>
      <c r="J1665" s="1568" t="s">
        <v>2471</v>
      </c>
      <c r="K1665" s="1568"/>
      <c r="L1665" s="1568"/>
      <c r="M1665" s="1566">
        <v>0</v>
      </c>
      <c r="N1665" s="1566"/>
      <c r="O1665" s="1566"/>
      <c r="P1665" s="1566">
        <v>0</v>
      </c>
      <c r="Q1665" s="1566"/>
      <c r="R1665" s="1566"/>
      <c r="S1665" s="1566">
        <v>5211.1000000000004</v>
      </c>
      <c r="T1665" s="1566"/>
      <c r="U1665" s="1566"/>
      <c r="V1665" s="1566"/>
      <c r="W1665" s="1566">
        <v>5211.1000000000004</v>
      </c>
      <c r="X1665" s="1566"/>
      <c r="Y1665" s="1566"/>
      <c r="Z1665" s="1566"/>
      <c r="AA1665" s="1566">
        <v>0</v>
      </c>
      <c r="AB1665" s="1566"/>
      <c r="AC1665" s="1566"/>
      <c r="AD1665" s="1566"/>
      <c r="AE1665" s="1566"/>
      <c r="AF1665" s="1566"/>
      <c r="AG1665" s="1566">
        <v>0</v>
      </c>
      <c r="AH1665" s="1566"/>
      <c r="AI1665" s="1566"/>
      <c r="AJ1665" s="1566"/>
      <c r="AK1665" s="1566"/>
    </row>
    <row r="1666" spans="1:38" ht="9.4" customHeight="1">
      <c r="B1666" s="1568" t="s">
        <v>1326</v>
      </c>
      <c r="C1666" s="1568"/>
      <c r="D1666" s="1568"/>
      <c r="E1666" s="1568" t="s">
        <v>3347</v>
      </c>
      <c r="F1666" s="1568"/>
      <c r="G1666" s="1568"/>
      <c r="H1666" s="1568"/>
      <c r="J1666" s="1568" t="s">
        <v>2473</v>
      </c>
      <c r="K1666" s="1568"/>
      <c r="L1666" s="1568"/>
      <c r="M1666" s="1566">
        <v>0</v>
      </c>
      <c r="N1666" s="1566"/>
      <c r="O1666" s="1566"/>
      <c r="P1666" s="1566">
        <v>0</v>
      </c>
      <c r="Q1666" s="1566"/>
      <c r="R1666" s="1566"/>
      <c r="S1666" s="1566">
        <v>4514.6000000000004</v>
      </c>
      <c r="T1666" s="1566"/>
      <c r="U1666" s="1566"/>
      <c r="V1666" s="1566"/>
      <c r="W1666" s="1566">
        <v>4514.6000000000004</v>
      </c>
      <c r="X1666" s="1566"/>
      <c r="Y1666" s="1566"/>
      <c r="Z1666" s="1566"/>
      <c r="AA1666" s="1566">
        <v>0</v>
      </c>
      <c r="AB1666" s="1566"/>
      <c r="AC1666" s="1566"/>
      <c r="AD1666" s="1566"/>
      <c r="AE1666" s="1566"/>
      <c r="AF1666" s="1566"/>
      <c r="AG1666" s="1566">
        <v>0</v>
      </c>
      <c r="AH1666" s="1566"/>
      <c r="AI1666" s="1566"/>
      <c r="AJ1666" s="1566"/>
      <c r="AK1666" s="1566"/>
    </row>
    <row r="1667" spans="1:38" ht="9.4" customHeight="1">
      <c r="B1667" s="1568" t="s">
        <v>1326</v>
      </c>
      <c r="C1667" s="1568"/>
      <c r="D1667" s="1568"/>
      <c r="E1667" s="1568" t="s">
        <v>2763</v>
      </c>
      <c r="F1667" s="1568"/>
      <c r="G1667" s="1568"/>
      <c r="H1667" s="1568"/>
      <c r="J1667" s="1568" t="s">
        <v>2421</v>
      </c>
      <c r="K1667" s="1568"/>
      <c r="L1667" s="1568"/>
      <c r="M1667" s="1566">
        <v>0</v>
      </c>
      <c r="N1667" s="1566"/>
      <c r="O1667" s="1566"/>
      <c r="P1667" s="1566">
        <v>0</v>
      </c>
      <c r="Q1667" s="1566"/>
      <c r="R1667" s="1566"/>
      <c r="S1667" s="1566">
        <v>1926.52</v>
      </c>
      <c r="T1667" s="1566"/>
      <c r="U1667" s="1566"/>
      <c r="V1667" s="1566"/>
      <c r="W1667" s="1566">
        <v>1926.52</v>
      </c>
      <c r="X1667" s="1566"/>
      <c r="Y1667" s="1566"/>
      <c r="Z1667" s="1566"/>
      <c r="AA1667" s="1566">
        <v>0</v>
      </c>
      <c r="AB1667" s="1566"/>
      <c r="AC1667" s="1566"/>
      <c r="AD1667" s="1566"/>
      <c r="AE1667" s="1566"/>
      <c r="AF1667" s="1566"/>
      <c r="AG1667" s="1566">
        <v>0</v>
      </c>
      <c r="AH1667" s="1566"/>
      <c r="AI1667" s="1566"/>
      <c r="AJ1667" s="1566"/>
      <c r="AK1667" s="1566"/>
    </row>
    <row r="1668" spans="1:38" ht="9.4" customHeight="1">
      <c r="B1668" s="1568" t="s">
        <v>1326</v>
      </c>
      <c r="C1668" s="1568"/>
      <c r="D1668" s="1568"/>
      <c r="E1668" s="1568" t="s">
        <v>2764</v>
      </c>
      <c r="F1668" s="1568"/>
      <c r="G1668" s="1568"/>
      <c r="H1668" s="1568"/>
      <c r="J1668" s="1568" t="s">
        <v>2423</v>
      </c>
      <c r="K1668" s="1568"/>
      <c r="L1668" s="1568"/>
      <c r="M1668" s="1566">
        <v>0</v>
      </c>
      <c r="N1668" s="1566"/>
      <c r="O1668" s="1566"/>
      <c r="P1668" s="1566">
        <v>0</v>
      </c>
      <c r="Q1668" s="1566"/>
      <c r="R1668" s="1566"/>
      <c r="S1668" s="1566">
        <v>23993.73</v>
      </c>
      <c r="T1668" s="1566"/>
      <c r="U1668" s="1566"/>
      <c r="V1668" s="1566"/>
      <c r="W1668" s="1566">
        <v>23993.73</v>
      </c>
      <c r="X1668" s="1566"/>
      <c r="Y1668" s="1566"/>
      <c r="Z1668" s="1566"/>
      <c r="AA1668" s="1566">
        <v>0</v>
      </c>
      <c r="AB1668" s="1566"/>
      <c r="AC1668" s="1566"/>
      <c r="AD1668" s="1566"/>
      <c r="AE1668" s="1566"/>
      <c r="AF1668" s="1566"/>
      <c r="AG1668" s="1566">
        <v>0</v>
      </c>
      <c r="AH1668" s="1566"/>
      <c r="AI1668" s="1566"/>
      <c r="AJ1668" s="1566"/>
      <c r="AK1668" s="1566"/>
    </row>
    <row r="1669" spans="1:38" ht="9.4" customHeight="1">
      <c r="B1669" s="1568" t="s">
        <v>1326</v>
      </c>
      <c r="C1669" s="1568"/>
      <c r="D1669" s="1568"/>
      <c r="E1669" s="1568" t="s">
        <v>6290</v>
      </c>
      <c r="F1669" s="1568"/>
      <c r="G1669" s="1568"/>
      <c r="H1669" s="1568"/>
      <c r="J1669" s="1568" t="s">
        <v>2479</v>
      </c>
      <c r="K1669" s="1568"/>
      <c r="L1669" s="1568"/>
      <c r="M1669" s="1566">
        <v>0</v>
      </c>
      <c r="N1669" s="1566"/>
      <c r="O1669" s="1566"/>
      <c r="P1669" s="1566">
        <v>0</v>
      </c>
      <c r="Q1669" s="1566"/>
      <c r="R1669" s="1566"/>
      <c r="S1669" s="1566">
        <v>1407.75</v>
      </c>
      <c r="T1669" s="1566"/>
      <c r="U1669" s="1566"/>
      <c r="V1669" s="1566"/>
      <c r="W1669" s="1566">
        <v>1407.75</v>
      </c>
      <c r="X1669" s="1566"/>
      <c r="Y1669" s="1566"/>
      <c r="Z1669" s="1566"/>
      <c r="AA1669" s="1566">
        <v>0</v>
      </c>
      <c r="AB1669" s="1566"/>
      <c r="AC1669" s="1566"/>
      <c r="AD1669" s="1566"/>
      <c r="AE1669" s="1566"/>
      <c r="AF1669" s="1566"/>
      <c r="AG1669" s="1566">
        <v>0</v>
      </c>
      <c r="AH1669" s="1566"/>
      <c r="AI1669" s="1566"/>
      <c r="AJ1669" s="1566"/>
      <c r="AK1669" s="1566"/>
    </row>
    <row r="1670" spans="1:38" ht="9.4" customHeight="1">
      <c r="B1670" s="1568" t="s">
        <v>1326</v>
      </c>
      <c r="C1670" s="1568"/>
      <c r="D1670" s="1568"/>
      <c r="E1670" s="1568" t="s">
        <v>3348</v>
      </c>
      <c r="F1670" s="1568"/>
      <c r="G1670" s="1568"/>
      <c r="H1670" s="1568"/>
      <c r="J1670" s="1568" t="s">
        <v>2481</v>
      </c>
      <c r="K1670" s="1568"/>
      <c r="L1670" s="1568"/>
      <c r="M1670" s="1566">
        <v>0</v>
      </c>
      <c r="N1670" s="1566"/>
      <c r="O1670" s="1566"/>
      <c r="P1670" s="1566">
        <v>0</v>
      </c>
      <c r="Q1670" s="1566"/>
      <c r="R1670" s="1566"/>
      <c r="S1670" s="1566">
        <v>24776.53</v>
      </c>
      <c r="T1670" s="1566"/>
      <c r="U1670" s="1566"/>
      <c r="V1670" s="1566"/>
      <c r="W1670" s="1566">
        <v>24776.53</v>
      </c>
      <c r="X1670" s="1566"/>
      <c r="Y1670" s="1566"/>
      <c r="Z1670" s="1566"/>
      <c r="AA1670" s="1566">
        <v>0</v>
      </c>
      <c r="AB1670" s="1566"/>
      <c r="AC1670" s="1566"/>
      <c r="AD1670" s="1566"/>
      <c r="AE1670" s="1566"/>
      <c r="AF1670" s="1566"/>
      <c r="AG1670" s="1566">
        <v>0</v>
      </c>
      <c r="AH1670" s="1566"/>
      <c r="AI1670" s="1566"/>
      <c r="AJ1670" s="1566"/>
      <c r="AK1670" s="1566"/>
    </row>
    <row r="1671" spans="1:38" ht="9.4" customHeight="1">
      <c r="B1671" s="1568" t="s">
        <v>1326</v>
      </c>
      <c r="C1671" s="1568"/>
      <c r="D1671" s="1568"/>
      <c r="E1671" s="1568" t="s">
        <v>4085</v>
      </c>
      <c r="F1671" s="1568"/>
      <c r="G1671" s="1568"/>
      <c r="H1671" s="1568"/>
      <c r="J1671" s="1568" t="s">
        <v>2483</v>
      </c>
      <c r="K1671" s="1568"/>
      <c r="L1671" s="1568"/>
      <c r="M1671" s="1566">
        <v>0</v>
      </c>
      <c r="N1671" s="1566"/>
      <c r="O1671" s="1566"/>
      <c r="P1671" s="1566">
        <v>0</v>
      </c>
      <c r="Q1671" s="1566"/>
      <c r="R1671" s="1566"/>
      <c r="S1671" s="1566">
        <v>263.61</v>
      </c>
      <c r="T1671" s="1566"/>
      <c r="U1671" s="1566"/>
      <c r="V1671" s="1566"/>
      <c r="W1671" s="1566">
        <v>263.61</v>
      </c>
      <c r="X1671" s="1566"/>
      <c r="Y1671" s="1566"/>
      <c r="Z1671" s="1566"/>
      <c r="AA1671" s="1566">
        <v>0</v>
      </c>
      <c r="AB1671" s="1566"/>
      <c r="AC1671" s="1566"/>
      <c r="AD1671" s="1566"/>
      <c r="AE1671" s="1566"/>
      <c r="AF1671" s="1566"/>
      <c r="AG1671" s="1566">
        <v>0</v>
      </c>
      <c r="AH1671" s="1566"/>
      <c r="AI1671" s="1566"/>
      <c r="AJ1671" s="1566"/>
      <c r="AK1671" s="1566"/>
    </row>
    <row r="1672" spans="1:38" ht="9.6" customHeight="1"/>
    <row r="1673" spans="1:38" ht="14.1" customHeight="1">
      <c r="AG1673" s="1565" t="s">
        <v>2871</v>
      </c>
      <c r="AH1673" s="1565"/>
      <c r="AI1673" s="1565"/>
      <c r="AJ1673" s="1565"/>
      <c r="AK1673" s="1565"/>
      <c r="AL1673" s="1565"/>
    </row>
    <row r="1674" spans="1:38" ht="7.15" customHeight="1">
      <c r="D1674" s="1578" t="s">
        <v>2992</v>
      </c>
      <c r="E1674" s="1578"/>
      <c r="F1674" s="1578"/>
      <c r="G1674" s="1578"/>
      <c r="H1674" s="1578"/>
      <c r="I1674" s="1578"/>
      <c r="J1674" s="1578"/>
      <c r="K1674" s="1578"/>
      <c r="L1674" s="1578"/>
      <c r="M1674" s="1578"/>
      <c r="N1674" s="1578"/>
      <c r="O1674" s="1578"/>
      <c r="P1674" s="1578"/>
      <c r="Q1674" s="1578"/>
      <c r="R1674" s="1578"/>
      <c r="S1674" s="1578"/>
      <c r="T1674" s="1578"/>
      <c r="U1674" s="1578"/>
      <c r="V1674" s="1578"/>
      <c r="W1674" s="1578"/>
      <c r="X1674" s="1578"/>
      <c r="Y1674" s="1578"/>
      <c r="Z1674" s="1578"/>
      <c r="AA1674" s="1578"/>
      <c r="AB1674" s="1578"/>
      <c r="AC1674" s="1578"/>
      <c r="AD1674" s="1578"/>
      <c r="AE1674" s="1578"/>
      <c r="AF1674" s="1578"/>
      <c r="AG1674" s="1578"/>
      <c r="AH1674" s="1578"/>
    </row>
    <row r="1675" spans="1:38" ht="9.6" customHeight="1">
      <c r="A1675" s="1579"/>
      <c r="B1675" s="1579"/>
      <c r="C1675" s="1579"/>
      <c r="D1675" s="1579"/>
      <c r="E1675" s="1579"/>
      <c r="F1675" s="1579"/>
      <c r="G1675" s="1579"/>
      <c r="H1675" s="1579"/>
      <c r="I1675" s="1579"/>
      <c r="J1675" s="1578"/>
      <c r="K1675" s="1578"/>
      <c r="L1675" s="1578"/>
      <c r="M1675" s="1578"/>
      <c r="N1675" s="1578"/>
      <c r="O1675" s="1578"/>
      <c r="P1675" s="1578"/>
      <c r="Q1675" s="1578"/>
      <c r="R1675" s="1578"/>
      <c r="S1675" s="1578"/>
      <c r="T1675" s="1578"/>
      <c r="U1675" s="1578"/>
      <c r="V1675" s="1578"/>
      <c r="W1675" s="1578"/>
      <c r="X1675" s="1578"/>
      <c r="Y1675" s="1578"/>
      <c r="Z1675" s="1578"/>
      <c r="AA1675" s="1578"/>
      <c r="AB1675" s="1578"/>
      <c r="AC1675" s="1578"/>
      <c r="AD1675" s="1578"/>
      <c r="AE1675" s="1578"/>
      <c r="AF1675" s="1578"/>
      <c r="AG1675" s="1578"/>
      <c r="AH1675" s="1578"/>
    </row>
    <row r="1676" spans="1:38" ht="13.35" customHeight="1">
      <c r="A1676" s="1579"/>
      <c r="B1676" s="1579"/>
      <c r="C1676" s="1579"/>
      <c r="D1676" s="1579"/>
      <c r="E1676" s="1579"/>
      <c r="F1676" s="1579"/>
      <c r="G1676" s="1579"/>
      <c r="H1676" s="1579"/>
      <c r="I1676" s="1579"/>
      <c r="J1676" s="1580" t="s">
        <v>79</v>
      </c>
      <c r="K1676" s="1580"/>
      <c r="L1676" s="1580"/>
      <c r="M1676" s="1580"/>
      <c r="N1676" s="1580"/>
      <c r="O1676" s="1580"/>
      <c r="P1676" s="1580"/>
      <c r="Q1676" s="1580"/>
      <c r="R1676" s="1580"/>
      <c r="S1676" s="1580"/>
      <c r="T1676" s="1580"/>
      <c r="U1676" s="1580"/>
      <c r="V1676" s="1580"/>
      <c r="W1676" s="1580"/>
      <c r="X1676" s="1580"/>
      <c r="Y1676" s="1580"/>
      <c r="Z1676" s="1580"/>
      <c r="AA1676" s="1580"/>
      <c r="AB1676" s="1580"/>
      <c r="AC1676" s="1580"/>
      <c r="AD1676" s="1580"/>
      <c r="AE1676" s="1580"/>
      <c r="AF1676" s="1580"/>
    </row>
    <row r="1677" spans="1:38" ht="5.25" customHeight="1">
      <c r="A1677" s="1579"/>
      <c r="B1677" s="1579"/>
      <c r="C1677" s="1579"/>
      <c r="D1677" s="1579"/>
      <c r="E1677" s="1579"/>
      <c r="F1677" s="1579"/>
      <c r="G1677" s="1579"/>
      <c r="H1677" s="1579"/>
      <c r="I1677" s="1579"/>
      <c r="J1677" s="1573" t="s">
        <v>6760</v>
      </c>
      <c r="K1677" s="1573"/>
      <c r="L1677" s="1573"/>
      <c r="M1677" s="1573"/>
      <c r="N1677" s="1573"/>
      <c r="O1677" s="1573"/>
      <c r="P1677" s="1573"/>
      <c r="Q1677" s="1573"/>
      <c r="R1677" s="1573"/>
      <c r="S1677" s="1573"/>
      <c r="T1677" s="1573"/>
      <c r="U1677" s="1573"/>
      <c r="V1677" s="1573"/>
      <c r="W1677" s="1573"/>
      <c r="X1677" s="1573"/>
      <c r="Y1677" s="1573"/>
      <c r="Z1677" s="1573"/>
      <c r="AA1677" s="1573"/>
      <c r="AB1677" s="1573"/>
      <c r="AC1677" s="1573"/>
      <c r="AD1677" s="1573"/>
      <c r="AE1677" s="1573"/>
    </row>
    <row r="1678" spans="1:38" ht="8.1" customHeight="1">
      <c r="C1678" s="1572" t="s">
        <v>1920</v>
      </c>
      <c r="D1678" s="1572"/>
      <c r="E1678" s="1572"/>
      <c r="F1678" s="1572"/>
      <c r="G1678" s="1572"/>
      <c r="H1678" s="1572"/>
      <c r="I1678" s="1572"/>
      <c r="J1678" s="1572"/>
      <c r="K1678" s="1573"/>
      <c r="L1678" s="1573"/>
      <c r="M1678" s="1573"/>
      <c r="N1678" s="1573"/>
      <c r="O1678" s="1573"/>
      <c r="P1678" s="1573"/>
      <c r="Q1678" s="1573"/>
      <c r="R1678" s="1573"/>
      <c r="S1678" s="1573"/>
      <c r="T1678" s="1573"/>
      <c r="U1678" s="1573"/>
      <c r="V1678" s="1573"/>
      <c r="W1678" s="1573"/>
      <c r="X1678" s="1573"/>
      <c r="Y1678" s="1574" t="s">
        <v>5920</v>
      </c>
      <c r="Z1678" s="1574"/>
      <c r="AA1678" s="1574"/>
      <c r="AB1678" s="1574"/>
      <c r="AC1678" s="1574"/>
      <c r="AD1678" s="1574"/>
      <c r="AE1678" s="1574"/>
      <c r="AF1678" s="1574"/>
      <c r="AG1678" s="1574"/>
      <c r="AH1678" s="1575" t="s">
        <v>6761</v>
      </c>
      <c r="AI1678" s="1575"/>
      <c r="AJ1678" s="1575"/>
      <c r="AK1678" s="1575"/>
      <c r="AL1678" s="1575"/>
    </row>
    <row r="1679" spans="1:38" ht="6" customHeight="1">
      <c r="C1679" s="1572"/>
      <c r="D1679" s="1572"/>
      <c r="E1679" s="1572"/>
      <c r="F1679" s="1572"/>
      <c r="G1679" s="1572"/>
      <c r="H1679" s="1572"/>
      <c r="I1679" s="1572"/>
      <c r="J1679" s="1572"/>
      <c r="K1679" s="1576" t="s">
        <v>1999</v>
      </c>
      <c r="L1679" s="1576"/>
      <c r="M1679" s="1576"/>
      <c r="N1679" s="1576"/>
      <c r="O1679" s="1576"/>
      <c r="P1679" s="1576"/>
      <c r="Q1679" s="1576"/>
      <c r="R1679" s="1576"/>
      <c r="S1679" s="1576"/>
      <c r="T1679" s="1576"/>
      <c r="U1679" s="1576"/>
      <c r="V1679" s="1576"/>
      <c r="W1679" s="1576"/>
      <c r="X1679" s="1576"/>
      <c r="Y1679" s="1574"/>
      <c r="Z1679" s="1574"/>
      <c r="AA1679" s="1574"/>
      <c r="AB1679" s="1574"/>
      <c r="AC1679" s="1574"/>
      <c r="AD1679" s="1574"/>
      <c r="AE1679" s="1574"/>
      <c r="AF1679" s="1574"/>
      <c r="AG1679" s="1574"/>
      <c r="AH1679" s="1575"/>
      <c r="AI1679" s="1575"/>
      <c r="AJ1679" s="1575"/>
      <c r="AK1679" s="1575"/>
      <c r="AL1679" s="1575"/>
    </row>
    <row r="1680" spans="1:38" ht="7.35" customHeight="1">
      <c r="C1680" s="1572" t="s">
        <v>1998</v>
      </c>
      <c r="D1680" s="1572"/>
      <c r="E1680" s="1572"/>
      <c r="F1680" s="1572"/>
      <c r="G1680" s="1577"/>
      <c r="H1680" s="1577"/>
      <c r="I1680" s="1577"/>
      <c r="J1680" s="1577"/>
      <c r="K1680" s="1577"/>
      <c r="L1680" s="1577"/>
      <c r="M1680" s="1577"/>
      <c r="N1680" s="1577"/>
      <c r="O1680" s="1577"/>
      <c r="P1680" s="1577"/>
      <c r="Q1680" s="1577"/>
      <c r="R1680" s="1577"/>
      <c r="S1680" s="1577"/>
      <c r="T1680" s="1577"/>
      <c r="U1680" s="1577"/>
      <c r="V1680" s="1577"/>
      <c r="W1680" s="1577"/>
      <c r="X1680" s="1577"/>
      <c r="Y1680" s="1577"/>
      <c r="Z1680" s="1577"/>
      <c r="AA1680" s="1577"/>
      <c r="AB1680" s="1577"/>
      <c r="AC1680" s="1577"/>
      <c r="AD1680" s="1577"/>
      <c r="AE1680" s="1577"/>
      <c r="AF1680" s="1574"/>
      <c r="AG1680" s="1574"/>
      <c r="AH1680" s="1574" t="s">
        <v>6762</v>
      </c>
      <c r="AI1680" s="1574"/>
    </row>
    <row r="1681" spans="2:37" ht="6.75" customHeight="1">
      <c r="G1681" s="1577"/>
      <c r="H1681" s="1577"/>
      <c r="I1681" s="1577"/>
      <c r="J1681" s="1577"/>
      <c r="K1681" s="1577"/>
      <c r="L1681" s="1577"/>
      <c r="M1681" s="1577"/>
      <c r="N1681" s="1577"/>
      <c r="O1681" s="1577"/>
      <c r="P1681" s="1577"/>
      <c r="Q1681" s="1577"/>
      <c r="R1681" s="1577"/>
      <c r="S1681" s="1577"/>
      <c r="T1681" s="1577"/>
      <c r="U1681" s="1577"/>
      <c r="V1681" s="1577"/>
      <c r="W1681" s="1577"/>
      <c r="X1681" s="1577"/>
      <c r="Y1681" s="1577"/>
      <c r="Z1681" s="1577"/>
      <c r="AA1681" s="1577"/>
      <c r="AB1681" s="1577"/>
      <c r="AC1681" s="1577"/>
      <c r="AD1681" s="1577"/>
      <c r="AE1681" s="1577"/>
      <c r="AF1681" s="1574"/>
      <c r="AG1681" s="1574"/>
      <c r="AH1681" s="1574"/>
      <c r="AI1681" s="1574"/>
    </row>
    <row r="1682" spans="2:37" ht="11.25" customHeight="1">
      <c r="O1682" s="1570" t="s">
        <v>1318</v>
      </c>
      <c r="P1682" s="1570"/>
      <c r="Q1682" s="1570"/>
      <c r="V1682" s="1570" t="s">
        <v>1319</v>
      </c>
      <c r="W1682" s="1570"/>
      <c r="X1682" s="1570"/>
      <c r="Y1682" s="1570"/>
      <c r="AD1682" s="1570" t="s">
        <v>1320</v>
      </c>
      <c r="AE1682" s="1570"/>
      <c r="AF1682" s="1570"/>
      <c r="AG1682" s="1570"/>
      <c r="AH1682" s="1570"/>
      <c r="AI1682" s="1570"/>
      <c r="AJ1682" s="1570"/>
    </row>
    <row r="1683" spans="2:37" ht="8.4499999999999993" customHeight="1">
      <c r="B1683" s="1571" t="s">
        <v>1321</v>
      </c>
      <c r="C1683" s="1571"/>
      <c r="D1683" s="1571"/>
      <c r="E1683" s="1571" t="s">
        <v>1322</v>
      </c>
      <c r="F1683" s="1571"/>
      <c r="G1683" s="1571"/>
      <c r="J1683" s="1571" t="s">
        <v>1323</v>
      </c>
      <c r="K1683" s="1571"/>
      <c r="L1683" s="1571"/>
      <c r="M1683" s="1571"/>
      <c r="N1683" s="1571"/>
      <c r="O1683" s="1402" t="s">
        <v>1324</v>
      </c>
      <c r="Q1683" s="1569" t="s">
        <v>1325</v>
      </c>
      <c r="R1683" s="1569"/>
      <c r="U1683" s="1569" t="s">
        <v>1324</v>
      </c>
      <c r="V1683" s="1569"/>
      <c r="X1683" s="1569" t="s">
        <v>1325</v>
      </c>
      <c r="Y1683" s="1569"/>
      <c r="Z1683" s="1569"/>
      <c r="AC1683" s="1569" t="s">
        <v>1324</v>
      </c>
      <c r="AD1683" s="1569"/>
      <c r="AE1683" s="1569"/>
      <c r="AF1683" s="1569"/>
      <c r="AH1683" s="1569" t="s">
        <v>1325</v>
      </c>
      <c r="AI1683" s="1569"/>
      <c r="AJ1683" s="1569"/>
      <c r="AK1683" s="1569"/>
    </row>
    <row r="1684" spans="2:37" ht="9.9499999999999993" customHeight="1">
      <c r="B1684" s="1568" t="s">
        <v>1326</v>
      </c>
      <c r="C1684" s="1568"/>
      <c r="D1684" s="1568"/>
      <c r="E1684" s="1568" t="s">
        <v>6291</v>
      </c>
      <c r="F1684" s="1568"/>
      <c r="G1684" s="1568"/>
      <c r="H1684" s="1568"/>
      <c r="J1684" s="1568" t="s">
        <v>2487</v>
      </c>
      <c r="K1684" s="1568"/>
      <c r="L1684" s="1568"/>
      <c r="M1684" s="1566">
        <v>0</v>
      </c>
      <c r="N1684" s="1566"/>
      <c r="O1684" s="1566"/>
      <c r="P1684" s="1566">
        <v>0</v>
      </c>
      <c r="Q1684" s="1566"/>
      <c r="R1684" s="1566"/>
      <c r="S1684" s="1566">
        <v>3000</v>
      </c>
      <c r="T1684" s="1566"/>
      <c r="U1684" s="1566"/>
      <c r="V1684" s="1566"/>
      <c r="W1684" s="1566">
        <v>3000</v>
      </c>
      <c r="X1684" s="1566"/>
      <c r="Y1684" s="1566"/>
      <c r="Z1684" s="1566"/>
      <c r="AA1684" s="1566">
        <v>0</v>
      </c>
      <c r="AB1684" s="1566"/>
      <c r="AC1684" s="1566"/>
      <c r="AD1684" s="1566"/>
      <c r="AE1684" s="1566"/>
      <c r="AF1684" s="1566"/>
      <c r="AG1684" s="1566">
        <v>0</v>
      </c>
      <c r="AH1684" s="1566"/>
      <c r="AI1684" s="1566"/>
      <c r="AJ1684" s="1566"/>
      <c r="AK1684" s="1566"/>
    </row>
    <row r="1685" spans="2:37" ht="9.4" customHeight="1">
      <c r="B1685" s="1568" t="s">
        <v>1326</v>
      </c>
      <c r="C1685" s="1568"/>
      <c r="D1685" s="1568"/>
      <c r="E1685" s="1568" t="s">
        <v>2765</v>
      </c>
      <c r="F1685" s="1568"/>
      <c r="G1685" s="1568"/>
      <c r="H1685" s="1568"/>
      <c r="J1685" s="1568" t="s">
        <v>2491</v>
      </c>
      <c r="K1685" s="1568"/>
      <c r="L1685" s="1568"/>
      <c r="M1685" s="1566">
        <v>0</v>
      </c>
      <c r="N1685" s="1566"/>
      <c r="O1685" s="1566"/>
      <c r="P1685" s="1566">
        <v>0</v>
      </c>
      <c r="Q1685" s="1566"/>
      <c r="R1685" s="1566"/>
      <c r="S1685" s="1566">
        <v>25956.639999999999</v>
      </c>
      <c r="T1685" s="1566"/>
      <c r="U1685" s="1566"/>
      <c r="V1685" s="1566"/>
      <c r="W1685" s="1566">
        <v>25956.639999999999</v>
      </c>
      <c r="X1685" s="1566"/>
      <c r="Y1685" s="1566"/>
      <c r="Z1685" s="1566"/>
      <c r="AA1685" s="1566">
        <v>0</v>
      </c>
      <c r="AB1685" s="1566"/>
      <c r="AC1685" s="1566"/>
      <c r="AD1685" s="1566"/>
      <c r="AE1685" s="1566"/>
      <c r="AF1685" s="1566"/>
      <c r="AG1685" s="1566">
        <v>0</v>
      </c>
      <c r="AH1685" s="1566"/>
      <c r="AI1685" s="1566"/>
      <c r="AJ1685" s="1566"/>
      <c r="AK1685" s="1566"/>
    </row>
    <row r="1686" spans="2:37" ht="9.4" customHeight="1">
      <c r="B1686" s="1568" t="s">
        <v>1326</v>
      </c>
      <c r="C1686" s="1568"/>
      <c r="D1686" s="1568"/>
      <c r="E1686" s="1568" t="s">
        <v>2766</v>
      </c>
      <c r="F1686" s="1568"/>
      <c r="G1686" s="1568"/>
      <c r="H1686" s="1568"/>
      <c r="J1686" s="1568" t="s">
        <v>2493</v>
      </c>
      <c r="K1686" s="1568"/>
      <c r="L1686" s="1568"/>
      <c r="M1686" s="1566">
        <v>0</v>
      </c>
      <c r="N1686" s="1566"/>
      <c r="O1686" s="1566"/>
      <c r="P1686" s="1566">
        <v>0</v>
      </c>
      <c r="Q1686" s="1566"/>
      <c r="R1686" s="1566"/>
      <c r="S1686" s="1566">
        <v>0</v>
      </c>
      <c r="T1686" s="1566"/>
      <c r="U1686" s="1566"/>
      <c r="V1686" s="1566"/>
      <c r="W1686" s="1566">
        <v>0</v>
      </c>
      <c r="X1686" s="1566"/>
      <c r="Y1686" s="1566"/>
      <c r="Z1686" s="1566"/>
      <c r="AA1686" s="1566">
        <v>0</v>
      </c>
      <c r="AB1686" s="1566"/>
      <c r="AC1686" s="1566"/>
      <c r="AD1686" s="1566"/>
      <c r="AE1686" s="1566"/>
      <c r="AF1686" s="1566"/>
      <c r="AG1686" s="1566">
        <v>0</v>
      </c>
      <c r="AH1686" s="1566"/>
      <c r="AI1686" s="1566"/>
      <c r="AJ1686" s="1566"/>
      <c r="AK1686" s="1566"/>
    </row>
    <row r="1687" spans="2:37" ht="9.4" customHeight="1">
      <c r="B1687" s="1568" t="s">
        <v>1326</v>
      </c>
      <c r="C1687" s="1568"/>
      <c r="D1687" s="1568"/>
      <c r="E1687" s="1568" t="s">
        <v>2767</v>
      </c>
      <c r="F1687" s="1568"/>
      <c r="G1687" s="1568"/>
      <c r="H1687" s="1568"/>
      <c r="J1687" s="1568" t="s">
        <v>2495</v>
      </c>
      <c r="K1687" s="1568"/>
      <c r="L1687" s="1568"/>
      <c r="M1687" s="1566">
        <v>0</v>
      </c>
      <c r="N1687" s="1566"/>
      <c r="O1687" s="1566"/>
      <c r="P1687" s="1566">
        <v>0</v>
      </c>
      <c r="Q1687" s="1566"/>
      <c r="R1687" s="1566"/>
      <c r="S1687" s="1566">
        <v>5367.4</v>
      </c>
      <c r="T1687" s="1566"/>
      <c r="U1687" s="1566"/>
      <c r="V1687" s="1566"/>
      <c r="W1687" s="1566">
        <v>5367.4</v>
      </c>
      <c r="X1687" s="1566"/>
      <c r="Y1687" s="1566"/>
      <c r="Z1687" s="1566"/>
      <c r="AA1687" s="1566">
        <v>0</v>
      </c>
      <c r="AB1687" s="1566"/>
      <c r="AC1687" s="1566"/>
      <c r="AD1687" s="1566"/>
      <c r="AE1687" s="1566"/>
      <c r="AF1687" s="1566"/>
      <c r="AG1687" s="1566">
        <v>0</v>
      </c>
      <c r="AH1687" s="1566"/>
      <c r="AI1687" s="1566"/>
      <c r="AJ1687" s="1566"/>
      <c r="AK1687" s="1566"/>
    </row>
    <row r="1688" spans="2:37" ht="9.4" customHeight="1">
      <c r="B1688" s="1568" t="s">
        <v>1326</v>
      </c>
      <c r="C1688" s="1568"/>
      <c r="D1688" s="1568"/>
      <c r="E1688" s="1568" t="s">
        <v>2768</v>
      </c>
      <c r="F1688" s="1568"/>
      <c r="G1688" s="1568"/>
      <c r="H1688" s="1568"/>
      <c r="J1688" s="1568" t="s">
        <v>2426</v>
      </c>
      <c r="K1688" s="1568"/>
      <c r="L1688" s="1568"/>
      <c r="M1688" s="1566">
        <v>0</v>
      </c>
      <c r="N1688" s="1566"/>
      <c r="O1688" s="1566"/>
      <c r="P1688" s="1566">
        <v>0</v>
      </c>
      <c r="Q1688" s="1566"/>
      <c r="R1688" s="1566"/>
      <c r="S1688" s="1566">
        <v>10236.879999999999</v>
      </c>
      <c r="T1688" s="1566"/>
      <c r="U1688" s="1566"/>
      <c r="V1688" s="1566"/>
      <c r="W1688" s="1566">
        <v>10236.879999999999</v>
      </c>
      <c r="X1688" s="1566"/>
      <c r="Y1688" s="1566"/>
      <c r="Z1688" s="1566"/>
      <c r="AA1688" s="1566">
        <v>0</v>
      </c>
      <c r="AB1688" s="1566"/>
      <c r="AC1688" s="1566"/>
      <c r="AD1688" s="1566"/>
      <c r="AE1688" s="1566"/>
      <c r="AF1688" s="1566"/>
      <c r="AG1688" s="1566">
        <v>0</v>
      </c>
      <c r="AH1688" s="1566"/>
      <c r="AI1688" s="1566"/>
      <c r="AJ1688" s="1566"/>
      <c r="AK1688" s="1566"/>
    </row>
    <row r="1689" spans="2:37" ht="9.4" customHeight="1">
      <c r="B1689" s="1568" t="s">
        <v>1326</v>
      </c>
      <c r="C1689" s="1568"/>
      <c r="D1689" s="1568"/>
      <c r="E1689" s="1568" t="s">
        <v>6799</v>
      </c>
      <c r="F1689" s="1568"/>
      <c r="G1689" s="1568"/>
      <c r="H1689" s="1568"/>
      <c r="J1689" s="1568" t="s">
        <v>2498</v>
      </c>
      <c r="K1689" s="1568"/>
      <c r="L1689" s="1568"/>
      <c r="M1689" s="1566">
        <v>0</v>
      </c>
      <c r="N1689" s="1566"/>
      <c r="O1689" s="1566"/>
      <c r="P1689" s="1566">
        <v>0</v>
      </c>
      <c r="Q1689" s="1566"/>
      <c r="R1689" s="1566"/>
      <c r="S1689" s="1566">
        <v>559.16</v>
      </c>
      <c r="T1689" s="1566"/>
      <c r="U1689" s="1566"/>
      <c r="V1689" s="1566"/>
      <c r="W1689" s="1566">
        <v>559.16</v>
      </c>
      <c r="X1689" s="1566"/>
      <c r="Y1689" s="1566"/>
      <c r="Z1689" s="1566"/>
      <c r="AA1689" s="1566">
        <v>0</v>
      </c>
      <c r="AB1689" s="1566"/>
      <c r="AC1689" s="1566"/>
      <c r="AD1689" s="1566"/>
      <c r="AE1689" s="1566"/>
      <c r="AF1689" s="1566"/>
      <c r="AG1689" s="1566">
        <v>0</v>
      </c>
      <c r="AH1689" s="1566"/>
      <c r="AI1689" s="1566"/>
      <c r="AJ1689" s="1566"/>
      <c r="AK1689" s="1566"/>
    </row>
    <row r="1690" spans="2:37" ht="9.4" customHeight="1">
      <c r="B1690" s="1568" t="s">
        <v>1326</v>
      </c>
      <c r="C1690" s="1568"/>
      <c r="D1690" s="1568"/>
      <c r="E1690" s="1568" t="s">
        <v>3349</v>
      </c>
      <c r="F1690" s="1568"/>
      <c r="G1690" s="1568"/>
      <c r="H1690" s="1568"/>
      <c r="J1690" s="1568" t="s">
        <v>2428</v>
      </c>
      <c r="K1690" s="1568"/>
      <c r="L1690" s="1568"/>
      <c r="M1690" s="1566">
        <v>0</v>
      </c>
      <c r="N1690" s="1566"/>
      <c r="O1690" s="1566"/>
      <c r="P1690" s="1566">
        <v>0</v>
      </c>
      <c r="Q1690" s="1566"/>
      <c r="R1690" s="1566"/>
      <c r="S1690" s="1566">
        <v>580</v>
      </c>
      <c r="T1690" s="1566"/>
      <c r="U1690" s="1566"/>
      <c r="V1690" s="1566"/>
      <c r="W1690" s="1566">
        <v>580</v>
      </c>
      <c r="X1690" s="1566"/>
      <c r="Y1690" s="1566"/>
      <c r="Z1690" s="1566"/>
      <c r="AA1690" s="1566">
        <v>0</v>
      </c>
      <c r="AB1690" s="1566"/>
      <c r="AC1690" s="1566"/>
      <c r="AD1690" s="1566"/>
      <c r="AE1690" s="1566"/>
      <c r="AF1690" s="1566"/>
      <c r="AG1690" s="1566">
        <v>0</v>
      </c>
      <c r="AH1690" s="1566"/>
      <c r="AI1690" s="1566"/>
      <c r="AJ1690" s="1566"/>
      <c r="AK1690" s="1566"/>
    </row>
    <row r="1691" spans="2:37" ht="9.1999999999999993" customHeight="1">
      <c r="J1691" s="1568"/>
      <c r="K1691" s="1568"/>
      <c r="L1691" s="1568"/>
    </row>
    <row r="1692" spans="2:37" ht="8.4499999999999993" customHeight="1">
      <c r="B1692" s="1568" t="s">
        <v>1326</v>
      </c>
      <c r="C1692" s="1568"/>
      <c r="D1692" s="1568"/>
      <c r="E1692" s="1568" t="s">
        <v>6292</v>
      </c>
      <c r="F1692" s="1568"/>
      <c r="G1692" s="1568"/>
      <c r="H1692" s="1568"/>
      <c r="J1692" s="1568" t="s">
        <v>2503</v>
      </c>
      <c r="K1692" s="1568"/>
      <c r="L1692" s="1568"/>
      <c r="M1692" s="1566">
        <v>0</v>
      </c>
      <c r="N1692" s="1566"/>
      <c r="O1692" s="1566"/>
      <c r="P1692" s="1566">
        <v>0</v>
      </c>
      <c r="Q1692" s="1566"/>
      <c r="R1692" s="1566"/>
      <c r="S1692" s="1566">
        <v>0</v>
      </c>
      <c r="T1692" s="1566"/>
      <c r="U1692" s="1566"/>
      <c r="V1692" s="1566"/>
      <c r="W1692" s="1566">
        <v>0</v>
      </c>
      <c r="X1692" s="1566"/>
      <c r="Y1692" s="1566"/>
      <c r="Z1692" s="1566"/>
      <c r="AA1692" s="1566">
        <v>0</v>
      </c>
      <c r="AB1692" s="1566"/>
      <c r="AC1692" s="1566"/>
      <c r="AD1692" s="1566"/>
      <c r="AE1692" s="1566"/>
      <c r="AF1692" s="1566"/>
      <c r="AG1692" s="1566">
        <v>0</v>
      </c>
      <c r="AH1692" s="1566"/>
      <c r="AI1692" s="1566"/>
      <c r="AJ1692" s="1566"/>
      <c r="AK1692" s="1566"/>
    </row>
    <row r="1693" spans="2:37" ht="9.4" customHeight="1">
      <c r="B1693" s="1568" t="s">
        <v>1326</v>
      </c>
      <c r="C1693" s="1568"/>
      <c r="D1693" s="1568"/>
      <c r="E1693" s="1568" t="s">
        <v>2770</v>
      </c>
      <c r="F1693" s="1568"/>
      <c r="G1693" s="1568"/>
      <c r="H1693" s="1568"/>
      <c r="J1693" s="1568" t="s">
        <v>2505</v>
      </c>
      <c r="K1693" s="1568"/>
      <c r="L1693" s="1568"/>
      <c r="M1693" s="1566">
        <v>0</v>
      </c>
      <c r="N1693" s="1566"/>
      <c r="O1693" s="1566"/>
      <c r="P1693" s="1566">
        <v>0</v>
      </c>
      <c r="Q1693" s="1566"/>
      <c r="R1693" s="1566"/>
      <c r="S1693" s="1566">
        <v>12752.6</v>
      </c>
      <c r="T1693" s="1566"/>
      <c r="U1693" s="1566"/>
      <c r="V1693" s="1566"/>
      <c r="W1693" s="1566">
        <v>12752.6</v>
      </c>
      <c r="X1693" s="1566"/>
      <c r="Y1693" s="1566"/>
      <c r="Z1693" s="1566"/>
      <c r="AA1693" s="1566">
        <v>0</v>
      </c>
      <c r="AB1693" s="1566"/>
      <c r="AC1693" s="1566"/>
      <c r="AD1693" s="1566"/>
      <c r="AE1693" s="1566"/>
      <c r="AF1693" s="1566"/>
      <c r="AG1693" s="1566">
        <v>0</v>
      </c>
      <c r="AH1693" s="1566"/>
      <c r="AI1693" s="1566"/>
      <c r="AJ1693" s="1566"/>
      <c r="AK1693" s="1566"/>
    </row>
    <row r="1694" spans="2:37" ht="9.1999999999999993" customHeight="1">
      <c r="J1694" s="1568"/>
      <c r="K1694" s="1568"/>
      <c r="L1694" s="1568"/>
    </row>
    <row r="1695" spans="2:37" ht="8.4499999999999993" customHeight="1">
      <c r="B1695" s="1568" t="s">
        <v>1326</v>
      </c>
      <c r="C1695" s="1568"/>
      <c r="D1695" s="1568"/>
      <c r="E1695" s="1568" t="s">
        <v>2771</v>
      </c>
      <c r="F1695" s="1568"/>
      <c r="G1695" s="1568"/>
      <c r="H1695" s="1568"/>
      <c r="J1695" s="1568" t="s">
        <v>2507</v>
      </c>
      <c r="K1695" s="1568"/>
      <c r="L1695" s="1568"/>
      <c r="M1695" s="1566">
        <v>0</v>
      </c>
      <c r="N1695" s="1566"/>
      <c r="O1695" s="1566"/>
      <c r="P1695" s="1566">
        <v>0</v>
      </c>
      <c r="Q1695" s="1566"/>
      <c r="R1695" s="1566"/>
      <c r="S1695" s="1566">
        <v>46510.21</v>
      </c>
      <c r="T1695" s="1566"/>
      <c r="U1695" s="1566"/>
      <c r="V1695" s="1566"/>
      <c r="W1695" s="1566">
        <v>46510.21</v>
      </c>
      <c r="X1695" s="1566"/>
      <c r="Y1695" s="1566"/>
      <c r="Z1695" s="1566"/>
      <c r="AA1695" s="1566">
        <v>0</v>
      </c>
      <c r="AB1695" s="1566"/>
      <c r="AC1695" s="1566"/>
      <c r="AD1695" s="1566"/>
      <c r="AE1695" s="1566"/>
      <c r="AF1695" s="1566"/>
      <c r="AG1695" s="1566">
        <v>0</v>
      </c>
      <c r="AH1695" s="1566"/>
      <c r="AI1695" s="1566"/>
      <c r="AJ1695" s="1566"/>
      <c r="AK1695" s="1566"/>
    </row>
    <row r="1696" spans="2:37" ht="9.4" customHeight="1">
      <c r="B1696" s="1568" t="s">
        <v>1326</v>
      </c>
      <c r="C1696" s="1568"/>
      <c r="D1696" s="1568"/>
      <c r="E1696" s="1568" t="s">
        <v>2772</v>
      </c>
      <c r="F1696" s="1568"/>
      <c r="G1696" s="1568"/>
      <c r="H1696" s="1568"/>
      <c r="J1696" s="1568" t="s">
        <v>2514</v>
      </c>
      <c r="K1696" s="1568"/>
      <c r="L1696" s="1568"/>
      <c r="M1696" s="1566">
        <v>0</v>
      </c>
      <c r="N1696" s="1566"/>
      <c r="O1696" s="1566"/>
      <c r="P1696" s="1566">
        <v>0</v>
      </c>
      <c r="Q1696" s="1566"/>
      <c r="R1696" s="1566"/>
      <c r="S1696" s="1566">
        <v>6650.72</v>
      </c>
      <c r="T1696" s="1566"/>
      <c r="U1696" s="1566"/>
      <c r="V1696" s="1566"/>
      <c r="W1696" s="1566">
        <v>6650.72</v>
      </c>
      <c r="X1696" s="1566"/>
      <c r="Y1696" s="1566"/>
      <c r="Z1696" s="1566"/>
      <c r="AA1696" s="1566">
        <v>0</v>
      </c>
      <c r="AB1696" s="1566"/>
      <c r="AC1696" s="1566"/>
      <c r="AD1696" s="1566"/>
      <c r="AE1696" s="1566"/>
      <c r="AF1696" s="1566"/>
      <c r="AG1696" s="1566">
        <v>0</v>
      </c>
      <c r="AH1696" s="1566"/>
      <c r="AI1696" s="1566"/>
      <c r="AJ1696" s="1566"/>
      <c r="AK1696" s="1566"/>
    </row>
    <row r="1697" spans="2:37" ht="9.4" customHeight="1">
      <c r="B1697" s="1568" t="s">
        <v>1326</v>
      </c>
      <c r="C1697" s="1568"/>
      <c r="D1697" s="1568"/>
      <c r="E1697" s="1568" t="s">
        <v>2773</v>
      </c>
      <c r="F1697" s="1568"/>
      <c r="G1697" s="1568"/>
      <c r="H1697" s="1568"/>
      <c r="J1697" s="1568" t="s">
        <v>2516</v>
      </c>
      <c r="K1697" s="1568"/>
      <c r="L1697" s="1568"/>
      <c r="M1697" s="1566">
        <v>0</v>
      </c>
      <c r="N1697" s="1566"/>
      <c r="O1697" s="1566"/>
      <c r="P1697" s="1566">
        <v>0</v>
      </c>
      <c r="Q1697" s="1566"/>
      <c r="R1697" s="1566"/>
      <c r="S1697" s="1566">
        <v>19956.84</v>
      </c>
      <c r="T1697" s="1566"/>
      <c r="U1697" s="1566"/>
      <c r="V1697" s="1566"/>
      <c r="W1697" s="1566">
        <v>19956.84</v>
      </c>
      <c r="X1697" s="1566"/>
      <c r="Y1697" s="1566"/>
      <c r="Z1697" s="1566"/>
      <c r="AA1697" s="1566">
        <v>0</v>
      </c>
      <c r="AB1697" s="1566"/>
      <c r="AC1697" s="1566"/>
      <c r="AD1697" s="1566"/>
      <c r="AE1697" s="1566"/>
      <c r="AF1697" s="1566"/>
      <c r="AG1697" s="1566">
        <v>0</v>
      </c>
      <c r="AH1697" s="1566"/>
      <c r="AI1697" s="1566"/>
      <c r="AJ1697" s="1566"/>
      <c r="AK1697" s="1566"/>
    </row>
    <row r="1698" spans="2:37" ht="9.4" customHeight="1">
      <c r="B1698" s="1568" t="s">
        <v>1326</v>
      </c>
      <c r="C1698" s="1568"/>
      <c r="D1698" s="1568"/>
      <c r="E1698" s="1568" t="s">
        <v>2974</v>
      </c>
      <c r="F1698" s="1568"/>
      <c r="G1698" s="1568"/>
      <c r="H1698" s="1568"/>
      <c r="J1698" s="1568" t="s">
        <v>2518</v>
      </c>
      <c r="K1698" s="1568"/>
      <c r="L1698" s="1568"/>
      <c r="M1698" s="1566">
        <v>0</v>
      </c>
      <c r="N1698" s="1566"/>
      <c r="O1698" s="1566"/>
      <c r="P1698" s="1566">
        <v>0</v>
      </c>
      <c r="Q1698" s="1566"/>
      <c r="R1698" s="1566"/>
      <c r="S1698" s="1566">
        <v>7491.12</v>
      </c>
      <c r="T1698" s="1566"/>
      <c r="U1698" s="1566"/>
      <c r="V1698" s="1566"/>
      <c r="W1698" s="1566">
        <v>7491.12</v>
      </c>
      <c r="X1698" s="1566"/>
      <c r="Y1698" s="1566"/>
      <c r="Z1698" s="1566"/>
      <c r="AA1698" s="1566">
        <v>0</v>
      </c>
      <c r="AB1698" s="1566"/>
      <c r="AC1698" s="1566"/>
      <c r="AD1698" s="1566"/>
      <c r="AE1698" s="1566"/>
      <c r="AF1698" s="1566"/>
      <c r="AG1698" s="1566">
        <v>0</v>
      </c>
      <c r="AH1698" s="1566"/>
      <c r="AI1698" s="1566"/>
      <c r="AJ1698" s="1566"/>
      <c r="AK1698" s="1566"/>
    </row>
    <row r="1699" spans="2:37" ht="9.4" customHeight="1">
      <c r="B1699" s="1568" t="s">
        <v>1326</v>
      </c>
      <c r="C1699" s="1568"/>
      <c r="D1699" s="1568"/>
      <c r="E1699" s="1568" t="s">
        <v>2774</v>
      </c>
      <c r="F1699" s="1568"/>
      <c r="G1699" s="1568"/>
      <c r="H1699" s="1568"/>
      <c r="J1699" s="1568" t="s">
        <v>2392</v>
      </c>
      <c r="K1699" s="1568"/>
      <c r="L1699" s="1568"/>
      <c r="M1699" s="1566">
        <v>0</v>
      </c>
      <c r="N1699" s="1566"/>
      <c r="O1699" s="1566"/>
      <c r="P1699" s="1566">
        <v>0</v>
      </c>
      <c r="Q1699" s="1566"/>
      <c r="R1699" s="1566"/>
      <c r="S1699" s="1566">
        <v>207421.8</v>
      </c>
      <c r="T1699" s="1566"/>
      <c r="U1699" s="1566"/>
      <c r="V1699" s="1566"/>
      <c r="W1699" s="1566">
        <v>207421.8</v>
      </c>
      <c r="X1699" s="1566"/>
      <c r="Y1699" s="1566"/>
      <c r="Z1699" s="1566"/>
      <c r="AA1699" s="1566">
        <v>0</v>
      </c>
      <c r="AB1699" s="1566"/>
      <c r="AC1699" s="1566"/>
      <c r="AD1699" s="1566"/>
      <c r="AE1699" s="1566"/>
      <c r="AF1699" s="1566"/>
      <c r="AG1699" s="1566">
        <v>0</v>
      </c>
      <c r="AH1699" s="1566"/>
      <c r="AI1699" s="1566"/>
      <c r="AJ1699" s="1566"/>
      <c r="AK1699" s="1566"/>
    </row>
    <row r="1700" spans="2:37" ht="9.4" customHeight="1">
      <c r="B1700" s="1568" t="s">
        <v>1326</v>
      </c>
      <c r="C1700" s="1568"/>
      <c r="D1700" s="1568"/>
      <c r="E1700" s="1568" t="s">
        <v>2775</v>
      </c>
      <c r="F1700" s="1568"/>
      <c r="G1700" s="1568"/>
      <c r="H1700" s="1568"/>
      <c r="J1700" s="1568" t="s">
        <v>2401</v>
      </c>
      <c r="K1700" s="1568"/>
      <c r="L1700" s="1568"/>
      <c r="M1700" s="1566">
        <v>0</v>
      </c>
      <c r="N1700" s="1566"/>
      <c r="O1700" s="1566"/>
      <c r="P1700" s="1566">
        <v>0</v>
      </c>
      <c r="Q1700" s="1566"/>
      <c r="R1700" s="1566"/>
      <c r="S1700" s="1566">
        <v>35261.760000000002</v>
      </c>
      <c r="T1700" s="1566"/>
      <c r="U1700" s="1566"/>
      <c r="V1700" s="1566"/>
      <c r="W1700" s="1566">
        <v>35261.760000000002</v>
      </c>
      <c r="X1700" s="1566"/>
      <c r="Y1700" s="1566"/>
      <c r="Z1700" s="1566"/>
      <c r="AA1700" s="1566">
        <v>0</v>
      </c>
      <c r="AB1700" s="1566"/>
      <c r="AC1700" s="1566"/>
      <c r="AD1700" s="1566"/>
      <c r="AE1700" s="1566"/>
      <c r="AF1700" s="1566"/>
      <c r="AG1700" s="1566">
        <v>0</v>
      </c>
      <c r="AH1700" s="1566"/>
      <c r="AI1700" s="1566"/>
      <c r="AJ1700" s="1566"/>
      <c r="AK1700" s="1566"/>
    </row>
    <row r="1701" spans="2:37" ht="9.4" customHeight="1">
      <c r="B1701" s="1568" t="s">
        <v>1326</v>
      </c>
      <c r="C1701" s="1568"/>
      <c r="D1701" s="1568"/>
      <c r="E1701" s="1568" t="s">
        <v>2776</v>
      </c>
      <c r="F1701" s="1568"/>
      <c r="G1701" s="1568"/>
      <c r="H1701" s="1568"/>
      <c r="J1701" s="1568" t="s">
        <v>2403</v>
      </c>
      <c r="K1701" s="1568"/>
      <c r="L1701" s="1568"/>
      <c r="M1701" s="1566">
        <v>0</v>
      </c>
      <c r="N1701" s="1566"/>
      <c r="O1701" s="1566"/>
      <c r="P1701" s="1566">
        <v>0</v>
      </c>
      <c r="Q1701" s="1566"/>
      <c r="R1701" s="1566"/>
      <c r="S1701" s="1566">
        <v>451.21</v>
      </c>
      <c r="T1701" s="1566"/>
      <c r="U1701" s="1566"/>
      <c r="V1701" s="1566"/>
      <c r="W1701" s="1566">
        <v>451.21</v>
      </c>
      <c r="X1701" s="1566"/>
      <c r="Y1701" s="1566"/>
      <c r="Z1701" s="1566"/>
      <c r="AA1701" s="1566">
        <v>0</v>
      </c>
      <c r="AB1701" s="1566"/>
      <c r="AC1701" s="1566"/>
      <c r="AD1701" s="1566"/>
      <c r="AE1701" s="1566"/>
      <c r="AF1701" s="1566"/>
      <c r="AG1701" s="1566">
        <v>0</v>
      </c>
      <c r="AH1701" s="1566"/>
      <c r="AI1701" s="1566"/>
      <c r="AJ1701" s="1566"/>
      <c r="AK1701" s="1566"/>
    </row>
    <row r="1702" spans="2:37" ht="9.4" customHeight="1">
      <c r="B1702" s="1568" t="s">
        <v>1326</v>
      </c>
      <c r="C1702" s="1568"/>
      <c r="D1702" s="1568"/>
      <c r="E1702" s="1568" t="s">
        <v>2777</v>
      </c>
      <c r="F1702" s="1568"/>
      <c r="G1702" s="1568"/>
      <c r="H1702" s="1568"/>
      <c r="J1702" s="1568" t="s">
        <v>2405</v>
      </c>
      <c r="K1702" s="1568"/>
      <c r="L1702" s="1568"/>
      <c r="M1702" s="1566">
        <v>0</v>
      </c>
      <c r="N1702" s="1566"/>
      <c r="O1702" s="1566"/>
      <c r="P1702" s="1566">
        <v>0</v>
      </c>
      <c r="Q1702" s="1566"/>
      <c r="R1702" s="1566"/>
      <c r="S1702" s="1566">
        <v>13980.72</v>
      </c>
      <c r="T1702" s="1566"/>
      <c r="U1702" s="1566"/>
      <c r="V1702" s="1566"/>
      <c r="W1702" s="1566">
        <v>13980.72</v>
      </c>
      <c r="X1702" s="1566"/>
      <c r="Y1702" s="1566"/>
      <c r="Z1702" s="1566"/>
      <c r="AA1702" s="1566">
        <v>0</v>
      </c>
      <c r="AB1702" s="1566"/>
      <c r="AC1702" s="1566"/>
      <c r="AD1702" s="1566"/>
      <c r="AE1702" s="1566"/>
      <c r="AF1702" s="1566"/>
      <c r="AG1702" s="1566">
        <v>0</v>
      </c>
      <c r="AH1702" s="1566"/>
      <c r="AI1702" s="1566"/>
      <c r="AJ1702" s="1566"/>
      <c r="AK1702" s="1566"/>
    </row>
    <row r="1703" spans="2:37" ht="9.4" customHeight="1">
      <c r="B1703" s="1568" t="s">
        <v>1326</v>
      </c>
      <c r="C1703" s="1568"/>
      <c r="D1703" s="1568"/>
      <c r="E1703" s="1568" t="s">
        <v>2778</v>
      </c>
      <c r="F1703" s="1568"/>
      <c r="G1703" s="1568"/>
      <c r="H1703" s="1568"/>
      <c r="J1703" s="1568" t="s">
        <v>2407</v>
      </c>
      <c r="K1703" s="1568"/>
      <c r="L1703" s="1568"/>
      <c r="M1703" s="1566">
        <v>0</v>
      </c>
      <c r="N1703" s="1566"/>
      <c r="O1703" s="1566"/>
      <c r="P1703" s="1566">
        <v>0</v>
      </c>
      <c r="Q1703" s="1566"/>
      <c r="R1703" s="1566"/>
      <c r="S1703" s="1566">
        <v>10754.4</v>
      </c>
      <c r="T1703" s="1566"/>
      <c r="U1703" s="1566"/>
      <c r="V1703" s="1566"/>
      <c r="W1703" s="1566">
        <v>10754.4</v>
      </c>
      <c r="X1703" s="1566"/>
      <c r="Y1703" s="1566"/>
      <c r="Z1703" s="1566"/>
      <c r="AA1703" s="1566">
        <v>0</v>
      </c>
      <c r="AB1703" s="1566"/>
      <c r="AC1703" s="1566"/>
      <c r="AD1703" s="1566"/>
      <c r="AE1703" s="1566"/>
      <c r="AF1703" s="1566"/>
      <c r="AG1703" s="1566">
        <v>0</v>
      </c>
      <c r="AH1703" s="1566"/>
      <c r="AI1703" s="1566"/>
      <c r="AJ1703" s="1566"/>
      <c r="AK1703" s="1566"/>
    </row>
    <row r="1704" spans="2:37" ht="9.4" customHeight="1">
      <c r="B1704" s="1568" t="s">
        <v>1326</v>
      </c>
      <c r="C1704" s="1568"/>
      <c r="D1704" s="1568"/>
      <c r="E1704" s="1568" t="s">
        <v>2779</v>
      </c>
      <c r="F1704" s="1568"/>
      <c r="G1704" s="1568"/>
      <c r="H1704" s="1568"/>
      <c r="J1704" s="1568" t="s">
        <v>2424</v>
      </c>
      <c r="K1704" s="1568"/>
      <c r="L1704" s="1568"/>
      <c r="M1704" s="1566">
        <v>0</v>
      </c>
      <c r="N1704" s="1566"/>
      <c r="O1704" s="1566"/>
      <c r="P1704" s="1566">
        <v>0</v>
      </c>
      <c r="Q1704" s="1566"/>
      <c r="R1704" s="1566"/>
      <c r="S1704" s="1566">
        <v>133482.20000000001</v>
      </c>
      <c r="T1704" s="1566"/>
      <c r="U1704" s="1566"/>
      <c r="V1704" s="1566"/>
      <c r="W1704" s="1566">
        <v>133482.20000000001</v>
      </c>
      <c r="X1704" s="1566"/>
      <c r="Y1704" s="1566"/>
      <c r="Z1704" s="1566"/>
      <c r="AA1704" s="1566">
        <v>0</v>
      </c>
      <c r="AB1704" s="1566"/>
      <c r="AC1704" s="1566"/>
      <c r="AD1704" s="1566"/>
      <c r="AE1704" s="1566"/>
      <c r="AF1704" s="1566"/>
      <c r="AG1704" s="1566">
        <v>0</v>
      </c>
      <c r="AH1704" s="1566"/>
      <c r="AI1704" s="1566"/>
      <c r="AJ1704" s="1566"/>
      <c r="AK1704" s="1566"/>
    </row>
    <row r="1705" spans="2:37" ht="9.1999999999999993" customHeight="1">
      <c r="J1705" s="1568"/>
      <c r="K1705" s="1568"/>
      <c r="L1705" s="1568"/>
    </row>
    <row r="1706" spans="2:37" ht="8.4499999999999993" customHeight="1">
      <c r="B1706" s="1568" t="s">
        <v>1326</v>
      </c>
      <c r="C1706" s="1568"/>
      <c r="D1706" s="1568"/>
      <c r="E1706" s="1568" t="s">
        <v>2780</v>
      </c>
      <c r="F1706" s="1568"/>
      <c r="G1706" s="1568"/>
      <c r="H1706" s="1568"/>
      <c r="J1706" s="1568" t="s">
        <v>2529</v>
      </c>
      <c r="K1706" s="1568"/>
      <c r="L1706" s="1568"/>
      <c r="M1706" s="1566">
        <v>0</v>
      </c>
      <c r="N1706" s="1566"/>
      <c r="O1706" s="1566"/>
      <c r="P1706" s="1566">
        <v>0</v>
      </c>
      <c r="Q1706" s="1566"/>
      <c r="R1706" s="1566"/>
      <c r="S1706" s="1566">
        <v>13376.28</v>
      </c>
      <c r="T1706" s="1566"/>
      <c r="U1706" s="1566"/>
      <c r="V1706" s="1566"/>
      <c r="W1706" s="1566">
        <v>13376.28</v>
      </c>
      <c r="X1706" s="1566"/>
      <c r="Y1706" s="1566"/>
      <c r="Z1706" s="1566"/>
      <c r="AA1706" s="1566">
        <v>0</v>
      </c>
      <c r="AB1706" s="1566"/>
      <c r="AC1706" s="1566"/>
      <c r="AD1706" s="1566"/>
      <c r="AE1706" s="1566"/>
      <c r="AF1706" s="1566"/>
      <c r="AG1706" s="1566">
        <v>0</v>
      </c>
      <c r="AH1706" s="1566"/>
      <c r="AI1706" s="1566"/>
      <c r="AJ1706" s="1566"/>
      <c r="AK1706" s="1566"/>
    </row>
    <row r="1707" spans="2:37" ht="9.4" customHeight="1">
      <c r="B1707" s="1568" t="s">
        <v>1326</v>
      </c>
      <c r="C1707" s="1568"/>
      <c r="D1707" s="1568"/>
      <c r="E1707" s="1568" t="s">
        <v>3123</v>
      </c>
      <c r="F1707" s="1568"/>
      <c r="G1707" s="1568"/>
      <c r="H1707" s="1568"/>
      <c r="J1707" s="1568" t="s">
        <v>2533</v>
      </c>
      <c r="K1707" s="1568"/>
      <c r="L1707" s="1568"/>
      <c r="M1707" s="1566">
        <v>0</v>
      </c>
      <c r="N1707" s="1566"/>
      <c r="O1707" s="1566"/>
      <c r="P1707" s="1566">
        <v>0</v>
      </c>
      <c r="Q1707" s="1566"/>
      <c r="R1707" s="1566"/>
      <c r="S1707" s="1566">
        <v>125523.16</v>
      </c>
      <c r="T1707" s="1566"/>
      <c r="U1707" s="1566"/>
      <c r="V1707" s="1566"/>
      <c r="W1707" s="1566">
        <v>125523.16</v>
      </c>
      <c r="X1707" s="1566"/>
      <c r="Y1707" s="1566"/>
      <c r="Z1707" s="1566"/>
      <c r="AA1707" s="1566">
        <v>0</v>
      </c>
      <c r="AB1707" s="1566"/>
      <c r="AC1707" s="1566"/>
      <c r="AD1707" s="1566"/>
      <c r="AE1707" s="1566"/>
      <c r="AF1707" s="1566"/>
      <c r="AG1707" s="1566">
        <v>0</v>
      </c>
      <c r="AH1707" s="1566"/>
      <c r="AI1707" s="1566"/>
      <c r="AJ1707" s="1566"/>
      <c r="AK1707" s="1566"/>
    </row>
    <row r="1708" spans="2:37" ht="9.4" customHeight="1">
      <c r="B1708" s="1568" t="s">
        <v>1326</v>
      </c>
      <c r="C1708" s="1568"/>
      <c r="D1708" s="1568"/>
      <c r="E1708" s="1568" t="s">
        <v>6293</v>
      </c>
      <c r="F1708" s="1568"/>
      <c r="G1708" s="1568"/>
      <c r="H1708" s="1568"/>
      <c r="J1708" s="1568" t="s">
        <v>2535</v>
      </c>
      <c r="K1708" s="1568"/>
      <c r="L1708" s="1568"/>
      <c r="M1708" s="1566">
        <v>0</v>
      </c>
      <c r="N1708" s="1566"/>
      <c r="O1708" s="1566"/>
      <c r="P1708" s="1566">
        <v>0</v>
      </c>
      <c r="Q1708" s="1566"/>
      <c r="R1708" s="1566"/>
      <c r="S1708" s="1566">
        <v>0</v>
      </c>
      <c r="T1708" s="1566"/>
      <c r="U1708" s="1566"/>
      <c r="V1708" s="1566"/>
      <c r="W1708" s="1566">
        <v>0</v>
      </c>
      <c r="X1708" s="1566"/>
      <c r="Y1708" s="1566"/>
      <c r="Z1708" s="1566"/>
      <c r="AA1708" s="1566">
        <v>0</v>
      </c>
      <c r="AB1708" s="1566"/>
      <c r="AC1708" s="1566"/>
      <c r="AD1708" s="1566"/>
      <c r="AE1708" s="1566"/>
      <c r="AF1708" s="1566"/>
      <c r="AG1708" s="1566">
        <v>0</v>
      </c>
      <c r="AH1708" s="1566"/>
      <c r="AI1708" s="1566"/>
      <c r="AJ1708" s="1566"/>
      <c r="AK1708" s="1566"/>
    </row>
    <row r="1709" spans="2:37" ht="9.4" customHeight="1">
      <c r="B1709" s="1568" t="s">
        <v>1326</v>
      </c>
      <c r="C1709" s="1568"/>
      <c r="D1709" s="1568"/>
      <c r="E1709" s="1568" t="s">
        <v>1703</v>
      </c>
      <c r="F1709" s="1568"/>
      <c r="G1709" s="1568"/>
      <c r="H1709" s="1568"/>
      <c r="J1709" s="1568" t="s">
        <v>1704</v>
      </c>
      <c r="K1709" s="1568"/>
      <c r="L1709" s="1568"/>
      <c r="M1709" s="1566">
        <v>11283783.07</v>
      </c>
      <c r="N1709" s="1566"/>
      <c r="O1709" s="1566"/>
      <c r="P1709" s="1566">
        <v>0</v>
      </c>
      <c r="Q1709" s="1566"/>
      <c r="R1709" s="1566"/>
      <c r="S1709" s="1566">
        <v>3736719.24</v>
      </c>
      <c r="T1709" s="1566"/>
      <c r="U1709" s="1566"/>
      <c r="V1709" s="1566"/>
      <c r="W1709" s="1566">
        <v>0</v>
      </c>
      <c r="X1709" s="1566"/>
      <c r="Y1709" s="1566"/>
      <c r="Z1709" s="1566"/>
      <c r="AA1709" s="1566">
        <v>15020502.310000001</v>
      </c>
      <c r="AB1709" s="1566"/>
      <c r="AC1709" s="1566"/>
      <c r="AD1709" s="1566"/>
      <c r="AE1709" s="1566"/>
      <c r="AF1709" s="1566"/>
      <c r="AG1709" s="1566">
        <v>0</v>
      </c>
      <c r="AH1709" s="1566"/>
      <c r="AI1709" s="1566"/>
      <c r="AJ1709" s="1566"/>
      <c r="AK1709" s="1566"/>
    </row>
    <row r="1710" spans="2:37" ht="9.4" customHeight="1">
      <c r="B1710" s="1568" t="s">
        <v>1326</v>
      </c>
      <c r="C1710" s="1568"/>
      <c r="D1710" s="1568"/>
      <c r="E1710" s="1568" t="s">
        <v>2781</v>
      </c>
      <c r="F1710" s="1568"/>
      <c r="G1710" s="1568"/>
      <c r="H1710" s="1568"/>
      <c r="J1710" s="1568" t="s">
        <v>2392</v>
      </c>
      <c r="K1710" s="1568"/>
      <c r="L1710" s="1568"/>
      <c r="M1710" s="1566">
        <v>126814.5</v>
      </c>
      <c r="N1710" s="1566"/>
      <c r="O1710" s="1566"/>
      <c r="P1710" s="1566">
        <v>0</v>
      </c>
      <c r="Q1710" s="1566"/>
      <c r="R1710" s="1566"/>
      <c r="S1710" s="1566">
        <v>42271.5</v>
      </c>
      <c r="T1710" s="1566"/>
      <c r="U1710" s="1566"/>
      <c r="V1710" s="1566"/>
      <c r="W1710" s="1566">
        <v>0</v>
      </c>
      <c r="X1710" s="1566"/>
      <c r="Y1710" s="1566"/>
      <c r="Z1710" s="1566"/>
      <c r="AA1710" s="1566">
        <v>169086</v>
      </c>
      <c r="AB1710" s="1566"/>
      <c r="AC1710" s="1566"/>
      <c r="AD1710" s="1566"/>
      <c r="AE1710" s="1566"/>
      <c r="AF1710" s="1566"/>
      <c r="AG1710" s="1566">
        <v>0</v>
      </c>
      <c r="AH1710" s="1566"/>
      <c r="AI1710" s="1566"/>
      <c r="AJ1710" s="1566"/>
      <c r="AK1710" s="1566"/>
    </row>
    <row r="1711" spans="2:37" ht="9.4" customHeight="1">
      <c r="B1711" s="1568" t="s">
        <v>1326</v>
      </c>
      <c r="C1711" s="1568"/>
      <c r="D1711" s="1568"/>
      <c r="E1711" s="1568" t="s">
        <v>2782</v>
      </c>
      <c r="F1711" s="1568"/>
      <c r="G1711" s="1568"/>
      <c r="H1711" s="1568"/>
      <c r="J1711" s="1568" t="s">
        <v>2401</v>
      </c>
      <c r="K1711" s="1568"/>
      <c r="L1711" s="1568"/>
      <c r="M1711" s="1566">
        <v>17965.400000000001</v>
      </c>
      <c r="N1711" s="1566"/>
      <c r="O1711" s="1566"/>
      <c r="P1711" s="1566">
        <v>0</v>
      </c>
      <c r="Q1711" s="1566"/>
      <c r="R1711" s="1566"/>
      <c r="S1711" s="1566">
        <v>7186.16</v>
      </c>
      <c r="T1711" s="1566"/>
      <c r="U1711" s="1566"/>
      <c r="V1711" s="1566"/>
      <c r="W1711" s="1566">
        <v>0</v>
      </c>
      <c r="X1711" s="1566"/>
      <c r="Y1711" s="1566"/>
      <c r="Z1711" s="1566"/>
      <c r="AA1711" s="1566">
        <v>25151.56</v>
      </c>
      <c r="AB1711" s="1566"/>
      <c r="AC1711" s="1566"/>
      <c r="AD1711" s="1566"/>
      <c r="AE1711" s="1566"/>
      <c r="AF1711" s="1566"/>
      <c r="AG1711" s="1566">
        <v>0</v>
      </c>
      <c r="AH1711" s="1566"/>
      <c r="AI1711" s="1566"/>
      <c r="AJ1711" s="1566"/>
      <c r="AK1711" s="1566"/>
    </row>
    <row r="1712" spans="2:37" ht="9.4" customHeight="1">
      <c r="B1712" s="1568" t="s">
        <v>1326</v>
      </c>
      <c r="C1712" s="1568"/>
      <c r="D1712" s="1568"/>
      <c r="E1712" s="1568" t="s">
        <v>2783</v>
      </c>
      <c r="F1712" s="1568"/>
      <c r="G1712" s="1568"/>
      <c r="H1712" s="1568"/>
      <c r="J1712" s="1568" t="s">
        <v>2403</v>
      </c>
      <c r="K1712" s="1568"/>
      <c r="L1712" s="1568"/>
      <c r="M1712" s="1566">
        <v>615.27</v>
      </c>
      <c r="N1712" s="1566"/>
      <c r="O1712" s="1566"/>
      <c r="P1712" s="1566">
        <v>0</v>
      </c>
      <c r="Q1712" s="1566"/>
      <c r="R1712" s="1566"/>
      <c r="S1712" s="1566">
        <v>205.09</v>
      </c>
      <c r="T1712" s="1566"/>
      <c r="U1712" s="1566"/>
      <c r="V1712" s="1566"/>
      <c r="W1712" s="1566">
        <v>0</v>
      </c>
      <c r="X1712" s="1566"/>
      <c r="Y1712" s="1566"/>
      <c r="Z1712" s="1566"/>
      <c r="AA1712" s="1566">
        <v>820.36</v>
      </c>
      <c r="AB1712" s="1566"/>
      <c r="AC1712" s="1566"/>
      <c r="AD1712" s="1566"/>
      <c r="AE1712" s="1566"/>
      <c r="AF1712" s="1566"/>
      <c r="AG1712" s="1566">
        <v>0</v>
      </c>
      <c r="AH1712" s="1566"/>
      <c r="AI1712" s="1566"/>
      <c r="AJ1712" s="1566"/>
      <c r="AK1712" s="1566"/>
    </row>
    <row r="1713" spans="2:37" ht="9.4" customHeight="1">
      <c r="B1713" s="1568" t="s">
        <v>1326</v>
      </c>
      <c r="C1713" s="1568"/>
      <c r="D1713" s="1568"/>
      <c r="E1713" s="1568" t="s">
        <v>2784</v>
      </c>
      <c r="F1713" s="1568"/>
      <c r="G1713" s="1568"/>
      <c r="H1713" s="1568"/>
      <c r="J1713" s="1568" t="s">
        <v>2405</v>
      </c>
      <c r="K1713" s="1568"/>
      <c r="L1713" s="1568"/>
      <c r="M1713" s="1566">
        <v>10378.68</v>
      </c>
      <c r="N1713" s="1566"/>
      <c r="O1713" s="1566"/>
      <c r="P1713" s="1566">
        <v>0</v>
      </c>
      <c r="Q1713" s="1566"/>
      <c r="R1713" s="1566"/>
      <c r="S1713" s="1566">
        <v>3495.18</v>
      </c>
      <c r="T1713" s="1566"/>
      <c r="U1713" s="1566"/>
      <c r="V1713" s="1566"/>
      <c r="W1713" s="1566">
        <v>0</v>
      </c>
      <c r="X1713" s="1566"/>
      <c r="Y1713" s="1566"/>
      <c r="Z1713" s="1566"/>
      <c r="AA1713" s="1566">
        <v>13873.86</v>
      </c>
      <c r="AB1713" s="1566"/>
      <c r="AC1713" s="1566"/>
      <c r="AD1713" s="1566"/>
      <c r="AE1713" s="1566"/>
      <c r="AF1713" s="1566"/>
      <c r="AG1713" s="1566">
        <v>0</v>
      </c>
      <c r="AH1713" s="1566"/>
      <c r="AI1713" s="1566"/>
      <c r="AJ1713" s="1566"/>
      <c r="AK1713" s="1566"/>
    </row>
    <row r="1714" spans="2:37" ht="9.4" customHeight="1">
      <c r="B1714" s="1568" t="s">
        <v>1326</v>
      </c>
      <c r="C1714" s="1568"/>
      <c r="D1714" s="1568"/>
      <c r="E1714" s="1568" t="s">
        <v>2785</v>
      </c>
      <c r="F1714" s="1568"/>
      <c r="G1714" s="1568"/>
      <c r="H1714" s="1568"/>
      <c r="J1714" s="1568" t="s">
        <v>2407</v>
      </c>
      <c r="K1714" s="1568"/>
      <c r="L1714" s="1568"/>
      <c r="M1714" s="1566">
        <v>7983.6</v>
      </c>
      <c r="N1714" s="1566"/>
      <c r="O1714" s="1566"/>
      <c r="P1714" s="1566">
        <v>0</v>
      </c>
      <c r="Q1714" s="1566"/>
      <c r="R1714" s="1566"/>
      <c r="S1714" s="1566">
        <v>2688.6</v>
      </c>
      <c r="T1714" s="1566"/>
      <c r="U1714" s="1566"/>
      <c r="V1714" s="1566"/>
      <c r="W1714" s="1566">
        <v>0</v>
      </c>
      <c r="X1714" s="1566"/>
      <c r="Y1714" s="1566"/>
      <c r="Z1714" s="1566"/>
      <c r="AA1714" s="1566">
        <v>10672.2</v>
      </c>
      <c r="AB1714" s="1566"/>
      <c r="AC1714" s="1566"/>
      <c r="AD1714" s="1566"/>
      <c r="AE1714" s="1566"/>
      <c r="AF1714" s="1566"/>
      <c r="AG1714" s="1566">
        <v>0</v>
      </c>
      <c r="AH1714" s="1566"/>
      <c r="AI1714" s="1566"/>
      <c r="AJ1714" s="1566"/>
      <c r="AK1714" s="1566"/>
    </row>
    <row r="1715" spans="2:37" ht="9.4" customHeight="1">
      <c r="B1715" s="1568" t="s">
        <v>1326</v>
      </c>
      <c r="C1715" s="1568"/>
      <c r="D1715" s="1568"/>
      <c r="E1715" s="1568" t="s">
        <v>3350</v>
      </c>
      <c r="F1715" s="1568"/>
      <c r="G1715" s="1568"/>
      <c r="H1715" s="1568"/>
      <c r="J1715" s="1568" t="s">
        <v>2409</v>
      </c>
      <c r="K1715" s="1568"/>
      <c r="L1715" s="1568"/>
      <c r="M1715" s="1566">
        <v>928712.04</v>
      </c>
      <c r="N1715" s="1566"/>
      <c r="O1715" s="1566"/>
      <c r="P1715" s="1566">
        <v>0</v>
      </c>
      <c r="Q1715" s="1566"/>
      <c r="R1715" s="1566"/>
      <c r="S1715" s="1566">
        <v>309570.68</v>
      </c>
      <c r="T1715" s="1566"/>
      <c r="U1715" s="1566"/>
      <c r="V1715" s="1566"/>
      <c r="W1715" s="1566">
        <v>0</v>
      </c>
      <c r="X1715" s="1566"/>
      <c r="Y1715" s="1566"/>
      <c r="Z1715" s="1566"/>
      <c r="AA1715" s="1566">
        <v>1238282.72</v>
      </c>
      <c r="AB1715" s="1566"/>
      <c r="AC1715" s="1566"/>
      <c r="AD1715" s="1566"/>
      <c r="AE1715" s="1566"/>
      <c r="AF1715" s="1566"/>
      <c r="AG1715" s="1566">
        <v>0</v>
      </c>
      <c r="AH1715" s="1566"/>
      <c r="AI1715" s="1566"/>
      <c r="AJ1715" s="1566"/>
      <c r="AK1715" s="1566"/>
    </row>
    <row r="1716" spans="2:37" ht="9.4" customHeight="1">
      <c r="B1716" s="1568" t="s">
        <v>1326</v>
      </c>
      <c r="C1716" s="1568"/>
      <c r="D1716" s="1568"/>
      <c r="E1716" s="1568" t="s">
        <v>3351</v>
      </c>
      <c r="F1716" s="1568"/>
      <c r="G1716" s="1568"/>
      <c r="H1716" s="1568"/>
      <c r="J1716" s="1568" t="s">
        <v>2409</v>
      </c>
      <c r="K1716" s="1568"/>
      <c r="L1716" s="1568"/>
      <c r="M1716" s="1566">
        <v>316363.74</v>
      </c>
      <c r="N1716" s="1566"/>
      <c r="O1716" s="1566"/>
      <c r="P1716" s="1566">
        <v>0</v>
      </c>
      <c r="Q1716" s="1566"/>
      <c r="R1716" s="1566"/>
      <c r="S1716" s="1566">
        <v>105454.58</v>
      </c>
      <c r="T1716" s="1566"/>
      <c r="U1716" s="1566"/>
      <c r="V1716" s="1566"/>
      <c r="W1716" s="1566">
        <v>0</v>
      </c>
      <c r="X1716" s="1566"/>
      <c r="Y1716" s="1566"/>
      <c r="Z1716" s="1566"/>
      <c r="AA1716" s="1566">
        <v>421818.32</v>
      </c>
      <c r="AB1716" s="1566"/>
      <c r="AC1716" s="1566"/>
      <c r="AD1716" s="1566"/>
      <c r="AE1716" s="1566"/>
      <c r="AF1716" s="1566"/>
      <c r="AG1716" s="1566">
        <v>0</v>
      </c>
      <c r="AH1716" s="1566"/>
      <c r="AI1716" s="1566"/>
      <c r="AJ1716" s="1566"/>
      <c r="AK1716" s="1566"/>
    </row>
    <row r="1717" spans="2:37" ht="9.4" customHeight="1">
      <c r="B1717" s="1568" t="s">
        <v>1326</v>
      </c>
      <c r="C1717" s="1568"/>
      <c r="D1717" s="1568"/>
      <c r="E1717" s="1568" t="s">
        <v>3352</v>
      </c>
      <c r="F1717" s="1568"/>
      <c r="G1717" s="1568"/>
      <c r="H1717" s="1568"/>
      <c r="J1717" s="1568" t="s">
        <v>2409</v>
      </c>
      <c r="K1717" s="1568"/>
      <c r="L1717" s="1568"/>
      <c r="M1717" s="1566">
        <v>232000</v>
      </c>
      <c r="N1717" s="1566"/>
      <c r="O1717" s="1566"/>
      <c r="P1717" s="1566">
        <v>0</v>
      </c>
      <c r="Q1717" s="1566"/>
      <c r="R1717" s="1566"/>
      <c r="S1717" s="1566">
        <v>78500</v>
      </c>
      <c r="T1717" s="1566"/>
      <c r="U1717" s="1566"/>
      <c r="V1717" s="1566"/>
      <c r="W1717" s="1566">
        <v>0</v>
      </c>
      <c r="X1717" s="1566"/>
      <c r="Y1717" s="1566"/>
      <c r="Z1717" s="1566"/>
      <c r="AA1717" s="1566">
        <v>310500</v>
      </c>
      <c r="AB1717" s="1566"/>
      <c r="AC1717" s="1566"/>
      <c r="AD1717" s="1566"/>
      <c r="AE1717" s="1566"/>
      <c r="AF1717" s="1566"/>
      <c r="AG1717" s="1566">
        <v>0</v>
      </c>
      <c r="AH1717" s="1566"/>
      <c r="AI1717" s="1566"/>
      <c r="AJ1717" s="1566"/>
      <c r="AK1717" s="1566"/>
    </row>
    <row r="1718" spans="2:37" ht="9.4" customHeight="1">
      <c r="B1718" s="1568" t="s">
        <v>1326</v>
      </c>
      <c r="C1718" s="1568"/>
      <c r="D1718" s="1568"/>
      <c r="E1718" s="1568" t="s">
        <v>2786</v>
      </c>
      <c r="F1718" s="1568"/>
      <c r="G1718" s="1568"/>
      <c r="H1718" s="1568"/>
      <c r="J1718" s="1568" t="s">
        <v>2392</v>
      </c>
      <c r="K1718" s="1568"/>
      <c r="L1718" s="1568"/>
      <c r="M1718" s="1566">
        <v>640308.6</v>
      </c>
      <c r="N1718" s="1566"/>
      <c r="O1718" s="1566"/>
      <c r="P1718" s="1566">
        <v>0</v>
      </c>
      <c r="Q1718" s="1566"/>
      <c r="R1718" s="1566"/>
      <c r="S1718" s="1566">
        <v>213436.2</v>
      </c>
      <c r="T1718" s="1566"/>
      <c r="U1718" s="1566"/>
      <c r="V1718" s="1566"/>
      <c r="W1718" s="1566">
        <v>0</v>
      </c>
      <c r="X1718" s="1566"/>
      <c r="Y1718" s="1566"/>
      <c r="Z1718" s="1566"/>
      <c r="AA1718" s="1566">
        <v>853744.8</v>
      </c>
      <c r="AB1718" s="1566"/>
      <c r="AC1718" s="1566"/>
      <c r="AD1718" s="1566"/>
      <c r="AE1718" s="1566"/>
      <c r="AF1718" s="1566"/>
      <c r="AG1718" s="1566">
        <v>0</v>
      </c>
      <c r="AH1718" s="1566"/>
      <c r="AI1718" s="1566"/>
      <c r="AJ1718" s="1566"/>
      <c r="AK1718" s="1566"/>
    </row>
    <row r="1719" spans="2:37" ht="9.4" customHeight="1">
      <c r="B1719" s="1568" t="s">
        <v>1326</v>
      </c>
      <c r="C1719" s="1568"/>
      <c r="D1719" s="1568"/>
      <c r="E1719" s="1568" t="s">
        <v>2787</v>
      </c>
      <c r="F1719" s="1568"/>
      <c r="G1719" s="1568"/>
      <c r="H1719" s="1568"/>
      <c r="J1719" s="1568" t="s">
        <v>2401</v>
      </c>
      <c r="K1719" s="1568"/>
      <c r="L1719" s="1568"/>
      <c r="M1719" s="1566">
        <v>90710.5</v>
      </c>
      <c r="N1719" s="1566"/>
      <c r="O1719" s="1566"/>
      <c r="P1719" s="1566">
        <v>0</v>
      </c>
      <c r="Q1719" s="1566"/>
      <c r="R1719" s="1566"/>
      <c r="S1719" s="1566">
        <v>36284.199999999997</v>
      </c>
      <c r="T1719" s="1566"/>
      <c r="U1719" s="1566"/>
      <c r="V1719" s="1566"/>
      <c r="W1719" s="1566">
        <v>0</v>
      </c>
      <c r="X1719" s="1566"/>
      <c r="Y1719" s="1566"/>
      <c r="Z1719" s="1566"/>
      <c r="AA1719" s="1566">
        <v>126994.7</v>
      </c>
      <c r="AB1719" s="1566"/>
      <c r="AC1719" s="1566"/>
      <c r="AD1719" s="1566"/>
      <c r="AE1719" s="1566"/>
      <c r="AF1719" s="1566"/>
      <c r="AG1719" s="1566">
        <v>0</v>
      </c>
      <c r="AH1719" s="1566"/>
      <c r="AI1719" s="1566"/>
      <c r="AJ1719" s="1566"/>
      <c r="AK1719" s="1566"/>
    </row>
    <row r="1720" spans="2:37" ht="9.4" customHeight="1">
      <c r="B1720" s="1568" t="s">
        <v>1326</v>
      </c>
      <c r="C1720" s="1568"/>
      <c r="D1720" s="1568"/>
      <c r="E1720" s="1568" t="s">
        <v>2788</v>
      </c>
      <c r="F1720" s="1568"/>
      <c r="G1720" s="1568"/>
      <c r="H1720" s="1568"/>
      <c r="J1720" s="1568" t="s">
        <v>2403</v>
      </c>
      <c r="K1720" s="1568"/>
      <c r="L1720" s="1568"/>
      <c r="M1720" s="1566">
        <v>1968.9</v>
      </c>
      <c r="N1720" s="1566"/>
      <c r="O1720" s="1566"/>
      <c r="P1720" s="1566">
        <v>0</v>
      </c>
      <c r="Q1720" s="1566"/>
      <c r="R1720" s="1566"/>
      <c r="S1720" s="1566">
        <v>656.3</v>
      </c>
      <c r="T1720" s="1566"/>
      <c r="U1720" s="1566"/>
      <c r="V1720" s="1566"/>
      <c r="W1720" s="1566">
        <v>0</v>
      </c>
      <c r="X1720" s="1566"/>
      <c r="Y1720" s="1566"/>
      <c r="Z1720" s="1566"/>
      <c r="AA1720" s="1566">
        <v>2625.2</v>
      </c>
      <c r="AB1720" s="1566"/>
      <c r="AC1720" s="1566"/>
      <c r="AD1720" s="1566"/>
      <c r="AE1720" s="1566"/>
      <c r="AF1720" s="1566"/>
      <c r="AG1720" s="1566">
        <v>0</v>
      </c>
      <c r="AH1720" s="1566"/>
      <c r="AI1720" s="1566"/>
      <c r="AJ1720" s="1566"/>
      <c r="AK1720" s="1566"/>
    </row>
    <row r="1721" spans="2:37" ht="9.4" customHeight="1">
      <c r="B1721" s="1568" t="s">
        <v>1326</v>
      </c>
      <c r="C1721" s="1568"/>
      <c r="D1721" s="1568"/>
      <c r="E1721" s="1568" t="s">
        <v>2789</v>
      </c>
      <c r="F1721" s="1568"/>
      <c r="G1721" s="1568"/>
      <c r="H1721" s="1568"/>
      <c r="J1721" s="1568" t="s">
        <v>2405</v>
      </c>
      <c r="K1721" s="1568"/>
      <c r="L1721" s="1568"/>
      <c r="M1721" s="1566">
        <v>62272.08</v>
      </c>
      <c r="N1721" s="1566"/>
      <c r="O1721" s="1566"/>
      <c r="P1721" s="1566">
        <v>0</v>
      </c>
      <c r="Q1721" s="1566"/>
      <c r="R1721" s="1566"/>
      <c r="S1721" s="1566">
        <v>20971.080000000002</v>
      </c>
      <c r="T1721" s="1566"/>
      <c r="U1721" s="1566"/>
      <c r="V1721" s="1566"/>
      <c r="W1721" s="1566">
        <v>0</v>
      </c>
      <c r="X1721" s="1566"/>
      <c r="Y1721" s="1566"/>
      <c r="Z1721" s="1566"/>
      <c r="AA1721" s="1566">
        <v>83243.16</v>
      </c>
      <c r="AB1721" s="1566"/>
      <c r="AC1721" s="1566"/>
      <c r="AD1721" s="1566"/>
      <c r="AE1721" s="1566"/>
      <c r="AF1721" s="1566"/>
      <c r="AG1721" s="1566">
        <v>0</v>
      </c>
      <c r="AH1721" s="1566"/>
      <c r="AI1721" s="1566"/>
      <c r="AJ1721" s="1566"/>
      <c r="AK1721" s="1566"/>
    </row>
    <row r="1722" spans="2:37" ht="9.4" customHeight="1">
      <c r="B1722" s="1568" t="s">
        <v>1326</v>
      </c>
      <c r="C1722" s="1568"/>
      <c r="D1722" s="1568"/>
      <c r="E1722" s="1568" t="s">
        <v>2790</v>
      </c>
      <c r="F1722" s="1568"/>
      <c r="G1722" s="1568"/>
      <c r="H1722" s="1568"/>
      <c r="J1722" s="1568" t="s">
        <v>2407</v>
      </c>
      <c r="K1722" s="1568"/>
      <c r="L1722" s="1568"/>
      <c r="M1722" s="1566">
        <v>47901.599999999999</v>
      </c>
      <c r="N1722" s="1566"/>
      <c r="O1722" s="1566"/>
      <c r="P1722" s="1566">
        <v>0</v>
      </c>
      <c r="Q1722" s="1566"/>
      <c r="R1722" s="1566"/>
      <c r="S1722" s="1566">
        <v>16131.6</v>
      </c>
      <c r="T1722" s="1566"/>
      <c r="U1722" s="1566"/>
      <c r="V1722" s="1566"/>
      <c r="W1722" s="1566">
        <v>0</v>
      </c>
      <c r="X1722" s="1566"/>
      <c r="Y1722" s="1566"/>
      <c r="Z1722" s="1566"/>
      <c r="AA1722" s="1566">
        <v>64033.2</v>
      </c>
      <c r="AB1722" s="1566"/>
      <c r="AC1722" s="1566"/>
      <c r="AD1722" s="1566"/>
      <c r="AE1722" s="1566"/>
      <c r="AF1722" s="1566"/>
      <c r="AG1722" s="1566">
        <v>0</v>
      </c>
      <c r="AH1722" s="1566"/>
      <c r="AI1722" s="1566"/>
      <c r="AJ1722" s="1566"/>
      <c r="AK1722" s="1566"/>
    </row>
    <row r="1723" spans="2:37" ht="9.4" customHeight="1">
      <c r="B1723" s="1568" t="s">
        <v>1326</v>
      </c>
      <c r="C1723" s="1568"/>
      <c r="D1723" s="1568"/>
      <c r="E1723" s="1568" t="s">
        <v>2870</v>
      </c>
      <c r="F1723" s="1568"/>
      <c r="G1723" s="1568"/>
      <c r="H1723" s="1568"/>
      <c r="J1723" s="1568" t="s">
        <v>2421</v>
      </c>
      <c r="K1723" s="1568"/>
      <c r="L1723" s="1568"/>
      <c r="M1723" s="1566">
        <v>93393.76</v>
      </c>
      <c r="N1723" s="1566"/>
      <c r="O1723" s="1566"/>
      <c r="P1723" s="1566">
        <v>0</v>
      </c>
      <c r="Q1723" s="1566"/>
      <c r="R1723" s="1566"/>
      <c r="S1723" s="1566">
        <v>24245.5</v>
      </c>
      <c r="T1723" s="1566"/>
      <c r="U1723" s="1566"/>
      <c r="V1723" s="1566"/>
      <c r="W1723" s="1566">
        <v>0</v>
      </c>
      <c r="X1723" s="1566"/>
      <c r="Y1723" s="1566"/>
      <c r="Z1723" s="1566"/>
      <c r="AA1723" s="1566">
        <v>117639.26</v>
      </c>
      <c r="AB1723" s="1566"/>
      <c r="AC1723" s="1566"/>
      <c r="AD1723" s="1566"/>
      <c r="AE1723" s="1566"/>
      <c r="AF1723" s="1566"/>
      <c r="AG1723" s="1566">
        <v>0</v>
      </c>
      <c r="AH1723" s="1566"/>
      <c r="AI1723" s="1566"/>
      <c r="AJ1723" s="1566"/>
      <c r="AK1723" s="1566"/>
    </row>
    <row r="1724" spans="2:37" ht="9.4" customHeight="1">
      <c r="B1724" s="1568" t="s">
        <v>1326</v>
      </c>
      <c r="C1724" s="1568"/>
      <c r="D1724" s="1568"/>
      <c r="E1724" s="1568" t="s">
        <v>2791</v>
      </c>
      <c r="F1724" s="1568"/>
      <c r="G1724" s="1568"/>
      <c r="H1724" s="1568"/>
      <c r="J1724" s="1568" t="s">
        <v>2423</v>
      </c>
      <c r="K1724" s="1568"/>
      <c r="L1724" s="1568"/>
      <c r="M1724" s="1566">
        <v>974840.73</v>
      </c>
      <c r="N1724" s="1566"/>
      <c r="O1724" s="1566"/>
      <c r="P1724" s="1566">
        <v>0</v>
      </c>
      <c r="Q1724" s="1566"/>
      <c r="R1724" s="1566"/>
      <c r="S1724" s="1566">
        <v>351664.54</v>
      </c>
      <c r="T1724" s="1566"/>
      <c r="U1724" s="1566"/>
      <c r="V1724" s="1566"/>
      <c r="W1724" s="1566">
        <v>0</v>
      </c>
      <c r="X1724" s="1566"/>
      <c r="Y1724" s="1566"/>
      <c r="Z1724" s="1566"/>
      <c r="AA1724" s="1566">
        <v>1326505.27</v>
      </c>
      <c r="AB1724" s="1566"/>
      <c r="AC1724" s="1566"/>
      <c r="AD1724" s="1566"/>
      <c r="AE1724" s="1566"/>
      <c r="AF1724" s="1566"/>
      <c r="AG1724" s="1566">
        <v>0</v>
      </c>
      <c r="AH1724" s="1566"/>
      <c r="AI1724" s="1566"/>
      <c r="AJ1724" s="1566"/>
      <c r="AK1724" s="1566"/>
    </row>
    <row r="1725" spans="2:37" ht="9.4" customHeight="1">
      <c r="B1725" s="1568" t="s">
        <v>1326</v>
      </c>
      <c r="C1725" s="1568"/>
      <c r="D1725" s="1568"/>
      <c r="E1725" s="1568" t="s">
        <v>2792</v>
      </c>
      <c r="F1725" s="1568"/>
      <c r="G1725" s="1568"/>
      <c r="H1725" s="1568"/>
      <c r="J1725" s="1568" t="s">
        <v>2426</v>
      </c>
      <c r="K1725" s="1568"/>
      <c r="L1725" s="1568"/>
      <c r="M1725" s="1566">
        <v>46192.44</v>
      </c>
      <c r="N1725" s="1566"/>
      <c r="O1725" s="1566"/>
      <c r="P1725" s="1566">
        <v>0</v>
      </c>
      <c r="Q1725" s="1566"/>
      <c r="R1725" s="1566"/>
      <c r="S1725" s="1566">
        <v>15656.85</v>
      </c>
      <c r="T1725" s="1566"/>
      <c r="U1725" s="1566"/>
      <c r="V1725" s="1566"/>
      <c r="W1725" s="1566">
        <v>0</v>
      </c>
      <c r="X1725" s="1566"/>
      <c r="Y1725" s="1566"/>
      <c r="Z1725" s="1566"/>
      <c r="AA1725" s="1566">
        <v>61849.29</v>
      </c>
      <c r="AB1725" s="1566"/>
      <c r="AC1725" s="1566"/>
      <c r="AD1725" s="1566"/>
      <c r="AE1725" s="1566"/>
      <c r="AF1725" s="1566"/>
      <c r="AG1725" s="1566">
        <v>0</v>
      </c>
      <c r="AH1725" s="1566"/>
      <c r="AI1725" s="1566"/>
      <c r="AJ1725" s="1566"/>
      <c r="AK1725" s="1566"/>
    </row>
    <row r="1726" spans="2:37" ht="9.4" customHeight="1">
      <c r="B1726" s="1568" t="s">
        <v>1326</v>
      </c>
      <c r="C1726" s="1568"/>
      <c r="D1726" s="1568"/>
      <c r="E1726" s="1568" t="s">
        <v>2793</v>
      </c>
      <c r="F1726" s="1568"/>
      <c r="G1726" s="1568"/>
      <c r="H1726" s="1568"/>
      <c r="J1726" s="1568" t="s">
        <v>2428</v>
      </c>
      <c r="K1726" s="1568"/>
      <c r="L1726" s="1568"/>
      <c r="M1726" s="1566">
        <v>980140.47</v>
      </c>
      <c r="N1726" s="1566"/>
      <c r="O1726" s="1566"/>
      <c r="P1726" s="1566">
        <v>0</v>
      </c>
      <c r="Q1726" s="1566"/>
      <c r="R1726" s="1566"/>
      <c r="S1726" s="1566">
        <v>401511.32</v>
      </c>
      <c r="T1726" s="1566"/>
      <c r="U1726" s="1566"/>
      <c r="V1726" s="1566"/>
      <c r="W1726" s="1566">
        <v>0</v>
      </c>
      <c r="X1726" s="1566"/>
      <c r="Y1726" s="1566"/>
      <c r="Z1726" s="1566"/>
      <c r="AA1726" s="1566">
        <v>1381651.79</v>
      </c>
      <c r="AB1726" s="1566"/>
      <c r="AC1726" s="1566"/>
      <c r="AD1726" s="1566"/>
      <c r="AE1726" s="1566"/>
      <c r="AF1726" s="1566"/>
      <c r="AG1726" s="1566">
        <v>0</v>
      </c>
      <c r="AH1726" s="1566"/>
      <c r="AI1726" s="1566"/>
      <c r="AJ1726" s="1566"/>
      <c r="AK1726" s="1566"/>
    </row>
    <row r="1727" spans="2:37" ht="9.1999999999999993" customHeight="1">
      <c r="J1727" s="1568"/>
      <c r="K1727" s="1568"/>
      <c r="L1727" s="1568"/>
    </row>
    <row r="1728" spans="2:37" ht="8.4499999999999993" customHeight="1">
      <c r="B1728" s="1568" t="s">
        <v>1326</v>
      </c>
      <c r="C1728" s="1568"/>
      <c r="D1728" s="1568"/>
      <c r="E1728" s="1568" t="s">
        <v>6294</v>
      </c>
      <c r="F1728" s="1568"/>
      <c r="G1728" s="1568"/>
      <c r="H1728" s="1568"/>
      <c r="J1728" s="1568" t="s">
        <v>2421</v>
      </c>
      <c r="K1728" s="1568"/>
      <c r="L1728" s="1568"/>
      <c r="M1728" s="1566">
        <v>14800</v>
      </c>
      <c r="N1728" s="1566"/>
      <c r="O1728" s="1566"/>
      <c r="P1728" s="1566">
        <v>0</v>
      </c>
      <c r="Q1728" s="1566"/>
      <c r="R1728" s="1566"/>
      <c r="S1728" s="1566">
        <v>7400</v>
      </c>
      <c r="T1728" s="1566"/>
      <c r="U1728" s="1566"/>
      <c r="V1728" s="1566"/>
      <c r="W1728" s="1566">
        <v>0</v>
      </c>
      <c r="X1728" s="1566"/>
      <c r="Y1728" s="1566"/>
      <c r="Z1728" s="1566"/>
      <c r="AA1728" s="1566">
        <v>22200</v>
      </c>
      <c r="AB1728" s="1566"/>
      <c r="AC1728" s="1566"/>
      <c r="AD1728" s="1566"/>
      <c r="AE1728" s="1566"/>
      <c r="AF1728" s="1566"/>
      <c r="AG1728" s="1566">
        <v>0</v>
      </c>
      <c r="AH1728" s="1566"/>
      <c r="AI1728" s="1566"/>
      <c r="AJ1728" s="1566"/>
      <c r="AK1728" s="1566"/>
    </row>
    <row r="1729" spans="1:38" ht="9.4" customHeight="1">
      <c r="B1729" s="1568" t="s">
        <v>1326</v>
      </c>
      <c r="C1729" s="1568"/>
      <c r="D1729" s="1568"/>
      <c r="E1729" s="1568" t="s">
        <v>2794</v>
      </c>
      <c r="F1729" s="1568"/>
      <c r="G1729" s="1568"/>
      <c r="H1729" s="1568"/>
      <c r="J1729" s="1568" t="s">
        <v>2423</v>
      </c>
      <c r="K1729" s="1568"/>
      <c r="L1729" s="1568"/>
      <c r="M1729" s="1566">
        <v>391825.67</v>
      </c>
      <c r="N1729" s="1566"/>
      <c r="O1729" s="1566"/>
      <c r="P1729" s="1566">
        <v>0</v>
      </c>
      <c r="Q1729" s="1566"/>
      <c r="R1729" s="1566"/>
      <c r="S1729" s="1566">
        <v>139859.34</v>
      </c>
      <c r="T1729" s="1566"/>
      <c r="U1729" s="1566"/>
      <c r="V1729" s="1566"/>
      <c r="W1729" s="1566">
        <v>0</v>
      </c>
      <c r="X1729" s="1566"/>
      <c r="Y1729" s="1566"/>
      <c r="Z1729" s="1566"/>
      <c r="AA1729" s="1566">
        <v>531685.01</v>
      </c>
      <c r="AB1729" s="1566"/>
      <c r="AC1729" s="1566"/>
      <c r="AD1729" s="1566"/>
      <c r="AE1729" s="1566"/>
      <c r="AF1729" s="1566"/>
      <c r="AG1729" s="1566">
        <v>0</v>
      </c>
      <c r="AH1729" s="1566"/>
      <c r="AI1729" s="1566"/>
      <c r="AJ1729" s="1566"/>
      <c r="AK1729" s="1566"/>
    </row>
    <row r="1730" spans="1:38" ht="9.4" customHeight="1">
      <c r="B1730" s="1568" t="s">
        <v>1326</v>
      </c>
      <c r="C1730" s="1568"/>
      <c r="D1730" s="1568"/>
      <c r="E1730" s="1568" t="s">
        <v>6295</v>
      </c>
      <c r="F1730" s="1568"/>
      <c r="G1730" s="1568"/>
      <c r="H1730" s="1568"/>
      <c r="J1730" s="1568" t="s">
        <v>2428</v>
      </c>
      <c r="K1730" s="1568"/>
      <c r="L1730" s="1568"/>
      <c r="M1730" s="1566">
        <v>175297.75</v>
      </c>
      <c r="N1730" s="1566"/>
      <c r="O1730" s="1566"/>
      <c r="P1730" s="1566">
        <v>0</v>
      </c>
      <c r="Q1730" s="1566"/>
      <c r="R1730" s="1566"/>
      <c r="S1730" s="1566">
        <v>87698.1</v>
      </c>
      <c r="T1730" s="1566"/>
      <c r="U1730" s="1566"/>
      <c r="V1730" s="1566"/>
      <c r="W1730" s="1566">
        <v>0</v>
      </c>
      <c r="X1730" s="1566"/>
      <c r="Y1730" s="1566"/>
      <c r="Z1730" s="1566"/>
      <c r="AA1730" s="1566">
        <v>262995.84999999998</v>
      </c>
      <c r="AB1730" s="1566"/>
      <c r="AC1730" s="1566"/>
      <c r="AD1730" s="1566"/>
      <c r="AE1730" s="1566"/>
      <c r="AF1730" s="1566"/>
      <c r="AG1730" s="1566">
        <v>0</v>
      </c>
      <c r="AH1730" s="1566"/>
      <c r="AI1730" s="1566"/>
      <c r="AJ1730" s="1566"/>
      <c r="AK1730" s="1566"/>
    </row>
    <row r="1731" spans="1:38" ht="9.1999999999999993" customHeight="1">
      <c r="J1731" s="1568"/>
      <c r="K1731" s="1568"/>
      <c r="L1731" s="1568"/>
    </row>
    <row r="1732" spans="1:38" ht="8.65" customHeight="1"/>
    <row r="1733" spans="1:38" ht="14.1" customHeight="1">
      <c r="AG1733" s="1565" t="s">
        <v>6307</v>
      </c>
      <c r="AH1733" s="1565"/>
      <c r="AI1733" s="1565"/>
      <c r="AJ1733" s="1565"/>
      <c r="AK1733" s="1565"/>
      <c r="AL1733" s="1565"/>
    </row>
    <row r="1734" spans="1:38" ht="7.15" customHeight="1">
      <c r="D1734" s="1578" t="s">
        <v>2992</v>
      </c>
      <c r="E1734" s="1578"/>
      <c r="F1734" s="1578"/>
      <c r="G1734" s="1578"/>
      <c r="H1734" s="1578"/>
      <c r="I1734" s="1578"/>
      <c r="J1734" s="1578"/>
      <c r="K1734" s="1578"/>
      <c r="L1734" s="1578"/>
      <c r="M1734" s="1578"/>
      <c r="N1734" s="1578"/>
      <c r="O1734" s="1578"/>
      <c r="P1734" s="1578"/>
      <c r="Q1734" s="1578"/>
      <c r="R1734" s="1578"/>
      <c r="S1734" s="1578"/>
      <c r="T1734" s="1578"/>
      <c r="U1734" s="1578"/>
      <c r="V1734" s="1578"/>
      <c r="W1734" s="1578"/>
      <c r="X1734" s="1578"/>
      <c r="Y1734" s="1578"/>
      <c r="Z1734" s="1578"/>
      <c r="AA1734" s="1578"/>
      <c r="AB1734" s="1578"/>
      <c r="AC1734" s="1578"/>
      <c r="AD1734" s="1578"/>
      <c r="AE1734" s="1578"/>
      <c r="AF1734" s="1578"/>
      <c r="AG1734" s="1578"/>
      <c r="AH1734" s="1578"/>
    </row>
    <row r="1735" spans="1:38" ht="9.6" customHeight="1">
      <c r="A1735" s="1579"/>
      <c r="B1735" s="1579"/>
      <c r="C1735" s="1579"/>
      <c r="D1735" s="1579"/>
      <c r="E1735" s="1579"/>
      <c r="F1735" s="1579"/>
      <c r="G1735" s="1579"/>
      <c r="H1735" s="1579"/>
      <c r="I1735" s="1579"/>
      <c r="J1735" s="1578"/>
      <c r="K1735" s="1578"/>
      <c r="L1735" s="1578"/>
      <c r="M1735" s="1578"/>
      <c r="N1735" s="1578"/>
      <c r="O1735" s="1578"/>
      <c r="P1735" s="1578"/>
      <c r="Q1735" s="1578"/>
      <c r="R1735" s="1578"/>
      <c r="S1735" s="1578"/>
      <c r="T1735" s="1578"/>
      <c r="U1735" s="1578"/>
      <c r="V1735" s="1578"/>
      <c r="W1735" s="1578"/>
      <c r="X1735" s="1578"/>
      <c r="Y1735" s="1578"/>
      <c r="Z1735" s="1578"/>
      <c r="AA1735" s="1578"/>
      <c r="AB1735" s="1578"/>
      <c r="AC1735" s="1578"/>
      <c r="AD1735" s="1578"/>
      <c r="AE1735" s="1578"/>
      <c r="AF1735" s="1578"/>
      <c r="AG1735" s="1578"/>
      <c r="AH1735" s="1578"/>
    </row>
    <row r="1736" spans="1:38" ht="13.35" customHeight="1">
      <c r="A1736" s="1579"/>
      <c r="B1736" s="1579"/>
      <c r="C1736" s="1579"/>
      <c r="D1736" s="1579"/>
      <c r="E1736" s="1579"/>
      <c r="F1736" s="1579"/>
      <c r="G1736" s="1579"/>
      <c r="H1736" s="1579"/>
      <c r="I1736" s="1579"/>
      <c r="J1736" s="1580" t="s">
        <v>79</v>
      </c>
      <c r="K1736" s="1580"/>
      <c r="L1736" s="1580"/>
      <c r="M1736" s="1580"/>
      <c r="N1736" s="1580"/>
      <c r="O1736" s="1580"/>
      <c r="P1736" s="1580"/>
      <c r="Q1736" s="1580"/>
      <c r="R1736" s="1580"/>
      <c r="S1736" s="1580"/>
      <c r="T1736" s="1580"/>
      <c r="U1736" s="1580"/>
      <c r="V1736" s="1580"/>
      <c r="W1736" s="1580"/>
      <c r="X1736" s="1580"/>
      <c r="Y1736" s="1580"/>
      <c r="Z1736" s="1580"/>
      <c r="AA1736" s="1580"/>
      <c r="AB1736" s="1580"/>
      <c r="AC1736" s="1580"/>
      <c r="AD1736" s="1580"/>
      <c r="AE1736" s="1580"/>
      <c r="AF1736" s="1580"/>
    </row>
    <row r="1737" spans="1:38" ht="5.25" customHeight="1">
      <c r="A1737" s="1579"/>
      <c r="B1737" s="1579"/>
      <c r="C1737" s="1579"/>
      <c r="D1737" s="1579"/>
      <c r="E1737" s="1579"/>
      <c r="F1737" s="1579"/>
      <c r="G1737" s="1579"/>
      <c r="H1737" s="1579"/>
      <c r="I1737" s="1579"/>
      <c r="J1737" s="1573" t="s">
        <v>6760</v>
      </c>
      <c r="K1737" s="1573"/>
      <c r="L1737" s="1573"/>
      <c r="M1737" s="1573"/>
      <c r="N1737" s="1573"/>
      <c r="O1737" s="1573"/>
      <c r="P1737" s="1573"/>
      <c r="Q1737" s="1573"/>
      <c r="R1737" s="1573"/>
      <c r="S1737" s="1573"/>
      <c r="T1737" s="1573"/>
      <c r="U1737" s="1573"/>
      <c r="V1737" s="1573"/>
      <c r="W1737" s="1573"/>
      <c r="X1737" s="1573"/>
      <c r="Y1737" s="1573"/>
      <c r="Z1737" s="1573"/>
      <c r="AA1737" s="1573"/>
      <c r="AB1737" s="1573"/>
      <c r="AC1737" s="1573"/>
      <c r="AD1737" s="1573"/>
      <c r="AE1737" s="1573"/>
    </row>
    <row r="1738" spans="1:38" ht="8.1" customHeight="1">
      <c r="C1738" s="1572" t="s">
        <v>1920</v>
      </c>
      <c r="D1738" s="1572"/>
      <c r="E1738" s="1572"/>
      <c r="F1738" s="1572"/>
      <c r="G1738" s="1572"/>
      <c r="H1738" s="1572"/>
      <c r="I1738" s="1572"/>
      <c r="J1738" s="1572"/>
      <c r="K1738" s="1573"/>
      <c r="L1738" s="1573"/>
      <c r="M1738" s="1573"/>
      <c r="N1738" s="1573"/>
      <c r="O1738" s="1573"/>
      <c r="P1738" s="1573"/>
      <c r="Q1738" s="1573"/>
      <c r="R1738" s="1573"/>
      <c r="S1738" s="1573"/>
      <c r="T1738" s="1573"/>
      <c r="U1738" s="1573"/>
      <c r="V1738" s="1573"/>
      <c r="W1738" s="1573"/>
      <c r="X1738" s="1573"/>
      <c r="Y1738" s="1574" t="s">
        <v>5920</v>
      </c>
      <c r="Z1738" s="1574"/>
      <c r="AA1738" s="1574"/>
      <c r="AB1738" s="1574"/>
      <c r="AC1738" s="1574"/>
      <c r="AD1738" s="1574"/>
      <c r="AE1738" s="1574"/>
      <c r="AF1738" s="1574"/>
      <c r="AG1738" s="1574"/>
      <c r="AH1738" s="1575" t="s">
        <v>6761</v>
      </c>
      <c r="AI1738" s="1575"/>
      <c r="AJ1738" s="1575"/>
      <c r="AK1738" s="1575"/>
      <c r="AL1738" s="1575"/>
    </row>
    <row r="1739" spans="1:38" ht="6" customHeight="1">
      <c r="C1739" s="1572"/>
      <c r="D1739" s="1572"/>
      <c r="E1739" s="1572"/>
      <c r="F1739" s="1572"/>
      <c r="G1739" s="1572"/>
      <c r="H1739" s="1572"/>
      <c r="I1739" s="1572"/>
      <c r="J1739" s="1572"/>
      <c r="K1739" s="1576" t="s">
        <v>1999</v>
      </c>
      <c r="L1739" s="1576"/>
      <c r="M1739" s="1576"/>
      <c r="N1739" s="1576"/>
      <c r="O1739" s="1576"/>
      <c r="P1739" s="1576"/>
      <c r="Q1739" s="1576"/>
      <c r="R1739" s="1576"/>
      <c r="S1739" s="1576"/>
      <c r="T1739" s="1576"/>
      <c r="U1739" s="1576"/>
      <c r="V1739" s="1576"/>
      <c r="W1739" s="1576"/>
      <c r="X1739" s="1576"/>
      <c r="Y1739" s="1574"/>
      <c r="Z1739" s="1574"/>
      <c r="AA1739" s="1574"/>
      <c r="AB1739" s="1574"/>
      <c r="AC1739" s="1574"/>
      <c r="AD1739" s="1574"/>
      <c r="AE1739" s="1574"/>
      <c r="AF1739" s="1574"/>
      <c r="AG1739" s="1574"/>
      <c r="AH1739" s="1575"/>
      <c r="AI1739" s="1575"/>
      <c r="AJ1739" s="1575"/>
      <c r="AK1739" s="1575"/>
      <c r="AL1739" s="1575"/>
    </row>
    <row r="1740" spans="1:38" ht="7.35" customHeight="1">
      <c r="C1740" s="1572" t="s">
        <v>1998</v>
      </c>
      <c r="D1740" s="1572"/>
      <c r="E1740" s="1572"/>
      <c r="F1740" s="1572"/>
      <c r="G1740" s="1577"/>
      <c r="H1740" s="1577"/>
      <c r="I1740" s="1577"/>
      <c r="J1740" s="1577"/>
      <c r="K1740" s="1577"/>
      <c r="L1740" s="1577"/>
      <c r="M1740" s="1577"/>
      <c r="N1740" s="1577"/>
      <c r="O1740" s="1577"/>
      <c r="P1740" s="1577"/>
      <c r="Q1740" s="1577"/>
      <c r="R1740" s="1577"/>
      <c r="S1740" s="1577"/>
      <c r="T1740" s="1577"/>
      <c r="U1740" s="1577"/>
      <c r="V1740" s="1577"/>
      <c r="W1740" s="1577"/>
      <c r="X1740" s="1577"/>
      <c r="Y1740" s="1577"/>
      <c r="Z1740" s="1577"/>
      <c r="AA1740" s="1577"/>
      <c r="AB1740" s="1577"/>
      <c r="AC1740" s="1577"/>
      <c r="AD1740" s="1577"/>
      <c r="AE1740" s="1577"/>
      <c r="AF1740" s="1574"/>
      <c r="AG1740" s="1574"/>
      <c r="AH1740" s="1574" t="s">
        <v>6762</v>
      </c>
      <c r="AI1740" s="1574"/>
    </row>
    <row r="1741" spans="1:38" ht="6.75" customHeight="1">
      <c r="G1741" s="1577"/>
      <c r="H1741" s="1577"/>
      <c r="I1741" s="1577"/>
      <c r="J1741" s="1577"/>
      <c r="K1741" s="1577"/>
      <c r="L1741" s="1577"/>
      <c r="M1741" s="1577"/>
      <c r="N1741" s="1577"/>
      <c r="O1741" s="1577"/>
      <c r="P1741" s="1577"/>
      <c r="Q1741" s="1577"/>
      <c r="R1741" s="1577"/>
      <c r="S1741" s="1577"/>
      <c r="T1741" s="1577"/>
      <c r="U1741" s="1577"/>
      <c r="V1741" s="1577"/>
      <c r="W1741" s="1577"/>
      <c r="X1741" s="1577"/>
      <c r="Y1741" s="1577"/>
      <c r="Z1741" s="1577"/>
      <c r="AA1741" s="1577"/>
      <c r="AB1741" s="1577"/>
      <c r="AC1741" s="1577"/>
      <c r="AD1741" s="1577"/>
      <c r="AE1741" s="1577"/>
      <c r="AF1741" s="1574"/>
      <c r="AG1741" s="1574"/>
      <c r="AH1741" s="1574"/>
      <c r="AI1741" s="1574"/>
    </row>
    <row r="1742" spans="1:38" ht="11.25" customHeight="1">
      <c r="O1742" s="1570" t="s">
        <v>1318</v>
      </c>
      <c r="P1742" s="1570"/>
      <c r="Q1742" s="1570"/>
      <c r="V1742" s="1570" t="s">
        <v>1319</v>
      </c>
      <c r="W1742" s="1570"/>
      <c r="X1742" s="1570"/>
      <c r="Y1742" s="1570"/>
      <c r="AD1742" s="1570" t="s">
        <v>1320</v>
      </c>
      <c r="AE1742" s="1570"/>
      <c r="AF1742" s="1570"/>
      <c r="AG1742" s="1570"/>
      <c r="AH1742" s="1570"/>
      <c r="AI1742" s="1570"/>
      <c r="AJ1742" s="1570"/>
    </row>
    <row r="1743" spans="1:38" ht="8.4499999999999993" customHeight="1">
      <c r="B1743" s="1571" t="s">
        <v>1321</v>
      </c>
      <c r="C1743" s="1571"/>
      <c r="D1743" s="1571"/>
      <c r="E1743" s="1571" t="s">
        <v>1322</v>
      </c>
      <c r="F1743" s="1571"/>
      <c r="G1743" s="1571"/>
      <c r="J1743" s="1571" t="s">
        <v>1323</v>
      </c>
      <c r="K1743" s="1571"/>
      <c r="L1743" s="1571"/>
      <c r="M1743" s="1571"/>
      <c r="N1743" s="1571"/>
      <c r="O1743" s="1402" t="s">
        <v>1324</v>
      </c>
      <c r="Q1743" s="1569" t="s">
        <v>1325</v>
      </c>
      <c r="R1743" s="1569"/>
      <c r="U1743" s="1569" t="s">
        <v>1324</v>
      </c>
      <c r="V1743" s="1569"/>
      <c r="X1743" s="1569" t="s">
        <v>1325</v>
      </c>
      <c r="Y1743" s="1569"/>
      <c r="Z1743" s="1569"/>
      <c r="AC1743" s="1569" t="s">
        <v>1324</v>
      </c>
      <c r="AD1743" s="1569"/>
      <c r="AE1743" s="1569"/>
      <c r="AF1743" s="1569"/>
      <c r="AH1743" s="1569" t="s">
        <v>1325</v>
      </c>
      <c r="AI1743" s="1569"/>
      <c r="AJ1743" s="1569"/>
      <c r="AK1743" s="1569"/>
    </row>
    <row r="1744" spans="1:38" ht="9.9499999999999993" customHeight="1">
      <c r="B1744" s="1568" t="s">
        <v>1326</v>
      </c>
      <c r="C1744" s="1568"/>
      <c r="D1744" s="1568"/>
      <c r="E1744" s="1568" t="s">
        <v>6296</v>
      </c>
      <c r="F1744" s="1568"/>
      <c r="G1744" s="1568"/>
      <c r="H1744" s="1568"/>
      <c r="J1744" s="1568" t="s">
        <v>2421</v>
      </c>
      <c r="K1744" s="1568"/>
      <c r="L1744" s="1568"/>
      <c r="M1744" s="1566">
        <v>4400</v>
      </c>
      <c r="N1744" s="1566"/>
      <c r="O1744" s="1566"/>
      <c r="P1744" s="1566">
        <v>0</v>
      </c>
      <c r="Q1744" s="1566"/>
      <c r="R1744" s="1566"/>
      <c r="S1744" s="1566">
        <v>2200</v>
      </c>
      <c r="T1744" s="1566"/>
      <c r="U1744" s="1566"/>
      <c r="V1744" s="1566"/>
      <c r="W1744" s="1566">
        <v>0</v>
      </c>
      <c r="X1744" s="1566"/>
      <c r="Y1744" s="1566"/>
      <c r="Z1744" s="1566"/>
      <c r="AA1744" s="1566">
        <v>6600</v>
      </c>
      <c r="AB1744" s="1566"/>
      <c r="AC1744" s="1566"/>
      <c r="AD1744" s="1566"/>
      <c r="AE1744" s="1566"/>
      <c r="AF1744" s="1566"/>
      <c r="AG1744" s="1566">
        <v>0</v>
      </c>
      <c r="AH1744" s="1566"/>
      <c r="AI1744" s="1566"/>
      <c r="AJ1744" s="1566"/>
      <c r="AK1744" s="1566"/>
    </row>
    <row r="1745" spans="2:37" ht="9.4" customHeight="1">
      <c r="B1745" s="1568" t="s">
        <v>1326</v>
      </c>
      <c r="C1745" s="1568"/>
      <c r="D1745" s="1568"/>
      <c r="E1745" s="1568" t="s">
        <v>2795</v>
      </c>
      <c r="F1745" s="1568"/>
      <c r="G1745" s="1568"/>
      <c r="H1745" s="1568"/>
      <c r="J1745" s="1568" t="s">
        <v>2423</v>
      </c>
      <c r="K1745" s="1568"/>
      <c r="L1745" s="1568"/>
      <c r="M1745" s="1566">
        <v>69941.679999999993</v>
      </c>
      <c r="N1745" s="1566"/>
      <c r="O1745" s="1566"/>
      <c r="P1745" s="1566">
        <v>0</v>
      </c>
      <c r="Q1745" s="1566"/>
      <c r="R1745" s="1566"/>
      <c r="S1745" s="1566">
        <v>31411.18</v>
      </c>
      <c r="T1745" s="1566"/>
      <c r="U1745" s="1566"/>
      <c r="V1745" s="1566"/>
      <c r="W1745" s="1566">
        <v>0</v>
      </c>
      <c r="X1745" s="1566"/>
      <c r="Y1745" s="1566"/>
      <c r="Z1745" s="1566"/>
      <c r="AA1745" s="1566">
        <v>101352.86</v>
      </c>
      <c r="AB1745" s="1566"/>
      <c r="AC1745" s="1566"/>
      <c r="AD1745" s="1566"/>
      <c r="AE1745" s="1566"/>
      <c r="AF1745" s="1566"/>
      <c r="AG1745" s="1566">
        <v>0</v>
      </c>
      <c r="AH1745" s="1566"/>
      <c r="AI1745" s="1566"/>
      <c r="AJ1745" s="1566"/>
      <c r="AK1745" s="1566"/>
    </row>
    <row r="1746" spans="2:37" ht="9.4" customHeight="1">
      <c r="B1746" s="1568" t="s">
        <v>1326</v>
      </c>
      <c r="C1746" s="1568"/>
      <c r="D1746" s="1568"/>
      <c r="E1746" s="1568" t="s">
        <v>2796</v>
      </c>
      <c r="F1746" s="1568"/>
      <c r="G1746" s="1568"/>
      <c r="H1746" s="1568"/>
      <c r="J1746" s="1568" t="s">
        <v>2428</v>
      </c>
      <c r="K1746" s="1568"/>
      <c r="L1746" s="1568"/>
      <c r="M1746" s="1566">
        <v>130354.56</v>
      </c>
      <c r="N1746" s="1566"/>
      <c r="O1746" s="1566"/>
      <c r="P1746" s="1566">
        <v>0</v>
      </c>
      <c r="Q1746" s="1566"/>
      <c r="R1746" s="1566"/>
      <c r="S1746" s="1566">
        <v>58210.37</v>
      </c>
      <c r="T1746" s="1566"/>
      <c r="U1746" s="1566"/>
      <c r="V1746" s="1566"/>
      <c r="W1746" s="1566">
        <v>0</v>
      </c>
      <c r="X1746" s="1566"/>
      <c r="Y1746" s="1566"/>
      <c r="Z1746" s="1566"/>
      <c r="AA1746" s="1566">
        <v>188564.93</v>
      </c>
      <c r="AB1746" s="1566"/>
      <c r="AC1746" s="1566"/>
      <c r="AD1746" s="1566"/>
      <c r="AE1746" s="1566"/>
      <c r="AF1746" s="1566"/>
      <c r="AG1746" s="1566">
        <v>0</v>
      </c>
      <c r="AH1746" s="1566"/>
      <c r="AI1746" s="1566"/>
      <c r="AJ1746" s="1566"/>
      <c r="AK1746" s="1566"/>
    </row>
    <row r="1747" spans="2:37" ht="9.1999999999999993" customHeight="1">
      <c r="J1747" s="1568"/>
      <c r="K1747" s="1568"/>
      <c r="L1747" s="1568"/>
    </row>
    <row r="1748" spans="2:37" ht="8.4499999999999993" customHeight="1">
      <c r="B1748" s="1568" t="s">
        <v>1326</v>
      </c>
      <c r="C1748" s="1568"/>
      <c r="D1748" s="1568"/>
      <c r="E1748" s="1568" t="s">
        <v>6297</v>
      </c>
      <c r="F1748" s="1568"/>
      <c r="G1748" s="1568"/>
      <c r="H1748" s="1568"/>
      <c r="J1748" s="1568" t="s">
        <v>2421</v>
      </c>
      <c r="K1748" s="1568"/>
      <c r="L1748" s="1568"/>
      <c r="M1748" s="1566">
        <v>3200</v>
      </c>
      <c r="N1748" s="1566"/>
      <c r="O1748" s="1566"/>
      <c r="P1748" s="1566">
        <v>0</v>
      </c>
      <c r="Q1748" s="1566"/>
      <c r="R1748" s="1566"/>
      <c r="S1748" s="1566">
        <v>1600</v>
      </c>
      <c r="T1748" s="1566"/>
      <c r="U1748" s="1566"/>
      <c r="V1748" s="1566"/>
      <c r="W1748" s="1566">
        <v>0</v>
      </c>
      <c r="X1748" s="1566"/>
      <c r="Y1748" s="1566"/>
      <c r="Z1748" s="1566"/>
      <c r="AA1748" s="1566">
        <v>4800</v>
      </c>
      <c r="AB1748" s="1566"/>
      <c r="AC1748" s="1566"/>
      <c r="AD1748" s="1566"/>
      <c r="AE1748" s="1566"/>
      <c r="AF1748" s="1566"/>
      <c r="AG1748" s="1566">
        <v>0</v>
      </c>
      <c r="AH1748" s="1566"/>
      <c r="AI1748" s="1566"/>
      <c r="AJ1748" s="1566"/>
      <c r="AK1748" s="1566"/>
    </row>
    <row r="1749" spans="2:37" ht="9.4" customHeight="1">
      <c r="B1749" s="1568" t="s">
        <v>1326</v>
      </c>
      <c r="C1749" s="1568"/>
      <c r="D1749" s="1568"/>
      <c r="E1749" s="1568" t="s">
        <v>2797</v>
      </c>
      <c r="F1749" s="1568"/>
      <c r="G1749" s="1568"/>
      <c r="H1749" s="1568"/>
      <c r="J1749" s="1568" t="s">
        <v>2423</v>
      </c>
      <c r="K1749" s="1568"/>
      <c r="L1749" s="1568"/>
      <c r="M1749" s="1566">
        <v>21926.87</v>
      </c>
      <c r="N1749" s="1566"/>
      <c r="O1749" s="1566"/>
      <c r="P1749" s="1566">
        <v>0</v>
      </c>
      <c r="Q1749" s="1566"/>
      <c r="R1749" s="1566"/>
      <c r="S1749" s="1566">
        <v>8571.5</v>
      </c>
      <c r="T1749" s="1566"/>
      <c r="U1749" s="1566"/>
      <c r="V1749" s="1566"/>
      <c r="W1749" s="1566">
        <v>0</v>
      </c>
      <c r="X1749" s="1566"/>
      <c r="Y1749" s="1566"/>
      <c r="Z1749" s="1566"/>
      <c r="AA1749" s="1566">
        <v>30498.37</v>
      </c>
      <c r="AB1749" s="1566"/>
      <c r="AC1749" s="1566"/>
      <c r="AD1749" s="1566"/>
      <c r="AE1749" s="1566"/>
      <c r="AF1749" s="1566"/>
      <c r="AG1749" s="1566">
        <v>0</v>
      </c>
      <c r="AH1749" s="1566"/>
      <c r="AI1749" s="1566"/>
      <c r="AJ1749" s="1566"/>
      <c r="AK1749" s="1566"/>
    </row>
    <row r="1750" spans="2:37" ht="9.4" customHeight="1">
      <c r="B1750" s="1568" t="s">
        <v>1326</v>
      </c>
      <c r="C1750" s="1568"/>
      <c r="D1750" s="1568"/>
      <c r="E1750" s="1568" t="s">
        <v>6298</v>
      </c>
      <c r="F1750" s="1568"/>
      <c r="G1750" s="1568"/>
      <c r="H1750" s="1568"/>
      <c r="J1750" s="1568" t="s">
        <v>2428</v>
      </c>
      <c r="K1750" s="1568"/>
      <c r="L1750" s="1568"/>
      <c r="M1750" s="1566">
        <v>90128.07</v>
      </c>
      <c r="N1750" s="1566"/>
      <c r="O1750" s="1566"/>
      <c r="P1750" s="1566">
        <v>0</v>
      </c>
      <c r="Q1750" s="1566"/>
      <c r="R1750" s="1566"/>
      <c r="S1750" s="1566">
        <v>42002.35</v>
      </c>
      <c r="T1750" s="1566"/>
      <c r="U1750" s="1566"/>
      <c r="V1750" s="1566"/>
      <c r="W1750" s="1566">
        <v>0</v>
      </c>
      <c r="X1750" s="1566"/>
      <c r="Y1750" s="1566"/>
      <c r="Z1750" s="1566"/>
      <c r="AA1750" s="1566">
        <v>132130.42000000001</v>
      </c>
      <c r="AB1750" s="1566"/>
      <c r="AC1750" s="1566"/>
      <c r="AD1750" s="1566"/>
      <c r="AE1750" s="1566"/>
      <c r="AF1750" s="1566"/>
      <c r="AG1750" s="1566">
        <v>0</v>
      </c>
      <c r="AH1750" s="1566"/>
      <c r="AI1750" s="1566"/>
      <c r="AJ1750" s="1566"/>
      <c r="AK1750" s="1566"/>
    </row>
    <row r="1751" spans="2:37" ht="9.1999999999999993" customHeight="1">
      <c r="J1751" s="1568"/>
      <c r="K1751" s="1568"/>
      <c r="L1751" s="1568"/>
    </row>
    <row r="1752" spans="2:37" ht="8.4499999999999993" customHeight="1">
      <c r="B1752" s="1568" t="s">
        <v>1326</v>
      </c>
      <c r="C1752" s="1568"/>
      <c r="D1752" s="1568"/>
      <c r="E1752" s="1568" t="s">
        <v>6299</v>
      </c>
      <c r="F1752" s="1568"/>
      <c r="G1752" s="1568"/>
      <c r="H1752" s="1568"/>
      <c r="J1752" s="1568" t="s">
        <v>2421</v>
      </c>
      <c r="K1752" s="1568"/>
      <c r="L1752" s="1568"/>
      <c r="M1752" s="1566">
        <v>5600</v>
      </c>
      <c r="N1752" s="1566"/>
      <c r="O1752" s="1566"/>
      <c r="P1752" s="1566">
        <v>0</v>
      </c>
      <c r="Q1752" s="1566"/>
      <c r="R1752" s="1566"/>
      <c r="S1752" s="1566">
        <v>3800</v>
      </c>
      <c r="T1752" s="1566"/>
      <c r="U1752" s="1566"/>
      <c r="V1752" s="1566"/>
      <c r="W1752" s="1566">
        <v>0</v>
      </c>
      <c r="X1752" s="1566"/>
      <c r="Y1752" s="1566"/>
      <c r="Z1752" s="1566"/>
      <c r="AA1752" s="1566">
        <v>9400</v>
      </c>
      <c r="AB1752" s="1566"/>
      <c r="AC1752" s="1566"/>
      <c r="AD1752" s="1566"/>
      <c r="AE1752" s="1566"/>
      <c r="AF1752" s="1566"/>
      <c r="AG1752" s="1566">
        <v>0</v>
      </c>
      <c r="AH1752" s="1566"/>
      <c r="AI1752" s="1566"/>
      <c r="AJ1752" s="1566"/>
      <c r="AK1752" s="1566"/>
    </row>
    <row r="1753" spans="2:37" ht="9.4" customHeight="1">
      <c r="B1753" s="1568" t="s">
        <v>1326</v>
      </c>
      <c r="C1753" s="1568"/>
      <c r="D1753" s="1568"/>
      <c r="E1753" s="1568" t="s">
        <v>2798</v>
      </c>
      <c r="F1753" s="1568"/>
      <c r="G1753" s="1568"/>
      <c r="H1753" s="1568"/>
      <c r="J1753" s="1568" t="s">
        <v>2423</v>
      </c>
      <c r="K1753" s="1568"/>
      <c r="L1753" s="1568"/>
      <c r="M1753" s="1566">
        <v>40113.440000000002</v>
      </c>
      <c r="N1753" s="1566"/>
      <c r="O1753" s="1566"/>
      <c r="P1753" s="1566">
        <v>0</v>
      </c>
      <c r="Q1753" s="1566"/>
      <c r="R1753" s="1566"/>
      <c r="S1753" s="1566">
        <v>20630.86</v>
      </c>
      <c r="T1753" s="1566"/>
      <c r="U1753" s="1566"/>
      <c r="V1753" s="1566"/>
      <c r="W1753" s="1566">
        <v>0</v>
      </c>
      <c r="X1753" s="1566"/>
      <c r="Y1753" s="1566"/>
      <c r="Z1753" s="1566"/>
      <c r="AA1753" s="1566">
        <v>60744.3</v>
      </c>
      <c r="AB1753" s="1566"/>
      <c r="AC1753" s="1566"/>
      <c r="AD1753" s="1566"/>
      <c r="AE1753" s="1566"/>
      <c r="AF1753" s="1566"/>
      <c r="AG1753" s="1566">
        <v>0</v>
      </c>
      <c r="AH1753" s="1566"/>
      <c r="AI1753" s="1566"/>
      <c r="AJ1753" s="1566"/>
      <c r="AK1753" s="1566"/>
    </row>
    <row r="1754" spans="2:37" ht="9.4" customHeight="1">
      <c r="B1754" s="1568" t="s">
        <v>1326</v>
      </c>
      <c r="C1754" s="1568"/>
      <c r="D1754" s="1568"/>
      <c r="E1754" s="1568" t="s">
        <v>2799</v>
      </c>
      <c r="F1754" s="1568"/>
      <c r="G1754" s="1568"/>
      <c r="H1754" s="1568"/>
      <c r="J1754" s="1568" t="s">
        <v>2428</v>
      </c>
      <c r="K1754" s="1568"/>
      <c r="L1754" s="1568"/>
      <c r="M1754" s="1566">
        <v>114940.32</v>
      </c>
      <c r="N1754" s="1566"/>
      <c r="O1754" s="1566"/>
      <c r="P1754" s="1566">
        <v>0</v>
      </c>
      <c r="Q1754" s="1566"/>
      <c r="R1754" s="1566"/>
      <c r="S1754" s="1566">
        <v>38325.379999999997</v>
      </c>
      <c r="T1754" s="1566"/>
      <c r="U1754" s="1566"/>
      <c r="V1754" s="1566"/>
      <c r="W1754" s="1566">
        <v>0</v>
      </c>
      <c r="X1754" s="1566"/>
      <c r="Y1754" s="1566"/>
      <c r="Z1754" s="1566"/>
      <c r="AA1754" s="1566">
        <v>153265.70000000001</v>
      </c>
      <c r="AB1754" s="1566"/>
      <c r="AC1754" s="1566"/>
      <c r="AD1754" s="1566"/>
      <c r="AE1754" s="1566"/>
      <c r="AF1754" s="1566"/>
      <c r="AG1754" s="1566">
        <v>0</v>
      </c>
      <c r="AH1754" s="1566"/>
      <c r="AI1754" s="1566"/>
      <c r="AJ1754" s="1566"/>
      <c r="AK1754" s="1566"/>
    </row>
    <row r="1755" spans="2:37" ht="9.1999999999999993" customHeight="1">
      <c r="J1755" s="1568"/>
      <c r="K1755" s="1568"/>
      <c r="L1755" s="1568"/>
    </row>
    <row r="1756" spans="2:37" ht="8.4499999999999993" customHeight="1">
      <c r="B1756" s="1568" t="s">
        <v>1326</v>
      </c>
      <c r="C1756" s="1568"/>
      <c r="D1756" s="1568"/>
      <c r="E1756" s="1568" t="s">
        <v>2800</v>
      </c>
      <c r="F1756" s="1568"/>
      <c r="G1756" s="1568"/>
      <c r="H1756" s="1568"/>
      <c r="J1756" s="1568" t="s">
        <v>2392</v>
      </c>
      <c r="K1756" s="1568"/>
      <c r="L1756" s="1568"/>
      <c r="M1756" s="1566">
        <v>127679.4</v>
      </c>
      <c r="N1756" s="1566"/>
      <c r="O1756" s="1566"/>
      <c r="P1756" s="1566">
        <v>0</v>
      </c>
      <c r="Q1756" s="1566"/>
      <c r="R1756" s="1566"/>
      <c r="S1756" s="1566">
        <v>42559.8</v>
      </c>
      <c r="T1756" s="1566"/>
      <c r="U1756" s="1566"/>
      <c r="V1756" s="1566"/>
      <c r="W1756" s="1566">
        <v>0</v>
      </c>
      <c r="X1756" s="1566"/>
      <c r="Y1756" s="1566"/>
      <c r="Z1756" s="1566"/>
      <c r="AA1756" s="1566">
        <v>170239.2</v>
      </c>
      <c r="AB1756" s="1566"/>
      <c r="AC1756" s="1566"/>
      <c r="AD1756" s="1566"/>
      <c r="AE1756" s="1566"/>
      <c r="AF1756" s="1566"/>
      <c r="AG1756" s="1566">
        <v>0</v>
      </c>
      <c r="AH1756" s="1566"/>
      <c r="AI1756" s="1566"/>
      <c r="AJ1756" s="1566"/>
      <c r="AK1756" s="1566"/>
    </row>
    <row r="1757" spans="2:37" ht="9.4" customHeight="1">
      <c r="B1757" s="1568" t="s">
        <v>1326</v>
      </c>
      <c r="C1757" s="1568"/>
      <c r="D1757" s="1568"/>
      <c r="E1757" s="1568" t="s">
        <v>3297</v>
      </c>
      <c r="F1757" s="1568"/>
      <c r="G1757" s="1568"/>
      <c r="H1757" s="1568"/>
      <c r="J1757" s="1568" t="s">
        <v>2460</v>
      </c>
      <c r="K1757" s="1568"/>
      <c r="L1757" s="1568"/>
      <c r="M1757" s="1566">
        <v>13349.01</v>
      </c>
      <c r="N1757" s="1566"/>
      <c r="O1757" s="1566"/>
      <c r="P1757" s="1566">
        <v>0</v>
      </c>
      <c r="Q1757" s="1566"/>
      <c r="R1757" s="1566"/>
      <c r="S1757" s="1566">
        <v>2026.19</v>
      </c>
      <c r="T1757" s="1566"/>
      <c r="U1757" s="1566"/>
      <c r="V1757" s="1566"/>
      <c r="W1757" s="1566">
        <v>0</v>
      </c>
      <c r="X1757" s="1566"/>
      <c r="Y1757" s="1566"/>
      <c r="Z1757" s="1566"/>
      <c r="AA1757" s="1566">
        <v>15375.2</v>
      </c>
      <c r="AB1757" s="1566"/>
      <c r="AC1757" s="1566"/>
      <c r="AD1757" s="1566"/>
      <c r="AE1757" s="1566"/>
      <c r="AF1757" s="1566"/>
      <c r="AG1757" s="1566">
        <v>0</v>
      </c>
      <c r="AH1757" s="1566"/>
      <c r="AI1757" s="1566"/>
      <c r="AJ1757" s="1566"/>
      <c r="AK1757" s="1566"/>
    </row>
    <row r="1758" spans="2:37" ht="9.4" customHeight="1">
      <c r="B1758" s="1568" t="s">
        <v>1326</v>
      </c>
      <c r="C1758" s="1568"/>
      <c r="D1758" s="1568"/>
      <c r="E1758" s="1568" t="s">
        <v>2801</v>
      </c>
      <c r="F1758" s="1568"/>
      <c r="G1758" s="1568"/>
      <c r="H1758" s="1568"/>
      <c r="J1758" s="1568" t="s">
        <v>2401</v>
      </c>
      <c r="K1758" s="1568"/>
      <c r="L1758" s="1568"/>
      <c r="M1758" s="1566">
        <v>18087.95</v>
      </c>
      <c r="N1758" s="1566"/>
      <c r="O1758" s="1566"/>
      <c r="P1758" s="1566">
        <v>0</v>
      </c>
      <c r="Q1758" s="1566"/>
      <c r="R1758" s="1566"/>
      <c r="S1758" s="1566">
        <v>7235.18</v>
      </c>
      <c r="T1758" s="1566"/>
      <c r="U1758" s="1566"/>
      <c r="V1758" s="1566"/>
      <c r="W1758" s="1566">
        <v>0</v>
      </c>
      <c r="X1758" s="1566"/>
      <c r="Y1758" s="1566"/>
      <c r="Z1758" s="1566"/>
      <c r="AA1758" s="1566">
        <v>25323.13</v>
      </c>
      <c r="AB1758" s="1566"/>
      <c r="AC1758" s="1566"/>
      <c r="AD1758" s="1566"/>
      <c r="AE1758" s="1566"/>
      <c r="AF1758" s="1566"/>
      <c r="AG1758" s="1566">
        <v>0</v>
      </c>
      <c r="AH1758" s="1566"/>
      <c r="AI1758" s="1566"/>
      <c r="AJ1758" s="1566"/>
      <c r="AK1758" s="1566"/>
    </row>
    <row r="1759" spans="2:37" ht="9.4" customHeight="1">
      <c r="B1759" s="1568" t="s">
        <v>1326</v>
      </c>
      <c r="C1759" s="1568"/>
      <c r="D1759" s="1568"/>
      <c r="E1759" s="1568" t="s">
        <v>2802</v>
      </c>
      <c r="F1759" s="1568"/>
      <c r="G1759" s="1568"/>
      <c r="H1759" s="1568"/>
      <c r="J1759" s="1568" t="s">
        <v>2403</v>
      </c>
      <c r="K1759" s="1568"/>
      <c r="L1759" s="1568"/>
      <c r="M1759" s="1566">
        <v>984.45</v>
      </c>
      <c r="N1759" s="1566"/>
      <c r="O1759" s="1566"/>
      <c r="P1759" s="1566">
        <v>0</v>
      </c>
      <c r="Q1759" s="1566"/>
      <c r="R1759" s="1566"/>
      <c r="S1759" s="1566">
        <v>328.15</v>
      </c>
      <c r="T1759" s="1566"/>
      <c r="U1759" s="1566"/>
      <c r="V1759" s="1566"/>
      <c r="W1759" s="1566">
        <v>0</v>
      </c>
      <c r="X1759" s="1566"/>
      <c r="Y1759" s="1566"/>
      <c r="Z1759" s="1566"/>
      <c r="AA1759" s="1566">
        <v>1312.6</v>
      </c>
      <c r="AB1759" s="1566"/>
      <c r="AC1759" s="1566"/>
      <c r="AD1759" s="1566"/>
      <c r="AE1759" s="1566"/>
      <c r="AF1759" s="1566"/>
      <c r="AG1759" s="1566">
        <v>0</v>
      </c>
      <c r="AH1759" s="1566"/>
      <c r="AI1759" s="1566"/>
      <c r="AJ1759" s="1566"/>
      <c r="AK1759" s="1566"/>
    </row>
    <row r="1760" spans="2:37" ht="9.4" customHeight="1">
      <c r="B1760" s="1568" t="s">
        <v>1326</v>
      </c>
      <c r="C1760" s="1568"/>
      <c r="D1760" s="1568"/>
      <c r="E1760" s="1568" t="s">
        <v>2803</v>
      </c>
      <c r="F1760" s="1568"/>
      <c r="G1760" s="1568"/>
      <c r="H1760" s="1568"/>
      <c r="J1760" s="1568" t="s">
        <v>2405</v>
      </c>
      <c r="K1760" s="1568"/>
      <c r="L1760" s="1568"/>
      <c r="M1760" s="1566">
        <v>15956.64</v>
      </c>
      <c r="N1760" s="1566"/>
      <c r="O1760" s="1566"/>
      <c r="P1760" s="1566">
        <v>0</v>
      </c>
      <c r="Q1760" s="1566"/>
      <c r="R1760" s="1566"/>
      <c r="S1760" s="1566">
        <v>5354.5</v>
      </c>
      <c r="T1760" s="1566"/>
      <c r="U1760" s="1566"/>
      <c r="V1760" s="1566"/>
      <c r="W1760" s="1566">
        <v>0</v>
      </c>
      <c r="X1760" s="1566"/>
      <c r="Y1760" s="1566"/>
      <c r="Z1760" s="1566"/>
      <c r="AA1760" s="1566">
        <v>21311.14</v>
      </c>
      <c r="AB1760" s="1566"/>
      <c r="AC1760" s="1566"/>
      <c r="AD1760" s="1566"/>
      <c r="AE1760" s="1566"/>
      <c r="AF1760" s="1566"/>
      <c r="AG1760" s="1566">
        <v>0</v>
      </c>
      <c r="AH1760" s="1566"/>
      <c r="AI1760" s="1566"/>
      <c r="AJ1760" s="1566"/>
      <c r="AK1760" s="1566"/>
    </row>
    <row r="1761" spans="2:37" ht="9.4" customHeight="1">
      <c r="B1761" s="1568" t="s">
        <v>1326</v>
      </c>
      <c r="C1761" s="1568"/>
      <c r="D1761" s="1568"/>
      <c r="E1761" s="1568" t="s">
        <v>2804</v>
      </c>
      <c r="F1761" s="1568"/>
      <c r="G1761" s="1568"/>
      <c r="H1761" s="1568"/>
      <c r="J1761" s="1568" t="s">
        <v>2407</v>
      </c>
      <c r="K1761" s="1568"/>
      <c r="L1761" s="1568"/>
      <c r="M1761" s="1566">
        <v>14419.74</v>
      </c>
      <c r="N1761" s="1566"/>
      <c r="O1761" s="1566"/>
      <c r="P1761" s="1566">
        <v>0</v>
      </c>
      <c r="Q1761" s="1566"/>
      <c r="R1761" s="1566"/>
      <c r="S1761" s="1566">
        <v>4833.9799999999996</v>
      </c>
      <c r="T1761" s="1566"/>
      <c r="U1761" s="1566"/>
      <c r="V1761" s="1566"/>
      <c r="W1761" s="1566">
        <v>0</v>
      </c>
      <c r="X1761" s="1566"/>
      <c r="Y1761" s="1566"/>
      <c r="Z1761" s="1566"/>
      <c r="AA1761" s="1566">
        <v>19253.72</v>
      </c>
      <c r="AB1761" s="1566"/>
      <c r="AC1761" s="1566"/>
      <c r="AD1761" s="1566"/>
      <c r="AE1761" s="1566"/>
      <c r="AF1761" s="1566"/>
      <c r="AG1761" s="1566">
        <v>0</v>
      </c>
      <c r="AH1761" s="1566"/>
      <c r="AI1761" s="1566"/>
      <c r="AJ1761" s="1566"/>
      <c r="AK1761" s="1566"/>
    </row>
    <row r="1762" spans="2:37" ht="9.4" customHeight="1">
      <c r="B1762" s="1568" t="s">
        <v>1326</v>
      </c>
      <c r="C1762" s="1568"/>
      <c r="D1762" s="1568"/>
      <c r="E1762" s="1568" t="s">
        <v>2805</v>
      </c>
      <c r="F1762" s="1568"/>
      <c r="G1762" s="1568"/>
      <c r="H1762" s="1568"/>
      <c r="J1762" s="1568" t="s">
        <v>2448</v>
      </c>
      <c r="K1762" s="1568"/>
      <c r="L1762" s="1568"/>
      <c r="M1762" s="1566">
        <v>32479.88</v>
      </c>
      <c r="N1762" s="1566"/>
      <c r="O1762" s="1566"/>
      <c r="P1762" s="1566">
        <v>0</v>
      </c>
      <c r="Q1762" s="1566"/>
      <c r="R1762" s="1566"/>
      <c r="S1762" s="1566">
        <v>260058.8</v>
      </c>
      <c r="T1762" s="1566"/>
      <c r="U1762" s="1566"/>
      <c r="V1762" s="1566"/>
      <c r="W1762" s="1566">
        <v>0</v>
      </c>
      <c r="X1762" s="1566"/>
      <c r="Y1762" s="1566"/>
      <c r="Z1762" s="1566"/>
      <c r="AA1762" s="1566">
        <v>292538.68</v>
      </c>
      <c r="AB1762" s="1566"/>
      <c r="AC1762" s="1566"/>
      <c r="AD1762" s="1566"/>
      <c r="AE1762" s="1566"/>
      <c r="AF1762" s="1566"/>
      <c r="AG1762" s="1566">
        <v>0</v>
      </c>
      <c r="AH1762" s="1566"/>
      <c r="AI1762" s="1566"/>
      <c r="AJ1762" s="1566"/>
      <c r="AK1762" s="1566"/>
    </row>
    <row r="1763" spans="2:37" ht="9.4" customHeight="1">
      <c r="B1763" s="1568" t="s">
        <v>1326</v>
      </c>
      <c r="C1763" s="1568"/>
      <c r="D1763" s="1568"/>
      <c r="E1763" s="1568" t="s">
        <v>6300</v>
      </c>
      <c r="F1763" s="1568"/>
      <c r="G1763" s="1568"/>
      <c r="H1763" s="1568"/>
      <c r="J1763" s="1568" t="s">
        <v>2450</v>
      </c>
      <c r="K1763" s="1568"/>
      <c r="L1763" s="1568"/>
      <c r="M1763" s="1566">
        <v>47835.13</v>
      </c>
      <c r="N1763" s="1566"/>
      <c r="O1763" s="1566"/>
      <c r="P1763" s="1566">
        <v>0</v>
      </c>
      <c r="Q1763" s="1566"/>
      <c r="R1763" s="1566"/>
      <c r="S1763" s="1566">
        <v>12150</v>
      </c>
      <c r="T1763" s="1566"/>
      <c r="U1763" s="1566"/>
      <c r="V1763" s="1566"/>
      <c r="W1763" s="1566">
        <v>0</v>
      </c>
      <c r="X1763" s="1566"/>
      <c r="Y1763" s="1566"/>
      <c r="Z1763" s="1566"/>
      <c r="AA1763" s="1566">
        <v>59985.13</v>
      </c>
      <c r="AB1763" s="1566"/>
      <c r="AC1763" s="1566"/>
      <c r="AD1763" s="1566"/>
      <c r="AE1763" s="1566"/>
      <c r="AF1763" s="1566"/>
      <c r="AG1763" s="1566">
        <v>0</v>
      </c>
      <c r="AH1763" s="1566"/>
      <c r="AI1763" s="1566"/>
      <c r="AJ1763" s="1566"/>
      <c r="AK1763" s="1566"/>
    </row>
    <row r="1764" spans="2:37" ht="9.4" customHeight="1">
      <c r="B1764" s="1568" t="s">
        <v>1326</v>
      </c>
      <c r="C1764" s="1568"/>
      <c r="D1764" s="1568"/>
      <c r="E1764" s="1568" t="s">
        <v>6800</v>
      </c>
      <c r="F1764" s="1568"/>
      <c r="G1764" s="1568"/>
      <c r="H1764" s="1568"/>
      <c r="J1764" s="1568" t="s">
        <v>2448</v>
      </c>
      <c r="K1764" s="1568"/>
      <c r="L1764" s="1568"/>
      <c r="M1764" s="1566">
        <v>0</v>
      </c>
      <c r="N1764" s="1566"/>
      <c r="O1764" s="1566"/>
      <c r="P1764" s="1566">
        <v>0</v>
      </c>
      <c r="Q1764" s="1566"/>
      <c r="R1764" s="1566"/>
      <c r="S1764" s="1566">
        <v>85841</v>
      </c>
      <c r="T1764" s="1566"/>
      <c r="U1764" s="1566"/>
      <c r="V1764" s="1566"/>
      <c r="W1764" s="1566">
        <v>0</v>
      </c>
      <c r="X1764" s="1566"/>
      <c r="Y1764" s="1566"/>
      <c r="Z1764" s="1566"/>
      <c r="AA1764" s="1566">
        <v>85841</v>
      </c>
      <c r="AB1764" s="1566"/>
      <c r="AC1764" s="1566"/>
      <c r="AD1764" s="1566"/>
      <c r="AE1764" s="1566"/>
      <c r="AF1764" s="1566"/>
      <c r="AG1764" s="1566">
        <v>0</v>
      </c>
      <c r="AH1764" s="1566"/>
      <c r="AI1764" s="1566"/>
      <c r="AJ1764" s="1566"/>
      <c r="AK1764" s="1566"/>
    </row>
    <row r="1765" spans="2:37" ht="9.4" customHeight="1">
      <c r="B1765" s="1568" t="s">
        <v>1326</v>
      </c>
      <c r="C1765" s="1568"/>
      <c r="D1765" s="1568"/>
      <c r="E1765" s="1568" t="s">
        <v>6801</v>
      </c>
      <c r="F1765" s="1568"/>
      <c r="G1765" s="1568"/>
      <c r="H1765" s="1568"/>
      <c r="J1765" s="1568" t="s">
        <v>2448</v>
      </c>
      <c r="K1765" s="1568"/>
      <c r="L1765" s="1568"/>
      <c r="M1765" s="1566">
        <v>0</v>
      </c>
      <c r="N1765" s="1566"/>
      <c r="O1765" s="1566"/>
      <c r="P1765" s="1566">
        <v>0</v>
      </c>
      <c r="Q1765" s="1566"/>
      <c r="R1765" s="1566"/>
      <c r="S1765" s="1566">
        <v>958</v>
      </c>
      <c r="T1765" s="1566"/>
      <c r="U1765" s="1566"/>
      <c r="V1765" s="1566"/>
      <c r="W1765" s="1566">
        <v>0</v>
      </c>
      <c r="X1765" s="1566"/>
      <c r="Y1765" s="1566"/>
      <c r="Z1765" s="1566"/>
      <c r="AA1765" s="1566">
        <v>958</v>
      </c>
      <c r="AB1765" s="1566"/>
      <c r="AC1765" s="1566"/>
      <c r="AD1765" s="1566"/>
      <c r="AE1765" s="1566"/>
      <c r="AF1765" s="1566"/>
      <c r="AG1765" s="1566">
        <v>0</v>
      </c>
      <c r="AH1765" s="1566"/>
      <c r="AI1765" s="1566"/>
      <c r="AJ1765" s="1566"/>
      <c r="AK1765" s="1566"/>
    </row>
    <row r="1766" spans="2:37" ht="9.4" customHeight="1">
      <c r="B1766" s="1568" t="s">
        <v>1326</v>
      </c>
      <c r="C1766" s="1568"/>
      <c r="D1766" s="1568"/>
      <c r="E1766" s="1568" t="s">
        <v>6301</v>
      </c>
      <c r="F1766" s="1568"/>
      <c r="G1766" s="1568"/>
      <c r="H1766" s="1568"/>
      <c r="J1766" s="1568" t="s">
        <v>2450</v>
      </c>
      <c r="K1766" s="1568"/>
      <c r="L1766" s="1568"/>
      <c r="M1766" s="1566">
        <v>115352.8</v>
      </c>
      <c r="N1766" s="1566"/>
      <c r="O1766" s="1566"/>
      <c r="P1766" s="1566">
        <v>0</v>
      </c>
      <c r="Q1766" s="1566"/>
      <c r="R1766" s="1566"/>
      <c r="S1766" s="1566">
        <v>0</v>
      </c>
      <c r="T1766" s="1566"/>
      <c r="U1766" s="1566"/>
      <c r="V1766" s="1566"/>
      <c r="W1766" s="1566">
        <v>0</v>
      </c>
      <c r="X1766" s="1566"/>
      <c r="Y1766" s="1566"/>
      <c r="Z1766" s="1566"/>
      <c r="AA1766" s="1566">
        <v>115352.8</v>
      </c>
      <c r="AB1766" s="1566"/>
      <c r="AC1766" s="1566"/>
      <c r="AD1766" s="1566"/>
      <c r="AE1766" s="1566"/>
      <c r="AF1766" s="1566"/>
      <c r="AG1766" s="1566">
        <v>0</v>
      </c>
      <c r="AH1766" s="1566"/>
      <c r="AI1766" s="1566"/>
      <c r="AJ1766" s="1566"/>
      <c r="AK1766" s="1566"/>
    </row>
    <row r="1767" spans="2:37" ht="9.4" customHeight="1">
      <c r="B1767" s="1568" t="s">
        <v>1326</v>
      </c>
      <c r="C1767" s="1568"/>
      <c r="D1767" s="1568"/>
      <c r="E1767" s="1568" t="s">
        <v>6802</v>
      </c>
      <c r="F1767" s="1568"/>
      <c r="G1767" s="1568"/>
      <c r="H1767" s="1568"/>
      <c r="J1767" s="1568" t="s">
        <v>2448</v>
      </c>
      <c r="K1767" s="1568"/>
      <c r="L1767" s="1568"/>
      <c r="M1767" s="1566">
        <v>0</v>
      </c>
      <c r="N1767" s="1566"/>
      <c r="O1767" s="1566"/>
      <c r="P1767" s="1566">
        <v>0</v>
      </c>
      <c r="Q1767" s="1566"/>
      <c r="R1767" s="1566"/>
      <c r="S1767" s="1566">
        <v>3323</v>
      </c>
      <c r="T1767" s="1566"/>
      <c r="U1767" s="1566"/>
      <c r="V1767" s="1566"/>
      <c r="W1767" s="1566">
        <v>0</v>
      </c>
      <c r="X1767" s="1566"/>
      <c r="Y1767" s="1566"/>
      <c r="Z1767" s="1566"/>
      <c r="AA1767" s="1566">
        <v>3323</v>
      </c>
      <c r="AB1767" s="1566"/>
      <c r="AC1767" s="1566"/>
      <c r="AD1767" s="1566"/>
      <c r="AE1767" s="1566"/>
      <c r="AF1767" s="1566"/>
      <c r="AG1767" s="1566">
        <v>0</v>
      </c>
      <c r="AH1767" s="1566"/>
      <c r="AI1767" s="1566"/>
      <c r="AJ1767" s="1566"/>
      <c r="AK1767" s="1566"/>
    </row>
    <row r="1768" spans="2:37" ht="9.4" customHeight="1">
      <c r="B1768" s="1568" t="s">
        <v>1326</v>
      </c>
      <c r="C1768" s="1568"/>
      <c r="D1768" s="1568"/>
      <c r="E1768" s="1568" t="s">
        <v>6521</v>
      </c>
      <c r="F1768" s="1568"/>
      <c r="G1768" s="1568"/>
      <c r="H1768" s="1568"/>
      <c r="J1768" s="1568" t="s">
        <v>2450</v>
      </c>
      <c r="K1768" s="1568"/>
      <c r="L1768" s="1568"/>
      <c r="M1768" s="1566">
        <v>13424.22</v>
      </c>
      <c r="N1768" s="1566"/>
      <c r="O1768" s="1566"/>
      <c r="P1768" s="1566">
        <v>0</v>
      </c>
      <c r="Q1768" s="1566"/>
      <c r="R1768" s="1566"/>
      <c r="S1768" s="1566">
        <v>56000</v>
      </c>
      <c r="T1768" s="1566"/>
      <c r="U1768" s="1566"/>
      <c r="V1768" s="1566"/>
      <c r="W1768" s="1566">
        <v>0</v>
      </c>
      <c r="X1768" s="1566"/>
      <c r="Y1768" s="1566"/>
      <c r="Z1768" s="1566"/>
      <c r="AA1768" s="1566">
        <v>69424.22</v>
      </c>
      <c r="AB1768" s="1566"/>
      <c r="AC1768" s="1566"/>
      <c r="AD1768" s="1566"/>
      <c r="AE1768" s="1566"/>
      <c r="AF1768" s="1566"/>
      <c r="AG1768" s="1566">
        <v>0</v>
      </c>
      <c r="AH1768" s="1566"/>
      <c r="AI1768" s="1566"/>
      <c r="AJ1768" s="1566"/>
      <c r="AK1768" s="1566"/>
    </row>
    <row r="1769" spans="2:37" ht="9.4" customHeight="1">
      <c r="B1769" s="1568" t="s">
        <v>1326</v>
      </c>
      <c r="C1769" s="1568"/>
      <c r="D1769" s="1568"/>
      <c r="E1769" s="1568" t="s">
        <v>2806</v>
      </c>
      <c r="F1769" s="1568"/>
      <c r="G1769" s="1568"/>
      <c r="H1769" s="1568"/>
      <c r="J1769" s="1568" t="s">
        <v>2392</v>
      </c>
      <c r="K1769" s="1568"/>
      <c r="L1769" s="1568"/>
      <c r="M1769" s="1566">
        <v>985800.6</v>
      </c>
      <c r="N1769" s="1566"/>
      <c r="O1769" s="1566"/>
      <c r="P1769" s="1566">
        <v>0</v>
      </c>
      <c r="Q1769" s="1566"/>
      <c r="R1769" s="1566"/>
      <c r="S1769" s="1566">
        <v>333184.2</v>
      </c>
      <c r="T1769" s="1566"/>
      <c r="U1769" s="1566"/>
      <c r="V1769" s="1566"/>
      <c r="W1769" s="1566">
        <v>0</v>
      </c>
      <c r="X1769" s="1566"/>
      <c r="Y1769" s="1566"/>
      <c r="Z1769" s="1566"/>
      <c r="AA1769" s="1566">
        <v>1318984.8</v>
      </c>
      <c r="AB1769" s="1566"/>
      <c r="AC1769" s="1566"/>
      <c r="AD1769" s="1566"/>
      <c r="AE1769" s="1566"/>
      <c r="AF1769" s="1566"/>
      <c r="AG1769" s="1566">
        <v>0</v>
      </c>
      <c r="AH1769" s="1566"/>
      <c r="AI1769" s="1566"/>
      <c r="AJ1769" s="1566"/>
      <c r="AK1769" s="1566"/>
    </row>
    <row r="1770" spans="2:37" ht="9.4" customHeight="1">
      <c r="B1770" s="1568" t="s">
        <v>1326</v>
      </c>
      <c r="C1770" s="1568"/>
      <c r="D1770" s="1568"/>
      <c r="E1770" s="1568" t="s">
        <v>2808</v>
      </c>
      <c r="F1770" s="1568"/>
      <c r="G1770" s="1568"/>
      <c r="H1770" s="1568"/>
      <c r="J1770" s="1568" t="s">
        <v>2401</v>
      </c>
      <c r="K1770" s="1568"/>
      <c r="L1770" s="1568"/>
      <c r="M1770" s="1566">
        <v>139655.25</v>
      </c>
      <c r="N1770" s="1566"/>
      <c r="O1770" s="1566"/>
      <c r="P1770" s="1566">
        <v>0</v>
      </c>
      <c r="Q1770" s="1566"/>
      <c r="R1770" s="1566"/>
      <c r="S1770" s="1566">
        <v>56251.74</v>
      </c>
      <c r="T1770" s="1566"/>
      <c r="U1770" s="1566"/>
      <c r="V1770" s="1566"/>
      <c r="W1770" s="1566">
        <v>0</v>
      </c>
      <c r="X1770" s="1566"/>
      <c r="Y1770" s="1566"/>
      <c r="Z1770" s="1566"/>
      <c r="AA1770" s="1566">
        <v>195906.99</v>
      </c>
      <c r="AB1770" s="1566"/>
      <c r="AC1770" s="1566"/>
      <c r="AD1770" s="1566"/>
      <c r="AE1770" s="1566"/>
      <c r="AF1770" s="1566"/>
      <c r="AG1770" s="1566">
        <v>0</v>
      </c>
      <c r="AH1770" s="1566"/>
      <c r="AI1770" s="1566"/>
      <c r="AJ1770" s="1566"/>
      <c r="AK1770" s="1566"/>
    </row>
    <row r="1771" spans="2:37" ht="9.4" customHeight="1">
      <c r="B1771" s="1568" t="s">
        <v>1326</v>
      </c>
      <c r="C1771" s="1568"/>
      <c r="D1771" s="1568"/>
      <c r="E1771" s="1568" t="s">
        <v>2809</v>
      </c>
      <c r="F1771" s="1568"/>
      <c r="G1771" s="1568"/>
      <c r="H1771" s="1568"/>
      <c r="J1771" s="1568" t="s">
        <v>2403</v>
      </c>
      <c r="K1771" s="1568"/>
      <c r="L1771" s="1568"/>
      <c r="M1771" s="1566">
        <v>7383.36</v>
      </c>
      <c r="N1771" s="1566"/>
      <c r="O1771" s="1566"/>
      <c r="P1771" s="1566">
        <v>0</v>
      </c>
      <c r="Q1771" s="1566"/>
      <c r="R1771" s="1566"/>
      <c r="S1771" s="1566">
        <v>2461.12</v>
      </c>
      <c r="T1771" s="1566"/>
      <c r="U1771" s="1566"/>
      <c r="V1771" s="1566"/>
      <c r="W1771" s="1566">
        <v>0</v>
      </c>
      <c r="X1771" s="1566"/>
      <c r="Y1771" s="1566"/>
      <c r="Z1771" s="1566"/>
      <c r="AA1771" s="1566">
        <v>9844.48</v>
      </c>
      <c r="AB1771" s="1566"/>
      <c r="AC1771" s="1566"/>
      <c r="AD1771" s="1566"/>
      <c r="AE1771" s="1566"/>
      <c r="AF1771" s="1566"/>
      <c r="AG1771" s="1566">
        <v>0</v>
      </c>
      <c r="AH1771" s="1566"/>
      <c r="AI1771" s="1566"/>
      <c r="AJ1771" s="1566"/>
      <c r="AK1771" s="1566"/>
    </row>
    <row r="1772" spans="2:37" ht="9.4" customHeight="1">
      <c r="B1772" s="1568" t="s">
        <v>1326</v>
      </c>
      <c r="C1772" s="1568"/>
      <c r="D1772" s="1568"/>
      <c r="E1772" s="1568" t="s">
        <v>2810</v>
      </c>
      <c r="F1772" s="1568"/>
      <c r="G1772" s="1568"/>
      <c r="H1772" s="1568"/>
      <c r="J1772" s="1568" t="s">
        <v>2405</v>
      </c>
      <c r="K1772" s="1568"/>
      <c r="L1772" s="1568"/>
      <c r="M1772" s="1566">
        <v>81589.56</v>
      </c>
      <c r="N1772" s="1566"/>
      <c r="O1772" s="1566"/>
      <c r="P1772" s="1566">
        <v>0</v>
      </c>
      <c r="Q1772" s="1566"/>
      <c r="R1772" s="1566"/>
      <c r="S1772" s="1566">
        <v>27961.439999999999</v>
      </c>
      <c r="T1772" s="1566"/>
      <c r="U1772" s="1566"/>
      <c r="V1772" s="1566"/>
      <c r="W1772" s="1566">
        <v>0</v>
      </c>
      <c r="X1772" s="1566"/>
      <c r="Y1772" s="1566"/>
      <c r="Z1772" s="1566"/>
      <c r="AA1772" s="1566">
        <v>109551</v>
      </c>
      <c r="AB1772" s="1566"/>
      <c r="AC1772" s="1566"/>
      <c r="AD1772" s="1566"/>
      <c r="AE1772" s="1566"/>
      <c r="AF1772" s="1566"/>
      <c r="AG1772" s="1566">
        <v>0</v>
      </c>
      <c r="AH1772" s="1566"/>
      <c r="AI1772" s="1566"/>
      <c r="AJ1772" s="1566"/>
      <c r="AK1772" s="1566"/>
    </row>
    <row r="1773" spans="2:37" ht="9.4" customHeight="1">
      <c r="B1773" s="1568" t="s">
        <v>1326</v>
      </c>
      <c r="C1773" s="1568"/>
      <c r="D1773" s="1568"/>
      <c r="E1773" s="1568" t="s">
        <v>2811</v>
      </c>
      <c r="F1773" s="1568"/>
      <c r="G1773" s="1568"/>
      <c r="H1773" s="1568"/>
      <c r="J1773" s="1568" t="s">
        <v>2407</v>
      </c>
      <c r="K1773" s="1568"/>
      <c r="L1773" s="1568"/>
      <c r="M1773" s="1566">
        <v>63868.800000000003</v>
      </c>
      <c r="N1773" s="1566"/>
      <c r="O1773" s="1566"/>
      <c r="P1773" s="1566">
        <v>0</v>
      </c>
      <c r="Q1773" s="1566"/>
      <c r="R1773" s="1566"/>
      <c r="S1773" s="1566">
        <v>21508.799999999999</v>
      </c>
      <c r="T1773" s="1566"/>
      <c r="U1773" s="1566"/>
      <c r="V1773" s="1566"/>
      <c r="W1773" s="1566">
        <v>0</v>
      </c>
      <c r="X1773" s="1566"/>
      <c r="Y1773" s="1566"/>
      <c r="Z1773" s="1566"/>
      <c r="AA1773" s="1566">
        <v>85377.600000000006</v>
      </c>
      <c r="AB1773" s="1566"/>
      <c r="AC1773" s="1566"/>
      <c r="AD1773" s="1566"/>
      <c r="AE1773" s="1566"/>
      <c r="AF1773" s="1566"/>
      <c r="AG1773" s="1566">
        <v>0</v>
      </c>
      <c r="AH1773" s="1566"/>
      <c r="AI1773" s="1566"/>
      <c r="AJ1773" s="1566"/>
      <c r="AK1773" s="1566"/>
    </row>
    <row r="1774" spans="2:37" ht="9.4" customHeight="1">
      <c r="B1774" s="1568" t="s">
        <v>1326</v>
      </c>
      <c r="C1774" s="1568"/>
      <c r="D1774" s="1568"/>
      <c r="E1774" s="1568" t="s">
        <v>3353</v>
      </c>
      <c r="F1774" s="1568"/>
      <c r="G1774" s="1568"/>
      <c r="H1774" s="1568"/>
      <c r="J1774" s="1568" t="s">
        <v>2467</v>
      </c>
      <c r="K1774" s="1568"/>
      <c r="L1774" s="1568"/>
      <c r="M1774" s="1566">
        <v>20783.53</v>
      </c>
      <c r="N1774" s="1566"/>
      <c r="O1774" s="1566"/>
      <c r="P1774" s="1566">
        <v>0</v>
      </c>
      <c r="Q1774" s="1566"/>
      <c r="R1774" s="1566"/>
      <c r="S1774" s="1566">
        <v>1637.94</v>
      </c>
      <c r="T1774" s="1566"/>
      <c r="U1774" s="1566"/>
      <c r="V1774" s="1566"/>
      <c r="W1774" s="1566">
        <v>0</v>
      </c>
      <c r="X1774" s="1566"/>
      <c r="Y1774" s="1566"/>
      <c r="Z1774" s="1566"/>
      <c r="AA1774" s="1566">
        <v>22421.47</v>
      </c>
      <c r="AB1774" s="1566"/>
      <c r="AC1774" s="1566"/>
      <c r="AD1774" s="1566"/>
      <c r="AE1774" s="1566"/>
      <c r="AF1774" s="1566"/>
      <c r="AG1774" s="1566">
        <v>0</v>
      </c>
      <c r="AH1774" s="1566"/>
      <c r="AI1774" s="1566"/>
      <c r="AJ1774" s="1566"/>
      <c r="AK1774" s="1566"/>
    </row>
    <row r="1775" spans="2:37" ht="9.4" customHeight="1">
      <c r="B1775" s="1568" t="s">
        <v>1326</v>
      </c>
      <c r="C1775" s="1568"/>
      <c r="D1775" s="1568"/>
      <c r="E1775" s="1568" t="s">
        <v>6302</v>
      </c>
      <c r="F1775" s="1568"/>
      <c r="G1775" s="1568"/>
      <c r="H1775" s="1568"/>
      <c r="J1775" s="1568" t="s">
        <v>2469</v>
      </c>
      <c r="K1775" s="1568"/>
      <c r="L1775" s="1568"/>
      <c r="M1775" s="1566">
        <v>22375</v>
      </c>
      <c r="N1775" s="1566"/>
      <c r="O1775" s="1566"/>
      <c r="P1775" s="1566">
        <v>0</v>
      </c>
      <c r="Q1775" s="1566"/>
      <c r="R1775" s="1566"/>
      <c r="S1775" s="1566">
        <v>0</v>
      </c>
      <c r="T1775" s="1566"/>
      <c r="U1775" s="1566"/>
      <c r="V1775" s="1566"/>
      <c r="W1775" s="1566">
        <v>0</v>
      </c>
      <c r="X1775" s="1566"/>
      <c r="Y1775" s="1566"/>
      <c r="Z1775" s="1566"/>
      <c r="AA1775" s="1566">
        <v>22375</v>
      </c>
      <c r="AB1775" s="1566"/>
      <c r="AC1775" s="1566"/>
      <c r="AD1775" s="1566"/>
      <c r="AE1775" s="1566"/>
      <c r="AF1775" s="1566"/>
      <c r="AG1775" s="1566">
        <v>0</v>
      </c>
      <c r="AH1775" s="1566"/>
      <c r="AI1775" s="1566"/>
      <c r="AJ1775" s="1566"/>
      <c r="AK1775" s="1566"/>
    </row>
    <row r="1776" spans="2:37" ht="9.4" customHeight="1">
      <c r="B1776" s="1568" t="s">
        <v>1326</v>
      </c>
      <c r="C1776" s="1568"/>
      <c r="D1776" s="1568"/>
      <c r="E1776" s="1568" t="s">
        <v>6303</v>
      </c>
      <c r="F1776" s="1568"/>
      <c r="G1776" s="1568"/>
      <c r="H1776" s="1568"/>
      <c r="J1776" s="1568" t="s">
        <v>2471</v>
      </c>
      <c r="K1776" s="1568"/>
      <c r="L1776" s="1568"/>
      <c r="M1776" s="1566">
        <v>7175.5</v>
      </c>
      <c r="N1776" s="1566"/>
      <c r="O1776" s="1566"/>
      <c r="P1776" s="1566">
        <v>0</v>
      </c>
      <c r="Q1776" s="1566"/>
      <c r="R1776" s="1566"/>
      <c r="S1776" s="1566">
        <v>5211.1000000000004</v>
      </c>
      <c r="T1776" s="1566"/>
      <c r="U1776" s="1566"/>
      <c r="V1776" s="1566"/>
      <c r="W1776" s="1566">
        <v>0</v>
      </c>
      <c r="X1776" s="1566"/>
      <c r="Y1776" s="1566"/>
      <c r="Z1776" s="1566"/>
      <c r="AA1776" s="1566">
        <v>12386.6</v>
      </c>
      <c r="AB1776" s="1566"/>
      <c r="AC1776" s="1566"/>
      <c r="AD1776" s="1566"/>
      <c r="AE1776" s="1566"/>
      <c r="AF1776" s="1566"/>
      <c r="AG1776" s="1566">
        <v>0</v>
      </c>
      <c r="AH1776" s="1566"/>
      <c r="AI1776" s="1566"/>
      <c r="AJ1776" s="1566"/>
      <c r="AK1776" s="1566"/>
    </row>
    <row r="1777" spans="2:37" ht="9.4" customHeight="1">
      <c r="B1777" s="1568" t="s">
        <v>1326</v>
      </c>
      <c r="C1777" s="1568"/>
      <c r="D1777" s="1568"/>
      <c r="E1777" s="1568" t="s">
        <v>3354</v>
      </c>
      <c r="F1777" s="1568"/>
      <c r="G1777" s="1568"/>
      <c r="H1777" s="1568"/>
      <c r="J1777" s="1568" t="s">
        <v>2473</v>
      </c>
      <c r="K1777" s="1568"/>
      <c r="L1777" s="1568"/>
      <c r="M1777" s="1566">
        <v>11801.3</v>
      </c>
      <c r="N1777" s="1566"/>
      <c r="O1777" s="1566"/>
      <c r="P1777" s="1566">
        <v>0</v>
      </c>
      <c r="Q1777" s="1566"/>
      <c r="R1777" s="1566"/>
      <c r="S1777" s="1566">
        <v>4514.6000000000004</v>
      </c>
      <c r="T1777" s="1566"/>
      <c r="U1777" s="1566"/>
      <c r="V1777" s="1566"/>
      <c r="W1777" s="1566">
        <v>0</v>
      </c>
      <c r="X1777" s="1566"/>
      <c r="Y1777" s="1566"/>
      <c r="Z1777" s="1566"/>
      <c r="AA1777" s="1566">
        <v>16315.9</v>
      </c>
      <c r="AB1777" s="1566"/>
      <c r="AC1777" s="1566"/>
      <c r="AD1777" s="1566"/>
      <c r="AE1777" s="1566"/>
      <c r="AF1777" s="1566"/>
      <c r="AG1777" s="1566">
        <v>0</v>
      </c>
      <c r="AH1777" s="1566"/>
      <c r="AI1777" s="1566"/>
      <c r="AJ1777" s="1566"/>
      <c r="AK1777" s="1566"/>
    </row>
    <row r="1778" spans="2:37" ht="9.4" customHeight="1">
      <c r="B1778" s="1568" t="s">
        <v>1326</v>
      </c>
      <c r="C1778" s="1568"/>
      <c r="D1778" s="1568"/>
      <c r="E1778" s="1568" t="s">
        <v>2812</v>
      </c>
      <c r="F1778" s="1568"/>
      <c r="G1778" s="1568"/>
      <c r="H1778" s="1568"/>
      <c r="J1778" s="1568" t="s">
        <v>2421</v>
      </c>
      <c r="K1778" s="1568"/>
      <c r="L1778" s="1568"/>
      <c r="M1778" s="1566">
        <v>5312.19</v>
      </c>
      <c r="N1778" s="1566"/>
      <c r="O1778" s="1566"/>
      <c r="P1778" s="1566">
        <v>0</v>
      </c>
      <c r="Q1778" s="1566"/>
      <c r="R1778" s="1566"/>
      <c r="S1778" s="1566">
        <v>1926.52</v>
      </c>
      <c r="T1778" s="1566"/>
      <c r="U1778" s="1566"/>
      <c r="V1778" s="1566"/>
      <c r="W1778" s="1566">
        <v>0</v>
      </c>
      <c r="X1778" s="1566"/>
      <c r="Y1778" s="1566"/>
      <c r="Z1778" s="1566"/>
      <c r="AA1778" s="1566">
        <v>7238.71</v>
      </c>
      <c r="AB1778" s="1566"/>
      <c r="AC1778" s="1566"/>
      <c r="AD1778" s="1566"/>
      <c r="AE1778" s="1566"/>
      <c r="AF1778" s="1566"/>
      <c r="AG1778" s="1566">
        <v>0</v>
      </c>
      <c r="AH1778" s="1566"/>
      <c r="AI1778" s="1566"/>
      <c r="AJ1778" s="1566"/>
      <c r="AK1778" s="1566"/>
    </row>
    <row r="1779" spans="2:37" ht="9.4" customHeight="1">
      <c r="B1779" s="1568" t="s">
        <v>1326</v>
      </c>
      <c r="C1779" s="1568"/>
      <c r="D1779" s="1568"/>
      <c r="E1779" s="1568" t="s">
        <v>2813</v>
      </c>
      <c r="F1779" s="1568"/>
      <c r="G1779" s="1568"/>
      <c r="H1779" s="1568"/>
      <c r="J1779" s="1568" t="s">
        <v>2423</v>
      </c>
      <c r="K1779" s="1568"/>
      <c r="L1779" s="1568"/>
      <c r="M1779" s="1566">
        <v>99597.78</v>
      </c>
      <c r="N1779" s="1566"/>
      <c r="O1779" s="1566"/>
      <c r="P1779" s="1566">
        <v>0</v>
      </c>
      <c r="Q1779" s="1566"/>
      <c r="R1779" s="1566"/>
      <c r="S1779" s="1566">
        <v>23993.73</v>
      </c>
      <c r="T1779" s="1566"/>
      <c r="U1779" s="1566"/>
      <c r="V1779" s="1566"/>
      <c r="W1779" s="1566">
        <v>0</v>
      </c>
      <c r="X1779" s="1566"/>
      <c r="Y1779" s="1566"/>
      <c r="Z1779" s="1566"/>
      <c r="AA1779" s="1566">
        <v>123591.51</v>
      </c>
      <c r="AB1779" s="1566"/>
      <c r="AC1779" s="1566"/>
      <c r="AD1779" s="1566"/>
      <c r="AE1779" s="1566"/>
      <c r="AF1779" s="1566"/>
      <c r="AG1779" s="1566">
        <v>0</v>
      </c>
      <c r="AH1779" s="1566"/>
      <c r="AI1779" s="1566"/>
      <c r="AJ1779" s="1566"/>
      <c r="AK1779" s="1566"/>
    </row>
    <row r="1780" spans="2:37" ht="9.4" customHeight="1">
      <c r="B1780" s="1568" t="s">
        <v>1326</v>
      </c>
      <c r="C1780" s="1568"/>
      <c r="D1780" s="1568"/>
      <c r="E1780" s="1568" t="s">
        <v>6304</v>
      </c>
      <c r="F1780" s="1568"/>
      <c r="G1780" s="1568"/>
      <c r="H1780" s="1568"/>
      <c r="J1780" s="1568" t="s">
        <v>2479</v>
      </c>
      <c r="K1780" s="1568"/>
      <c r="L1780" s="1568"/>
      <c r="M1780" s="1566">
        <v>11095.77</v>
      </c>
      <c r="N1780" s="1566"/>
      <c r="O1780" s="1566"/>
      <c r="P1780" s="1566">
        <v>0</v>
      </c>
      <c r="Q1780" s="1566"/>
      <c r="R1780" s="1566"/>
      <c r="S1780" s="1566">
        <v>1407.75</v>
      </c>
      <c r="T1780" s="1566"/>
      <c r="U1780" s="1566"/>
      <c r="V1780" s="1566"/>
      <c r="W1780" s="1566">
        <v>0</v>
      </c>
      <c r="X1780" s="1566"/>
      <c r="Y1780" s="1566"/>
      <c r="Z1780" s="1566"/>
      <c r="AA1780" s="1566">
        <v>12503.52</v>
      </c>
      <c r="AB1780" s="1566"/>
      <c r="AC1780" s="1566"/>
      <c r="AD1780" s="1566"/>
      <c r="AE1780" s="1566"/>
      <c r="AF1780" s="1566"/>
      <c r="AG1780" s="1566">
        <v>0</v>
      </c>
      <c r="AH1780" s="1566"/>
      <c r="AI1780" s="1566"/>
      <c r="AJ1780" s="1566"/>
      <c r="AK1780" s="1566"/>
    </row>
    <row r="1781" spans="2:37" ht="9.4" customHeight="1">
      <c r="B1781" s="1568" t="s">
        <v>1326</v>
      </c>
      <c r="C1781" s="1568"/>
      <c r="D1781" s="1568"/>
      <c r="E1781" s="1568" t="s">
        <v>3355</v>
      </c>
      <c r="F1781" s="1568"/>
      <c r="G1781" s="1568"/>
      <c r="H1781" s="1568"/>
      <c r="J1781" s="1568" t="s">
        <v>2481</v>
      </c>
      <c r="K1781" s="1568"/>
      <c r="L1781" s="1568"/>
      <c r="M1781" s="1566">
        <v>49473.279999999999</v>
      </c>
      <c r="N1781" s="1566"/>
      <c r="O1781" s="1566"/>
      <c r="P1781" s="1566">
        <v>0</v>
      </c>
      <c r="Q1781" s="1566"/>
      <c r="R1781" s="1566"/>
      <c r="S1781" s="1566">
        <v>24776.53</v>
      </c>
      <c r="T1781" s="1566"/>
      <c r="U1781" s="1566"/>
      <c r="V1781" s="1566"/>
      <c r="W1781" s="1566">
        <v>0</v>
      </c>
      <c r="X1781" s="1566"/>
      <c r="Y1781" s="1566"/>
      <c r="Z1781" s="1566"/>
      <c r="AA1781" s="1566">
        <v>74249.81</v>
      </c>
      <c r="AB1781" s="1566"/>
      <c r="AC1781" s="1566"/>
      <c r="AD1781" s="1566"/>
      <c r="AE1781" s="1566"/>
      <c r="AF1781" s="1566"/>
      <c r="AG1781" s="1566">
        <v>0</v>
      </c>
      <c r="AH1781" s="1566"/>
      <c r="AI1781" s="1566"/>
      <c r="AJ1781" s="1566"/>
      <c r="AK1781" s="1566"/>
    </row>
    <row r="1782" spans="2:37" ht="9.4" customHeight="1">
      <c r="B1782" s="1568" t="s">
        <v>1326</v>
      </c>
      <c r="C1782" s="1568"/>
      <c r="D1782" s="1568"/>
      <c r="E1782" s="1568" t="s">
        <v>4086</v>
      </c>
      <c r="F1782" s="1568"/>
      <c r="G1782" s="1568"/>
      <c r="H1782" s="1568"/>
      <c r="J1782" s="1568" t="s">
        <v>2483</v>
      </c>
      <c r="K1782" s="1568"/>
      <c r="L1782" s="1568"/>
      <c r="M1782" s="1566">
        <v>3539.75</v>
      </c>
      <c r="N1782" s="1566"/>
      <c r="O1782" s="1566"/>
      <c r="P1782" s="1566">
        <v>0</v>
      </c>
      <c r="Q1782" s="1566"/>
      <c r="R1782" s="1566"/>
      <c r="S1782" s="1566">
        <v>263.61</v>
      </c>
      <c r="T1782" s="1566"/>
      <c r="U1782" s="1566"/>
      <c r="V1782" s="1566"/>
      <c r="W1782" s="1566">
        <v>0</v>
      </c>
      <c r="X1782" s="1566"/>
      <c r="Y1782" s="1566"/>
      <c r="Z1782" s="1566"/>
      <c r="AA1782" s="1566">
        <v>3803.36</v>
      </c>
      <c r="AB1782" s="1566"/>
      <c r="AC1782" s="1566"/>
      <c r="AD1782" s="1566"/>
      <c r="AE1782" s="1566"/>
      <c r="AF1782" s="1566"/>
      <c r="AG1782" s="1566">
        <v>0</v>
      </c>
      <c r="AH1782" s="1566"/>
      <c r="AI1782" s="1566"/>
      <c r="AJ1782" s="1566"/>
      <c r="AK1782" s="1566"/>
    </row>
    <row r="1783" spans="2:37" ht="9.4" customHeight="1">
      <c r="B1783" s="1568" t="s">
        <v>1326</v>
      </c>
      <c r="C1783" s="1568"/>
      <c r="D1783" s="1568"/>
      <c r="E1783" s="1568" t="s">
        <v>6305</v>
      </c>
      <c r="F1783" s="1568"/>
      <c r="G1783" s="1568"/>
      <c r="H1783" s="1568"/>
      <c r="J1783" s="1568" t="s">
        <v>2487</v>
      </c>
      <c r="K1783" s="1568"/>
      <c r="L1783" s="1568"/>
      <c r="M1783" s="1566">
        <v>5850</v>
      </c>
      <c r="N1783" s="1566"/>
      <c r="O1783" s="1566"/>
      <c r="P1783" s="1566">
        <v>0</v>
      </c>
      <c r="Q1783" s="1566"/>
      <c r="R1783" s="1566"/>
      <c r="S1783" s="1566">
        <v>3000</v>
      </c>
      <c r="T1783" s="1566"/>
      <c r="U1783" s="1566"/>
      <c r="V1783" s="1566"/>
      <c r="W1783" s="1566">
        <v>0</v>
      </c>
      <c r="X1783" s="1566"/>
      <c r="Y1783" s="1566"/>
      <c r="Z1783" s="1566"/>
      <c r="AA1783" s="1566">
        <v>8850</v>
      </c>
      <c r="AB1783" s="1566"/>
      <c r="AC1783" s="1566"/>
      <c r="AD1783" s="1566"/>
      <c r="AE1783" s="1566"/>
      <c r="AF1783" s="1566"/>
      <c r="AG1783" s="1566">
        <v>0</v>
      </c>
      <c r="AH1783" s="1566"/>
      <c r="AI1783" s="1566"/>
      <c r="AJ1783" s="1566"/>
      <c r="AK1783" s="1566"/>
    </row>
    <row r="1784" spans="2:37" ht="9.4" customHeight="1">
      <c r="B1784" s="1568" t="s">
        <v>1326</v>
      </c>
      <c r="C1784" s="1568"/>
      <c r="D1784" s="1568"/>
      <c r="E1784" s="1568" t="s">
        <v>2814</v>
      </c>
      <c r="F1784" s="1568"/>
      <c r="G1784" s="1568"/>
      <c r="H1784" s="1568"/>
      <c r="J1784" s="1568" t="s">
        <v>2491</v>
      </c>
      <c r="K1784" s="1568"/>
      <c r="L1784" s="1568"/>
      <c r="M1784" s="1566">
        <v>46351.37</v>
      </c>
      <c r="N1784" s="1566"/>
      <c r="O1784" s="1566"/>
      <c r="P1784" s="1566">
        <v>0</v>
      </c>
      <c r="Q1784" s="1566"/>
      <c r="R1784" s="1566"/>
      <c r="S1784" s="1566">
        <v>25956.639999999999</v>
      </c>
      <c r="T1784" s="1566"/>
      <c r="U1784" s="1566"/>
      <c r="V1784" s="1566"/>
      <c r="W1784" s="1566">
        <v>0</v>
      </c>
      <c r="X1784" s="1566"/>
      <c r="Y1784" s="1566"/>
      <c r="Z1784" s="1566"/>
      <c r="AA1784" s="1566">
        <v>72308.009999999995</v>
      </c>
      <c r="AB1784" s="1566"/>
      <c r="AC1784" s="1566"/>
      <c r="AD1784" s="1566"/>
      <c r="AE1784" s="1566"/>
      <c r="AF1784" s="1566"/>
      <c r="AG1784" s="1566">
        <v>0</v>
      </c>
      <c r="AH1784" s="1566"/>
      <c r="AI1784" s="1566"/>
      <c r="AJ1784" s="1566"/>
      <c r="AK1784" s="1566"/>
    </row>
    <row r="1785" spans="2:37" ht="9.4" customHeight="1">
      <c r="B1785" s="1568" t="s">
        <v>1326</v>
      </c>
      <c r="C1785" s="1568"/>
      <c r="D1785" s="1568"/>
      <c r="E1785" s="1568" t="s">
        <v>2815</v>
      </c>
      <c r="F1785" s="1568"/>
      <c r="G1785" s="1568"/>
      <c r="H1785" s="1568"/>
      <c r="J1785" s="1568" t="s">
        <v>2493</v>
      </c>
      <c r="K1785" s="1568"/>
      <c r="L1785" s="1568"/>
      <c r="M1785" s="1566">
        <v>4841.32</v>
      </c>
      <c r="N1785" s="1566"/>
      <c r="O1785" s="1566"/>
      <c r="P1785" s="1566">
        <v>0</v>
      </c>
      <c r="Q1785" s="1566"/>
      <c r="R1785" s="1566"/>
      <c r="S1785" s="1566">
        <v>0</v>
      </c>
      <c r="T1785" s="1566"/>
      <c r="U1785" s="1566"/>
      <c r="V1785" s="1566"/>
      <c r="W1785" s="1566">
        <v>0</v>
      </c>
      <c r="X1785" s="1566"/>
      <c r="Y1785" s="1566"/>
      <c r="Z1785" s="1566"/>
      <c r="AA1785" s="1566">
        <v>4841.32</v>
      </c>
      <c r="AB1785" s="1566"/>
      <c r="AC1785" s="1566"/>
      <c r="AD1785" s="1566"/>
      <c r="AE1785" s="1566"/>
      <c r="AF1785" s="1566"/>
      <c r="AG1785" s="1566">
        <v>0</v>
      </c>
      <c r="AH1785" s="1566"/>
      <c r="AI1785" s="1566"/>
      <c r="AJ1785" s="1566"/>
      <c r="AK1785" s="1566"/>
    </row>
    <row r="1786" spans="2:37" ht="9.4" customHeight="1">
      <c r="B1786" s="1568" t="s">
        <v>1326</v>
      </c>
      <c r="C1786" s="1568"/>
      <c r="D1786" s="1568"/>
      <c r="E1786" s="1568" t="s">
        <v>2816</v>
      </c>
      <c r="F1786" s="1568"/>
      <c r="G1786" s="1568"/>
      <c r="H1786" s="1568"/>
      <c r="J1786" s="1568" t="s">
        <v>2495</v>
      </c>
      <c r="K1786" s="1568"/>
      <c r="L1786" s="1568"/>
      <c r="M1786" s="1566">
        <v>5980.76</v>
      </c>
      <c r="N1786" s="1566"/>
      <c r="O1786" s="1566"/>
      <c r="P1786" s="1566">
        <v>0</v>
      </c>
      <c r="Q1786" s="1566"/>
      <c r="R1786" s="1566"/>
      <c r="S1786" s="1566">
        <v>5367.4</v>
      </c>
      <c r="T1786" s="1566"/>
      <c r="U1786" s="1566"/>
      <c r="V1786" s="1566"/>
      <c r="W1786" s="1566">
        <v>0</v>
      </c>
      <c r="X1786" s="1566"/>
      <c r="Y1786" s="1566"/>
      <c r="Z1786" s="1566"/>
      <c r="AA1786" s="1566">
        <v>11348.16</v>
      </c>
      <c r="AB1786" s="1566"/>
      <c r="AC1786" s="1566"/>
      <c r="AD1786" s="1566"/>
      <c r="AE1786" s="1566"/>
      <c r="AF1786" s="1566"/>
      <c r="AG1786" s="1566">
        <v>0</v>
      </c>
      <c r="AH1786" s="1566"/>
      <c r="AI1786" s="1566"/>
      <c r="AJ1786" s="1566"/>
      <c r="AK1786" s="1566"/>
    </row>
    <row r="1787" spans="2:37" ht="9.4" customHeight="1">
      <c r="B1787" s="1568" t="s">
        <v>1326</v>
      </c>
      <c r="C1787" s="1568"/>
      <c r="D1787" s="1568"/>
      <c r="E1787" s="1568" t="s">
        <v>2817</v>
      </c>
      <c r="F1787" s="1568"/>
      <c r="G1787" s="1568"/>
      <c r="H1787" s="1568"/>
      <c r="J1787" s="1568" t="s">
        <v>2426</v>
      </c>
      <c r="K1787" s="1568"/>
      <c r="L1787" s="1568"/>
      <c r="M1787" s="1566">
        <v>30710.639999999999</v>
      </c>
      <c r="N1787" s="1566"/>
      <c r="O1787" s="1566"/>
      <c r="P1787" s="1566">
        <v>0</v>
      </c>
      <c r="Q1787" s="1566"/>
      <c r="R1787" s="1566"/>
      <c r="S1787" s="1566">
        <v>10236.879999999999</v>
      </c>
      <c r="T1787" s="1566"/>
      <c r="U1787" s="1566"/>
      <c r="V1787" s="1566"/>
      <c r="W1787" s="1566">
        <v>0</v>
      </c>
      <c r="X1787" s="1566"/>
      <c r="Y1787" s="1566"/>
      <c r="Z1787" s="1566"/>
      <c r="AA1787" s="1566">
        <v>40947.519999999997</v>
      </c>
      <c r="AB1787" s="1566"/>
      <c r="AC1787" s="1566"/>
      <c r="AD1787" s="1566"/>
      <c r="AE1787" s="1566"/>
      <c r="AF1787" s="1566"/>
      <c r="AG1787" s="1566">
        <v>0</v>
      </c>
      <c r="AH1787" s="1566"/>
      <c r="AI1787" s="1566"/>
      <c r="AJ1787" s="1566"/>
      <c r="AK1787" s="1566"/>
    </row>
    <row r="1788" spans="2:37" ht="9.4" customHeight="1">
      <c r="B1788" s="1568" t="s">
        <v>1326</v>
      </c>
      <c r="C1788" s="1568"/>
      <c r="D1788" s="1568"/>
      <c r="E1788" s="1568" t="s">
        <v>6803</v>
      </c>
      <c r="F1788" s="1568"/>
      <c r="G1788" s="1568"/>
      <c r="H1788" s="1568"/>
      <c r="J1788" s="1568" t="s">
        <v>2498</v>
      </c>
      <c r="K1788" s="1568"/>
      <c r="L1788" s="1568"/>
      <c r="M1788" s="1566">
        <v>0</v>
      </c>
      <c r="N1788" s="1566"/>
      <c r="O1788" s="1566"/>
      <c r="P1788" s="1566">
        <v>0</v>
      </c>
      <c r="Q1788" s="1566"/>
      <c r="R1788" s="1566"/>
      <c r="S1788" s="1566">
        <v>559.16</v>
      </c>
      <c r="T1788" s="1566"/>
      <c r="U1788" s="1566"/>
      <c r="V1788" s="1566"/>
      <c r="W1788" s="1566">
        <v>0</v>
      </c>
      <c r="X1788" s="1566"/>
      <c r="Y1788" s="1566"/>
      <c r="Z1788" s="1566"/>
      <c r="AA1788" s="1566">
        <v>559.16</v>
      </c>
      <c r="AB1788" s="1566"/>
      <c r="AC1788" s="1566"/>
      <c r="AD1788" s="1566"/>
      <c r="AE1788" s="1566"/>
      <c r="AF1788" s="1566"/>
      <c r="AG1788" s="1566">
        <v>0</v>
      </c>
      <c r="AH1788" s="1566"/>
      <c r="AI1788" s="1566"/>
      <c r="AJ1788" s="1566"/>
      <c r="AK1788" s="1566"/>
    </row>
    <row r="1789" spans="2:37" ht="9.4" customHeight="1">
      <c r="B1789" s="1568" t="s">
        <v>1326</v>
      </c>
      <c r="C1789" s="1568"/>
      <c r="D1789" s="1568"/>
      <c r="E1789" s="1568" t="s">
        <v>3356</v>
      </c>
      <c r="F1789" s="1568"/>
      <c r="G1789" s="1568"/>
      <c r="H1789" s="1568"/>
      <c r="J1789" s="1568" t="s">
        <v>2428</v>
      </c>
      <c r="K1789" s="1568"/>
      <c r="L1789" s="1568"/>
      <c r="M1789" s="1566">
        <v>11686</v>
      </c>
      <c r="N1789" s="1566"/>
      <c r="O1789" s="1566"/>
      <c r="P1789" s="1566">
        <v>0</v>
      </c>
      <c r="Q1789" s="1566"/>
      <c r="R1789" s="1566"/>
      <c r="S1789" s="1566">
        <v>580</v>
      </c>
      <c r="T1789" s="1566"/>
      <c r="U1789" s="1566"/>
      <c r="V1789" s="1566"/>
      <c r="W1789" s="1566">
        <v>0</v>
      </c>
      <c r="X1789" s="1566"/>
      <c r="Y1789" s="1566"/>
      <c r="Z1789" s="1566"/>
      <c r="AA1789" s="1566">
        <v>12266</v>
      </c>
      <c r="AB1789" s="1566"/>
      <c r="AC1789" s="1566"/>
      <c r="AD1789" s="1566"/>
      <c r="AE1789" s="1566"/>
      <c r="AF1789" s="1566"/>
      <c r="AG1789" s="1566">
        <v>0</v>
      </c>
      <c r="AH1789" s="1566"/>
      <c r="AI1789" s="1566"/>
      <c r="AJ1789" s="1566"/>
      <c r="AK1789" s="1566"/>
    </row>
    <row r="1790" spans="2:37" ht="9.1999999999999993" customHeight="1">
      <c r="J1790" s="1568"/>
      <c r="K1790" s="1568"/>
      <c r="L1790" s="1568"/>
    </row>
    <row r="1791" spans="2:37" ht="8.4499999999999993" customHeight="1">
      <c r="B1791" s="1568" t="s">
        <v>1326</v>
      </c>
      <c r="C1791" s="1568"/>
      <c r="D1791" s="1568"/>
      <c r="E1791" s="1568" t="s">
        <v>6306</v>
      </c>
      <c r="F1791" s="1568"/>
      <c r="G1791" s="1568"/>
      <c r="H1791" s="1568"/>
      <c r="J1791" s="1568" t="s">
        <v>2503</v>
      </c>
      <c r="K1791" s="1568"/>
      <c r="L1791" s="1568"/>
      <c r="M1791" s="1566">
        <v>17893.54</v>
      </c>
      <c r="N1791" s="1566"/>
      <c r="O1791" s="1566"/>
      <c r="P1791" s="1566">
        <v>0</v>
      </c>
      <c r="Q1791" s="1566"/>
      <c r="R1791" s="1566"/>
      <c r="S1791" s="1566">
        <v>0</v>
      </c>
      <c r="T1791" s="1566"/>
      <c r="U1791" s="1566"/>
      <c r="V1791" s="1566"/>
      <c r="W1791" s="1566">
        <v>0</v>
      </c>
      <c r="X1791" s="1566"/>
      <c r="Y1791" s="1566"/>
      <c r="Z1791" s="1566"/>
      <c r="AA1791" s="1566">
        <v>17893.54</v>
      </c>
      <c r="AB1791" s="1566"/>
      <c r="AC1791" s="1566"/>
      <c r="AD1791" s="1566"/>
      <c r="AE1791" s="1566"/>
      <c r="AF1791" s="1566"/>
      <c r="AG1791" s="1566">
        <v>0</v>
      </c>
      <c r="AH1791" s="1566"/>
      <c r="AI1791" s="1566"/>
      <c r="AJ1791" s="1566"/>
      <c r="AK1791" s="1566"/>
    </row>
    <row r="1792" spans="2:37" ht="8.4499999999999993" customHeight="1"/>
    <row r="1793" spans="1:38" ht="14.1" customHeight="1">
      <c r="AG1793" s="1565" t="s">
        <v>6309</v>
      </c>
      <c r="AH1793" s="1565"/>
      <c r="AI1793" s="1565"/>
      <c r="AJ1793" s="1565"/>
      <c r="AK1793" s="1565"/>
      <c r="AL1793" s="1565"/>
    </row>
    <row r="1794" spans="1:38" ht="7.15" customHeight="1">
      <c r="D1794" s="1578" t="s">
        <v>2992</v>
      </c>
      <c r="E1794" s="1578"/>
      <c r="F1794" s="1578"/>
      <c r="G1794" s="1578"/>
      <c r="H1794" s="1578"/>
      <c r="I1794" s="1578"/>
      <c r="J1794" s="1578"/>
      <c r="K1794" s="1578"/>
      <c r="L1794" s="1578"/>
      <c r="M1794" s="1578"/>
      <c r="N1794" s="1578"/>
      <c r="O1794" s="1578"/>
      <c r="P1794" s="1578"/>
      <c r="Q1794" s="1578"/>
      <c r="R1794" s="1578"/>
      <c r="S1794" s="1578"/>
      <c r="T1794" s="1578"/>
      <c r="U1794" s="1578"/>
      <c r="V1794" s="1578"/>
      <c r="W1794" s="1578"/>
      <c r="X1794" s="1578"/>
      <c r="Y1794" s="1578"/>
      <c r="Z1794" s="1578"/>
      <c r="AA1794" s="1578"/>
      <c r="AB1794" s="1578"/>
      <c r="AC1794" s="1578"/>
      <c r="AD1794" s="1578"/>
      <c r="AE1794" s="1578"/>
      <c r="AF1794" s="1578"/>
      <c r="AG1794" s="1578"/>
      <c r="AH1794" s="1578"/>
    </row>
    <row r="1795" spans="1:38" ht="9.6" customHeight="1">
      <c r="A1795" s="1579"/>
      <c r="B1795" s="1579"/>
      <c r="C1795" s="1579"/>
      <c r="D1795" s="1579"/>
      <c r="E1795" s="1579"/>
      <c r="F1795" s="1579"/>
      <c r="G1795" s="1579"/>
      <c r="H1795" s="1579"/>
      <c r="I1795" s="1579"/>
      <c r="J1795" s="1578"/>
      <c r="K1795" s="1578"/>
      <c r="L1795" s="1578"/>
      <c r="M1795" s="1578"/>
      <c r="N1795" s="1578"/>
      <c r="O1795" s="1578"/>
      <c r="P1795" s="1578"/>
      <c r="Q1795" s="1578"/>
      <c r="R1795" s="1578"/>
      <c r="S1795" s="1578"/>
      <c r="T1795" s="1578"/>
      <c r="U1795" s="1578"/>
      <c r="V1795" s="1578"/>
      <c r="W1795" s="1578"/>
      <c r="X1795" s="1578"/>
      <c r="Y1795" s="1578"/>
      <c r="Z1795" s="1578"/>
      <c r="AA1795" s="1578"/>
      <c r="AB1795" s="1578"/>
      <c r="AC1795" s="1578"/>
      <c r="AD1795" s="1578"/>
      <c r="AE1795" s="1578"/>
      <c r="AF1795" s="1578"/>
      <c r="AG1795" s="1578"/>
      <c r="AH1795" s="1578"/>
    </row>
    <row r="1796" spans="1:38" ht="13.35" customHeight="1">
      <c r="A1796" s="1579"/>
      <c r="B1796" s="1579"/>
      <c r="C1796" s="1579"/>
      <c r="D1796" s="1579"/>
      <c r="E1796" s="1579"/>
      <c r="F1796" s="1579"/>
      <c r="G1796" s="1579"/>
      <c r="H1796" s="1579"/>
      <c r="I1796" s="1579"/>
      <c r="J1796" s="1580" t="s">
        <v>79</v>
      </c>
      <c r="K1796" s="1580"/>
      <c r="L1796" s="1580"/>
      <c r="M1796" s="1580"/>
      <c r="N1796" s="1580"/>
      <c r="O1796" s="1580"/>
      <c r="P1796" s="1580"/>
      <c r="Q1796" s="1580"/>
      <c r="R1796" s="1580"/>
      <c r="S1796" s="1580"/>
      <c r="T1796" s="1580"/>
      <c r="U1796" s="1580"/>
      <c r="V1796" s="1580"/>
      <c r="W1796" s="1580"/>
      <c r="X1796" s="1580"/>
      <c r="Y1796" s="1580"/>
      <c r="Z1796" s="1580"/>
      <c r="AA1796" s="1580"/>
      <c r="AB1796" s="1580"/>
      <c r="AC1796" s="1580"/>
      <c r="AD1796" s="1580"/>
      <c r="AE1796" s="1580"/>
      <c r="AF1796" s="1580"/>
    </row>
    <row r="1797" spans="1:38" ht="5.25" customHeight="1">
      <c r="A1797" s="1579"/>
      <c r="B1797" s="1579"/>
      <c r="C1797" s="1579"/>
      <c r="D1797" s="1579"/>
      <c r="E1797" s="1579"/>
      <c r="F1797" s="1579"/>
      <c r="G1797" s="1579"/>
      <c r="H1797" s="1579"/>
      <c r="I1797" s="1579"/>
      <c r="J1797" s="1573" t="s">
        <v>6760</v>
      </c>
      <c r="K1797" s="1573"/>
      <c r="L1797" s="1573"/>
      <c r="M1797" s="1573"/>
      <c r="N1797" s="1573"/>
      <c r="O1797" s="1573"/>
      <c r="P1797" s="1573"/>
      <c r="Q1797" s="1573"/>
      <c r="R1797" s="1573"/>
      <c r="S1797" s="1573"/>
      <c r="T1797" s="1573"/>
      <c r="U1797" s="1573"/>
      <c r="V1797" s="1573"/>
      <c r="W1797" s="1573"/>
      <c r="X1797" s="1573"/>
      <c r="Y1797" s="1573"/>
      <c r="Z1797" s="1573"/>
      <c r="AA1797" s="1573"/>
      <c r="AB1797" s="1573"/>
      <c r="AC1797" s="1573"/>
      <c r="AD1797" s="1573"/>
      <c r="AE1797" s="1573"/>
    </row>
    <row r="1798" spans="1:38" ht="8.1" customHeight="1">
      <c r="C1798" s="1572" t="s">
        <v>1920</v>
      </c>
      <c r="D1798" s="1572"/>
      <c r="E1798" s="1572"/>
      <c r="F1798" s="1572"/>
      <c r="G1798" s="1572"/>
      <c r="H1798" s="1572"/>
      <c r="I1798" s="1572"/>
      <c r="J1798" s="1572"/>
      <c r="K1798" s="1573"/>
      <c r="L1798" s="1573"/>
      <c r="M1798" s="1573"/>
      <c r="N1798" s="1573"/>
      <c r="O1798" s="1573"/>
      <c r="P1798" s="1573"/>
      <c r="Q1798" s="1573"/>
      <c r="R1798" s="1573"/>
      <c r="S1798" s="1573"/>
      <c r="T1798" s="1573"/>
      <c r="U1798" s="1573"/>
      <c r="V1798" s="1573"/>
      <c r="W1798" s="1573"/>
      <c r="X1798" s="1573"/>
      <c r="Y1798" s="1574" t="s">
        <v>5920</v>
      </c>
      <c r="Z1798" s="1574"/>
      <c r="AA1798" s="1574"/>
      <c r="AB1798" s="1574"/>
      <c r="AC1798" s="1574"/>
      <c r="AD1798" s="1574"/>
      <c r="AE1798" s="1574"/>
      <c r="AF1798" s="1574"/>
      <c r="AG1798" s="1574"/>
      <c r="AH1798" s="1575" t="s">
        <v>6761</v>
      </c>
      <c r="AI1798" s="1575"/>
      <c r="AJ1798" s="1575"/>
      <c r="AK1798" s="1575"/>
      <c r="AL1798" s="1575"/>
    </row>
    <row r="1799" spans="1:38" ht="6" customHeight="1">
      <c r="C1799" s="1572"/>
      <c r="D1799" s="1572"/>
      <c r="E1799" s="1572"/>
      <c r="F1799" s="1572"/>
      <c r="G1799" s="1572"/>
      <c r="H1799" s="1572"/>
      <c r="I1799" s="1572"/>
      <c r="J1799" s="1572"/>
      <c r="K1799" s="1576" t="s">
        <v>1999</v>
      </c>
      <c r="L1799" s="1576"/>
      <c r="M1799" s="1576"/>
      <c r="N1799" s="1576"/>
      <c r="O1799" s="1576"/>
      <c r="P1799" s="1576"/>
      <c r="Q1799" s="1576"/>
      <c r="R1799" s="1576"/>
      <c r="S1799" s="1576"/>
      <c r="T1799" s="1576"/>
      <c r="U1799" s="1576"/>
      <c r="V1799" s="1576"/>
      <c r="W1799" s="1576"/>
      <c r="X1799" s="1576"/>
      <c r="Y1799" s="1574"/>
      <c r="Z1799" s="1574"/>
      <c r="AA1799" s="1574"/>
      <c r="AB1799" s="1574"/>
      <c r="AC1799" s="1574"/>
      <c r="AD1799" s="1574"/>
      <c r="AE1799" s="1574"/>
      <c r="AF1799" s="1574"/>
      <c r="AG1799" s="1574"/>
      <c r="AH1799" s="1575"/>
      <c r="AI1799" s="1575"/>
      <c r="AJ1799" s="1575"/>
      <c r="AK1799" s="1575"/>
      <c r="AL1799" s="1575"/>
    </row>
    <row r="1800" spans="1:38" ht="7.35" customHeight="1">
      <c r="C1800" s="1572" t="s">
        <v>1998</v>
      </c>
      <c r="D1800" s="1572"/>
      <c r="E1800" s="1572"/>
      <c r="F1800" s="1572"/>
      <c r="G1800" s="1577"/>
      <c r="H1800" s="1577"/>
      <c r="I1800" s="1577"/>
      <c r="J1800" s="1577"/>
      <c r="K1800" s="1577"/>
      <c r="L1800" s="1577"/>
      <c r="M1800" s="1577"/>
      <c r="N1800" s="1577"/>
      <c r="O1800" s="1577"/>
      <c r="P1800" s="1577"/>
      <c r="Q1800" s="1577"/>
      <c r="R1800" s="1577"/>
      <c r="S1800" s="1577"/>
      <c r="T1800" s="1577"/>
      <c r="U1800" s="1577"/>
      <c r="V1800" s="1577"/>
      <c r="W1800" s="1577"/>
      <c r="X1800" s="1577"/>
      <c r="Y1800" s="1577"/>
      <c r="Z1800" s="1577"/>
      <c r="AA1800" s="1577"/>
      <c r="AB1800" s="1577"/>
      <c r="AC1800" s="1577"/>
      <c r="AD1800" s="1577"/>
      <c r="AE1800" s="1577"/>
      <c r="AF1800" s="1574"/>
      <c r="AG1800" s="1574"/>
      <c r="AH1800" s="1574" t="s">
        <v>6762</v>
      </c>
      <c r="AI1800" s="1574"/>
    </row>
    <row r="1801" spans="1:38" ht="6.75" customHeight="1">
      <c r="G1801" s="1577"/>
      <c r="H1801" s="1577"/>
      <c r="I1801" s="1577"/>
      <c r="J1801" s="1577"/>
      <c r="K1801" s="1577"/>
      <c r="L1801" s="1577"/>
      <c r="M1801" s="1577"/>
      <c r="N1801" s="1577"/>
      <c r="O1801" s="1577"/>
      <c r="P1801" s="1577"/>
      <c r="Q1801" s="1577"/>
      <c r="R1801" s="1577"/>
      <c r="S1801" s="1577"/>
      <c r="T1801" s="1577"/>
      <c r="U1801" s="1577"/>
      <c r="V1801" s="1577"/>
      <c r="W1801" s="1577"/>
      <c r="X1801" s="1577"/>
      <c r="Y1801" s="1577"/>
      <c r="Z1801" s="1577"/>
      <c r="AA1801" s="1577"/>
      <c r="AB1801" s="1577"/>
      <c r="AC1801" s="1577"/>
      <c r="AD1801" s="1577"/>
      <c r="AE1801" s="1577"/>
      <c r="AF1801" s="1574"/>
      <c r="AG1801" s="1574"/>
      <c r="AH1801" s="1574"/>
      <c r="AI1801" s="1574"/>
    </row>
    <row r="1802" spans="1:38" ht="11.25" customHeight="1">
      <c r="O1802" s="1570" t="s">
        <v>1318</v>
      </c>
      <c r="P1802" s="1570"/>
      <c r="Q1802" s="1570"/>
      <c r="V1802" s="1570" t="s">
        <v>1319</v>
      </c>
      <c r="W1802" s="1570"/>
      <c r="X1802" s="1570"/>
      <c r="Y1802" s="1570"/>
      <c r="AD1802" s="1570" t="s">
        <v>1320</v>
      </c>
      <c r="AE1802" s="1570"/>
      <c r="AF1802" s="1570"/>
      <c r="AG1802" s="1570"/>
      <c r="AH1802" s="1570"/>
      <c r="AI1802" s="1570"/>
      <c r="AJ1802" s="1570"/>
    </row>
    <row r="1803" spans="1:38" ht="8.4499999999999993" customHeight="1">
      <c r="B1803" s="1571" t="s">
        <v>1321</v>
      </c>
      <c r="C1803" s="1571"/>
      <c r="D1803" s="1571"/>
      <c r="E1803" s="1571" t="s">
        <v>1322</v>
      </c>
      <c r="F1803" s="1571"/>
      <c r="G1803" s="1571"/>
      <c r="J1803" s="1571" t="s">
        <v>1323</v>
      </c>
      <c r="K1803" s="1571"/>
      <c r="L1803" s="1571"/>
      <c r="M1803" s="1571"/>
      <c r="N1803" s="1571"/>
      <c r="O1803" s="1402" t="s">
        <v>1324</v>
      </c>
      <c r="Q1803" s="1569" t="s">
        <v>1325</v>
      </c>
      <c r="R1803" s="1569"/>
      <c r="U1803" s="1569" t="s">
        <v>1324</v>
      </c>
      <c r="V1803" s="1569"/>
      <c r="X1803" s="1569" t="s">
        <v>1325</v>
      </c>
      <c r="Y1803" s="1569"/>
      <c r="Z1803" s="1569"/>
      <c r="AC1803" s="1569" t="s">
        <v>1324</v>
      </c>
      <c r="AD1803" s="1569"/>
      <c r="AE1803" s="1569"/>
      <c r="AF1803" s="1569"/>
      <c r="AH1803" s="1569" t="s">
        <v>1325</v>
      </c>
      <c r="AI1803" s="1569"/>
      <c r="AJ1803" s="1569"/>
      <c r="AK1803" s="1569"/>
    </row>
    <row r="1804" spans="1:38" ht="9.9499999999999993" customHeight="1">
      <c r="B1804" s="1568" t="s">
        <v>1326</v>
      </c>
      <c r="C1804" s="1568"/>
      <c r="D1804" s="1568"/>
      <c r="E1804" s="1568" t="s">
        <v>2818</v>
      </c>
      <c r="F1804" s="1568"/>
      <c r="G1804" s="1568"/>
      <c r="H1804" s="1568"/>
      <c r="J1804" s="1568" t="s">
        <v>2505</v>
      </c>
      <c r="K1804" s="1568"/>
      <c r="L1804" s="1568"/>
      <c r="M1804" s="1566">
        <v>28328.62</v>
      </c>
      <c r="N1804" s="1566"/>
      <c r="O1804" s="1566"/>
      <c r="P1804" s="1566">
        <v>0</v>
      </c>
      <c r="Q1804" s="1566"/>
      <c r="R1804" s="1566"/>
      <c r="S1804" s="1566">
        <v>12752.6</v>
      </c>
      <c r="T1804" s="1566"/>
      <c r="U1804" s="1566"/>
      <c r="V1804" s="1566"/>
      <c r="W1804" s="1566">
        <v>0</v>
      </c>
      <c r="X1804" s="1566"/>
      <c r="Y1804" s="1566"/>
      <c r="Z1804" s="1566"/>
      <c r="AA1804" s="1566">
        <v>41081.22</v>
      </c>
      <c r="AB1804" s="1566"/>
      <c r="AC1804" s="1566"/>
      <c r="AD1804" s="1566"/>
      <c r="AE1804" s="1566"/>
      <c r="AF1804" s="1566"/>
      <c r="AG1804" s="1566">
        <v>0</v>
      </c>
      <c r="AH1804" s="1566"/>
      <c r="AI1804" s="1566"/>
      <c r="AJ1804" s="1566"/>
      <c r="AK1804" s="1566"/>
    </row>
    <row r="1805" spans="1:38" ht="9.1999999999999993" customHeight="1">
      <c r="J1805" s="1568"/>
      <c r="K1805" s="1568"/>
      <c r="L1805" s="1568"/>
    </row>
    <row r="1806" spans="1:38" ht="8.4499999999999993" customHeight="1">
      <c r="B1806" s="1568" t="s">
        <v>1326</v>
      </c>
      <c r="C1806" s="1568"/>
      <c r="D1806" s="1568"/>
      <c r="E1806" s="1568" t="s">
        <v>2819</v>
      </c>
      <c r="F1806" s="1568"/>
      <c r="G1806" s="1568"/>
      <c r="H1806" s="1568"/>
      <c r="J1806" s="1568" t="s">
        <v>2507</v>
      </c>
      <c r="K1806" s="1568"/>
      <c r="L1806" s="1568"/>
      <c r="M1806" s="1566">
        <v>2461721.5699999998</v>
      </c>
      <c r="N1806" s="1566"/>
      <c r="O1806" s="1566"/>
      <c r="P1806" s="1566">
        <v>0</v>
      </c>
      <c r="Q1806" s="1566"/>
      <c r="R1806" s="1566"/>
      <c r="S1806" s="1566">
        <v>46510.21</v>
      </c>
      <c r="T1806" s="1566"/>
      <c r="U1806" s="1566"/>
      <c r="V1806" s="1566"/>
      <c r="W1806" s="1566">
        <v>0</v>
      </c>
      <c r="X1806" s="1566"/>
      <c r="Y1806" s="1566"/>
      <c r="Z1806" s="1566"/>
      <c r="AA1806" s="1566">
        <v>2508231.7799999998</v>
      </c>
      <c r="AB1806" s="1566"/>
      <c r="AC1806" s="1566"/>
      <c r="AD1806" s="1566"/>
      <c r="AE1806" s="1566"/>
      <c r="AF1806" s="1566"/>
      <c r="AG1806" s="1566">
        <v>0</v>
      </c>
      <c r="AH1806" s="1566"/>
      <c r="AI1806" s="1566"/>
      <c r="AJ1806" s="1566"/>
      <c r="AK1806" s="1566"/>
    </row>
    <row r="1807" spans="1:38" ht="9.4" customHeight="1">
      <c r="B1807" s="1568" t="s">
        <v>1326</v>
      </c>
      <c r="C1807" s="1568"/>
      <c r="D1807" s="1568"/>
      <c r="E1807" s="1568" t="s">
        <v>2820</v>
      </c>
      <c r="F1807" s="1568"/>
      <c r="G1807" s="1568"/>
      <c r="H1807" s="1568"/>
      <c r="J1807" s="1568" t="s">
        <v>2514</v>
      </c>
      <c r="K1807" s="1568"/>
      <c r="L1807" s="1568"/>
      <c r="M1807" s="1566">
        <v>43084.91</v>
      </c>
      <c r="N1807" s="1566"/>
      <c r="O1807" s="1566"/>
      <c r="P1807" s="1566">
        <v>0</v>
      </c>
      <c r="Q1807" s="1566"/>
      <c r="R1807" s="1566"/>
      <c r="S1807" s="1566">
        <v>6650.72</v>
      </c>
      <c r="T1807" s="1566"/>
      <c r="U1807" s="1566"/>
      <c r="V1807" s="1566"/>
      <c r="W1807" s="1566">
        <v>0</v>
      </c>
      <c r="X1807" s="1566"/>
      <c r="Y1807" s="1566"/>
      <c r="Z1807" s="1566"/>
      <c r="AA1807" s="1566">
        <v>49735.63</v>
      </c>
      <c r="AB1807" s="1566"/>
      <c r="AC1807" s="1566"/>
      <c r="AD1807" s="1566"/>
      <c r="AE1807" s="1566"/>
      <c r="AF1807" s="1566"/>
      <c r="AG1807" s="1566">
        <v>0</v>
      </c>
      <c r="AH1807" s="1566"/>
      <c r="AI1807" s="1566"/>
      <c r="AJ1807" s="1566"/>
      <c r="AK1807" s="1566"/>
    </row>
    <row r="1808" spans="1:38" ht="9.4" customHeight="1">
      <c r="B1808" s="1568" t="s">
        <v>1326</v>
      </c>
      <c r="C1808" s="1568"/>
      <c r="D1808" s="1568"/>
      <c r="E1808" s="1568" t="s">
        <v>2821</v>
      </c>
      <c r="F1808" s="1568"/>
      <c r="G1808" s="1568"/>
      <c r="H1808" s="1568"/>
      <c r="J1808" s="1568" t="s">
        <v>2516</v>
      </c>
      <c r="K1808" s="1568"/>
      <c r="L1808" s="1568"/>
      <c r="M1808" s="1566">
        <v>59870.52</v>
      </c>
      <c r="N1808" s="1566"/>
      <c r="O1808" s="1566"/>
      <c r="P1808" s="1566">
        <v>0</v>
      </c>
      <c r="Q1808" s="1566"/>
      <c r="R1808" s="1566"/>
      <c r="S1808" s="1566">
        <v>19956.84</v>
      </c>
      <c r="T1808" s="1566"/>
      <c r="U1808" s="1566"/>
      <c r="V1808" s="1566"/>
      <c r="W1808" s="1566">
        <v>0</v>
      </c>
      <c r="X1808" s="1566"/>
      <c r="Y1808" s="1566"/>
      <c r="Z1808" s="1566"/>
      <c r="AA1808" s="1566">
        <v>79827.360000000001</v>
      </c>
      <c r="AB1808" s="1566"/>
      <c r="AC1808" s="1566"/>
      <c r="AD1808" s="1566"/>
      <c r="AE1808" s="1566"/>
      <c r="AF1808" s="1566"/>
      <c r="AG1808" s="1566">
        <v>0</v>
      </c>
      <c r="AH1808" s="1566"/>
      <c r="AI1808" s="1566"/>
      <c r="AJ1808" s="1566"/>
      <c r="AK1808" s="1566"/>
    </row>
    <row r="1809" spans="2:37" ht="9.4" customHeight="1">
      <c r="B1809" s="1568" t="s">
        <v>1326</v>
      </c>
      <c r="C1809" s="1568"/>
      <c r="D1809" s="1568"/>
      <c r="E1809" s="1568" t="s">
        <v>2975</v>
      </c>
      <c r="F1809" s="1568"/>
      <c r="G1809" s="1568"/>
      <c r="H1809" s="1568"/>
      <c r="J1809" s="1568" t="s">
        <v>2518</v>
      </c>
      <c r="K1809" s="1568"/>
      <c r="L1809" s="1568"/>
      <c r="M1809" s="1566">
        <v>22473.360000000001</v>
      </c>
      <c r="N1809" s="1566"/>
      <c r="O1809" s="1566"/>
      <c r="P1809" s="1566">
        <v>0</v>
      </c>
      <c r="Q1809" s="1566"/>
      <c r="R1809" s="1566"/>
      <c r="S1809" s="1566">
        <v>7491.12</v>
      </c>
      <c r="T1809" s="1566"/>
      <c r="U1809" s="1566"/>
      <c r="V1809" s="1566"/>
      <c r="W1809" s="1566">
        <v>0</v>
      </c>
      <c r="X1809" s="1566"/>
      <c r="Y1809" s="1566"/>
      <c r="Z1809" s="1566"/>
      <c r="AA1809" s="1566">
        <v>29964.48</v>
      </c>
      <c r="AB1809" s="1566"/>
      <c r="AC1809" s="1566"/>
      <c r="AD1809" s="1566"/>
      <c r="AE1809" s="1566"/>
      <c r="AF1809" s="1566"/>
      <c r="AG1809" s="1566">
        <v>0</v>
      </c>
      <c r="AH1809" s="1566"/>
      <c r="AI1809" s="1566"/>
      <c r="AJ1809" s="1566"/>
      <c r="AK1809" s="1566"/>
    </row>
    <row r="1810" spans="2:37" ht="9.4" customHeight="1">
      <c r="B1810" s="1568" t="s">
        <v>1326</v>
      </c>
      <c r="C1810" s="1568"/>
      <c r="D1810" s="1568"/>
      <c r="E1810" s="1568" t="s">
        <v>2822</v>
      </c>
      <c r="F1810" s="1568"/>
      <c r="G1810" s="1568"/>
      <c r="H1810" s="1568"/>
      <c r="J1810" s="1568" t="s">
        <v>2392</v>
      </c>
      <c r="K1810" s="1568"/>
      <c r="L1810" s="1568"/>
      <c r="M1810" s="1566">
        <v>622265.4</v>
      </c>
      <c r="N1810" s="1566"/>
      <c r="O1810" s="1566"/>
      <c r="P1810" s="1566">
        <v>0</v>
      </c>
      <c r="Q1810" s="1566"/>
      <c r="R1810" s="1566"/>
      <c r="S1810" s="1566">
        <v>207421.8</v>
      </c>
      <c r="T1810" s="1566"/>
      <c r="U1810" s="1566"/>
      <c r="V1810" s="1566"/>
      <c r="W1810" s="1566">
        <v>0</v>
      </c>
      <c r="X1810" s="1566"/>
      <c r="Y1810" s="1566"/>
      <c r="Z1810" s="1566"/>
      <c r="AA1810" s="1566">
        <v>829687.2</v>
      </c>
      <c r="AB1810" s="1566"/>
      <c r="AC1810" s="1566"/>
      <c r="AD1810" s="1566"/>
      <c r="AE1810" s="1566"/>
      <c r="AF1810" s="1566"/>
      <c r="AG1810" s="1566">
        <v>0</v>
      </c>
      <c r="AH1810" s="1566"/>
      <c r="AI1810" s="1566"/>
      <c r="AJ1810" s="1566"/>
      <c r="AK1810" s="1566"/>
    </row>
    <row r="1811" spans="2:37" ht="9.4" customHeight="1">
      <c r="B1811" s="1568" t="s">
        <v>1326</v>
      </c>
      <c r="C1811" s="1568"/>
      <c r="D1811" s="1568"/>
      <c r="E1811" s="1568" t="s">
        <v>2823</v>
      </c>
      <c r="F1811" s="1568"/>
      <c r="G1811" s="1568"/>
      <c r="H1811" s="1568"/>
      <c r="J1811" s="1568" t="s">
        <v>2401</v>
      </c>
      <c r="K1811" s="1568"/>
      <c r="L1811" s="1568"/>
      <c r="M1811" s="1566">
        <v>88154.4</v>
      </c>
      <c r="N1811" s="1566"/>
      <c r="O1811" s="1566"/>
      <c r="P1811" s="1566">
        <v>0</v>
      </c>
      <c r="Q1811" s="1566"/>
      <c r="R1811" s="1566"/>
      <c r="S1811" s="1566">
        <v>35261.760000000002</v>
      </c>
      <c r="T1811" s="1566"/>
      <c r="U1811" s="1566"/>
      <c r="V1811" s="1566"/>
      <c r="W1811" s="1566">
        <v>0</v>
      </c>
      <c r="X1811" s="1566"/>
      <c r="Y1811" s="1566"/>
      <c r="Z1811" s="1566"/>
      <c r="AA1811" s="1566">
        <v>123416.16</v>
      </c>
      <c r="AB1811" s="1566"/>
      <c r="AC1811" s="1566"/>
      <c r="AD1811" s="1566"/>
      <c r="AE1811" s="1566"/>
      <c r="AF1811" s="1566"/>
      <c r="AG1811" s="1566">
        <v>0</v>
      </c>
      <c r="AH1811" s="1566"/>
      <c r="AI1811" s="1566"/>
      <c r="AJ1811" s="1566"/>
      <c r="AK1811" s="1566"/>
    </row>
    <row r="1812" spans="2:37" ht="9.4" customHeight="1">
      <c r="B1812" s="1568" t="s">
        <v>1326</v>
      </c>
      <c r="C1812" s="1568"/>
      <c r="D1812" s="1568"/>
      <c r="E1812" s="1568" t="s">
        <v>2824</v>
      </c>
      <c r="F1812" s="1568"/>
      <c r="G1812" s="1568"/>
      <c r="H1812" s="1568"/>
      <c r="J1812" s="1568" t="s">
        <v>2403</v>
      </c>
      <c r="K1812" s="1568"/>
      <c r="L1812" s="1568"/>
      <c r="M1812" s="1566">
        <v>1353.63</v>
      </c>
      <c r="N1812" s="1566"/>
      <c r="O1812" s="1566"/>
      <c r="P1812" s="1566">
        <v>0</v>
      </c>
      <c r="Q1812" s="1566"/>
      <c r="R1812" s="1566"/>
      <c r="S1812" s="1566">
        <v>451.21</v>
      </c>
      <c r="T1812" s="1566"/>
      <c r="U1812" s="1566"/>
      <c r="V1812" s="1566"/>
      <c r="W1812" s="1566">
        <v>0</v>
      </c>
      <c r="X1812" s="1566"/>
      <c r="Y1812" s="1566"/>
      <c r="Z1812" s="1566"/>
      <c r="AA1812" s="1566">
        <v>1804.84</v>
      </c>
      <c r="AB1812" s="1566"/>
      <c r="AC1812" s="1566"/>
      <c r="AD1812" s="1566"/>
      <c r="AE1812" s="1566"/>
      <c r="AF1812" s="1566"/>
      <c r="AG1812" s="1566">
        <v>0</v>
      </c>
      <c r="AH1812" s="1566"/>
      <c r="AI1812" s="1566"/>
      <c r="AJ1812" s="1566"/>
      <c r="AK1812" s="1566"/>
    </row>
    <row r="1813" spans="2:37" ht="9.4" customHeight="1">
      <c r="B1813" s="1568" t="s">
        <v>1326</v>
      </c>
      <c r="C1813" s="1568"/>
      <c r="D1813" s="1568"/>
      <c r="E1813" s="1568" t="s">
        <v>2825</v>
      </c>
      <c r="F1813" s="1568"/>
      <c r="G1813" s="1568"/>
      <c r="H1813" s="1568"/>
      <c r="J1813" s="1568" t="s">
        <v>2405</v>
      </c>
      <c r="K1813" s="1568"/>
      <c r="L1813" s="1568"/>
      <c r="M1813" s="1566">
        <v>41514.720000000001</v>
      </c>
      <c r="N1813" s="1566"/>
      <c r="O1813" s="1566"/>
      <c r="P1813" s="1566">
        <v>0</v>
      </c>
      <c r="Q1813" s="1566"/>
      <c r="R1813" s="1566"/>
      <c r="S1813" s="1566">
        <v>13980.72</v>
      </c>
      <c r="T1813" s="1566"/>
      <c r="U1813" s="1566"/>
      <c r="V1813" s="1566"/>
      <c r="W1813" s="1566">
        <v>0</v>
      </c>
      <c r="X1813" s="1566"/>
      <c r="Y1813" s="1566"/>
      <c r="Z1813" s="1566"/>
      <c r="AA1813" s="1566">
        <v>55495.44</v>
      </c>
      <c r="AB1813" s="1566"/>
      <c r="AC1813" s="1566"/>
      <c r="AD1813" s="1566"/>
      <c r="AE1813" s="1566"/>
      <c r="AF1813" s="1566"/>
      <c r="AG1813" s="1566">
        <v>0</v>
      </c>
      <c r="AH1813" s="1566"/>
      <c r="AI1813" s="1566"/>
      <c r="AJ1813" s="1566"/>
      <c r="AK1813" s="1566"/>
    </row>
    <row r="1814" spans="2:37" ht="9.4" customHeight="1">
      <c r="B1814" s="1568" t="s">
        <v>1326</v>
      </c>
      <c r="C1814" s="1568"/>
      <c r="D1814" s="1568"/>
      <c r="E1814" s="1568" t="s">
        <v>2826</v>
      </c>
      <c r="F1814" s="1568"/>
      <c r="G1814" s="1568"/>
      <c r="H1814" s="1568"/>
      <c r="J1814" s="1568" t="s">
        <v>2407</v>
      </c>
      <c r="K1814" s="1568"/>
      <c r="L1814" s="1568"/>
      <c r="M1814" s="1566">
        <v>31934.400000000001</v>
      </c>
      <c r="N1814" s="1566"/>
      <c r="O1814" s="1566"/>
      <c r="P1814" s="1566">
        <v>0</v>
      </c>
      <c r="Q1814" s="1566"/>
      <c r="R1814" s="1566"/>
      <c r="S1814" s="1566">
        <v>10754.4</v>
      </c>
      <c r="T1814" s="1566"/>
      <c r="U1814" s="1566"/>
      <c r="V1814" s="1566"/>
      <c r="W1814" s="1566">
        <v>0</v>
      </c>
      <c r="X1814" s="1566"/>
      <c r="Y1814" s="1566"/>
      <c r="Z1814" s="1566"/>
      <c r="AA1814" s="1566">
        <v>42688.800000000003</v>
      </c>
      <c r="AB1814" s="1566"/>
      <c r="AC1814" s="1566"/>
      <c r="AD1814" s="1566"/>
      <c r="AE1814" s="1566"/>
      <c r="AF1814" s="1566"/>
      <c r="AG1814" s="1566">
        <v>0</v>
      </c>
      <c r="AH1814" s="1566"/>
      <c r="AI1814" s="1566"/>
      <c r="AJ1814" s="1566"/>
      <c r="AK1814" s="1566"/>
    </row>
    <row r="1815" spans="2:37" ht="9.4" customHeight="1">
      <c r="B1815" s="1568" t="s">
        <v>1326</v>
      </c>
      <c r="C1815" s="1568"/>
      <c r="D1815" s="1568"/>
      <c r="E1815" s="1568" t="s">
        <v>2827</v>
      </c>
      <c r="F1815" s="1568"/>
      <c r="G1815" s="1568"/>
      <c r="H1815" s="1568"/>
      <c r="J1815" s="1568" t="s">
        <v>2424</v>
      </c>
      <c r="K1815" s="1568"/>
      <c r="L1815" s="1568"/>
      <c r="M1815" s="1566">
        <v>24050</v>
      </c>
      <c r="N1815" s="1566"/>
      <c r="O1815" s="1566"/>
      <c r="P1815" s="1566">
        <v>0</v>
      </c>
      <c r="Q1815" s="1566"/>
      <c r="R1815" s="1566"/>
      <c r="S1815" s="1566">
        <v>133482.20000000001</v>
      </c>
      <c r="T1815" s="1566"/>
      <c r="U1815" s="1566"/>
      <c r="V1815" s="1566"/>
      <c r="W1815" s="1566">
        <v>0</v>
      </c>
      <c r="X1815" s="1566"/>
      <c r="Y1815" s="1566"/>
      <c r="Z1815" s="1566"/>
      <c r="AA1815" s="1566">
        <v>157532.20000000001</v>
      </c>
      <c r="AB1815" s="1566"/>
      <c r="AC1815" s="1566"/>
      <c r="AD1815" s="1566"/>
      <c r="AE1815" s="1566"/>
      <c r="AF1815" s="1566"/>
      <c r="AG1815" s="1566">
        <v>0</v>
      </c>
      <c r="AH1815" s="1566"/>
      <c r="AI1815" s="1566"/>
      <c r="AJ1815" s="1566"/>
      <c r="AK1815" s="1566"/>
    </row>
    <row r="1816" spans="2:37" ht="9.1999999999999993" customHeight="1">
      <c r="J1816" s="1568"/>
      <c r="K1816" s="1568"/>
      <c r="L1816" s="1568"/>
    </row>
    <row r="1817" spans="2:37" ht="8.4499999999999993" customHeight="1">
      <c r="B1817" s="1568" t="s">
        <v>1326</v>
      </c>
      <c r="C1817" s="1568"/>
      <c r="D1817" s="1568"/>
      <c r="E1817" s="1568" t="s">
        <v>2828</v>
      </c>
      <c r="F1817" s="1568"/>
      <c r="G1817" s="1568"/>
      <c r="H1817" s="1568"/>
      <c r="J1817" s="1568" t="s">
        <v>2529</v>
      </c>
      <c r="K1817" s="1568"/>
      <c r="L1817" s="1568"/>
      <c r="M1817" s="1566">
        <v>10123.219999999999</v>
      </c>
      <c r="N1817" s="1566"/>
      <c r="O1817" s="1566"/>
      <c r="P1817" s="1566">
        <v>0</v>
      </c>
      <c r="Q1817" s="1566"/>
      <c r="R1817" s="1566"/>
      <c r="S1817" s="1566">
        <v>13376.28</v>
      </c>
      <c r="T1817" s="1566"/>
      <c r="U1817" s="1566"/>
      <c r="V1817" s="1566"/>
      <c r="W1817" s="1566">
        <v>0</v>
      </c>
      <c r="X1817" s="1566"/>
      <c r="Y1817" s="1566"/>
      <c r="Z1817" s="1566"/>
      <c r="AA1817" s="1566">
        <v>23499.5</v>
      </c>
      <c r="AB1817" s="1566"/>
      <c r="AC1817" s="1566"/>
      <c r="AD1817" s="1566"/>
      <c r="AE1817" s="1566"/>
      <c r="AF1817" s="1566"/>
      <c r="AG1817" s="1566">
        <v>0</v>
      </c>
      <c r="AH1817" s="1566"/>
      <c r="AI1817" s="1566"/>
      <c r="AJ1817" s="1566"/>
      <c r="AK1817" s="1566"/>
    </row>
    <row r="1818" spans="2:37" ht="9.4" customHeight="1">
      <c r="B1818" s="1568" t="s">
        <v>1326</v>
      </c>
      <c r="C1818" s="1568"/>
      <c r="D1818" s="1568"/>
      <c r="E1818" s="1568" t="s">
        <v>3124</v>
      </c>
      <c r="F1818" s="1568"/>
      <c r="G1818" s="1568"/>
      <c r="H1818" s="1568"/>
      <c r="J1818" s="1568" t="s">
        <v>2533</v>
      </c>
      <c r="K1818" s="1568"/>
      <c r="L1818" s="1568"/>
      <c r="M1818" s="1566">
        <v>175311.29</v>
      </c>
      <c r="N1818" s="1566"/>
      <c r="O1818" s="1566"/>
      <c r="P1818" s="1566">
        <v>0</v>
      </c>
      <c r="Q1818" s="1566"/>
      <c r="R1818" s="1566"/>
      <c r="S1818" s="1566">
        <v>125523.16</v>
      </c>
      <c r="T1818" s="1566"/>
      <c r="U1818" s="1566"/>
      <c r="V1818" s="1566"/>
      <c r="W1818" s="1566">
        <v>0</v>
      </c>
      <c r="X1818" s="1566"/>
      <c r="Y1818" s="1566"/>
      <c r="Z1818" s="1566"/>
      <c r="AA1818" s="1566">
        <v>300834.45</v>
      </c>
      <c r="AB1818" s="1566"/>
      <c r="AC1818" s="1566"/>
      <c r="AD1818" s="1566"/>
      <c r="AE1818" s="1566"/>
      <c r="AF1818" s="1566"/>
      <c r="AG1818" s="1566">
        <v>0</v>
      </c>
      <c r="AH1818" s="1566"/>
      <c r="AI1818" s="1566"/>
      <c r="AJ1818" s="1566"/>
      <c r="AK1818" s="1566"/>
    </row>
    <row r="1819" spans="2:37" ht="9.4" customHeight="1">
      <c r="B1819" s="1568" t="s">
        <v>1326</v>
      </c>
      <c r="C1819" s="1568"/>
      <c r="D1819" s="1568"/>
      <c r="E1819" s="1568" t="s">
        <v>6308</v>
      </c>
      <c r="F1819" s="1568"/>
      <c r="G1819" s="1568"/>
      <c r="H1819" s="1568"/>
      <c r="J1819" s="1568" t="s">
        <v>2535</v>
      </c>
      <c r="K1819" s="1568"/>
      <c r="L1819" s="1568"/>
      <c r="M1819" s="1566">
        <v>171.84</v>
      </c>
      <c r="N1819" s="1566"/>
      <c r="O1819" s="1566"/>
      <c r="P1819" s="1566">
        <v>0</v>
      </c>
      <c r="Q1819" s="1566"/>
      <c r="R1819" s="1566"/>
      <c r="S1819" s="1566">
        <v>0</v>
      </c>
      <c r="T1819" s="1566"/>
      <c r="U1819" s="1566"/>
      <c r="V1819" s="1566"/>
      <c r="W1819" s="1566">
        <v>0</v>
      </c>
      <c r="X1819" s="1566"/>
      <c r="Y1819" s="1566"/>
      <c r="Z1819" s="1566"/>
      <c r="AA1819" s="1566">
        <v>171.84</v>
      </c>
      <c r="AB1819" s="1566"/>
      <c r="AC1819" s="1566"/>
      <c r="AD1819" s="1566"/>
      <c r="AE1819" s="1566"/>
      <c r="AF1819" s="1566"/>
      <c r="AG1819" s="1566">
        <v>0</v>
      </c>
      <c r="AH1819" s="1566"/>
      <c r="AI1819" s="1566"/>
      <c r="AJ1819" s="1566"/>
      <c r="AK1819" s="1566"/>
    </row>
    <row r="1820" spans="2:37" ht="11.85" customHeight="1" thickBot="1"/>
    <row r="1821" spans="2:37" ht="8.4499999999999993" customHeight="1" thickTop="1" thickBot="1">
      <c r="L1821" s="1403" t="s">
        <v>1705</v>
      </c>
      <c r="M1821" s="1567">
        <v>1458107929.9100001</v>
      </c>
      <c r="N1821" s="1567"/>
      <c r="O1821" s="1567"/>
      <c r="P1821" s="1567">
        <v>1458107929.9100001</v>
      </c>
      <c r="Q1821" s="1567"/>
      <c r="R1821" s="1567"/>
      <c r="S1821" s="1567">
        <v>841794133.25</v>
      </c>
      <c r="T1821" s="1567"/>
      <c r="U1821" s="1567"/>
      <c r="V1821" s="1567"/>
      <c r="W1821" s="1567">
        <v>841794133.25</v>
      </c>
      <c r="X1821" s="1567"/>
      <c r="Y1821" s="1567"/>
      <c r="Z1821" s="1567"/>
      <c r="AA1821" s="1567">
        <v>1466521478.8099999</v>
      </c>
      <c r="AB1821" s="1567"/>
      <c r="AC1821" s="1567"/>
      <c r="AD1821" s="1567"/>
      <c r="AE1821" s="1567"/>
      <c r="AF1821" s="1567"/>
      <c r="AG1821" s="1567">
        <v>1466521478.8099999</v>
      </c>
      <c r="AH1821" s="1567"/>
      <c r="AI1821" s="1567"/>
      <c r="AJ1821" s="1567"/>
      <c r="AK1821" s="1567"/>
    </row>
    <row r="1822" spans="2:37" ht="9" customHeight="1" thickTop="1">
      <c r="M1822" s="1567"/>
      <c r="N1822" s="1567"/>
      <c r="O1822" s="1567"/>
      <c r="P1822" s="1567"/>
      <c r="Q1822" s="1567"/>
      <c r="R1822" s="1567"/>
      <c r="S1822" s="1567"/>
      <c r="T1822" s="1567"/>
      <c r="U1822" s="1567"/>
      <c r="V1822" s="1567"/>
      <c r="W1822" s="1567"/>
      <c r="X1822" s="1567"/>
      <c r="Y1822" s="1567"/>
      <c r="Z1822" s="1567"/>
      <c r="AA1822" s="1567"/>
      <c r="AB1822" s="1567"/>
      <c r="AC1822" s="1567"/>
      <c r="AD1822" s="1567"/>
      <c r="AE1822" s="1567"/>
      <c r="AF1822" s="1567"/>
      <c r="AG1822" s="1567"/>
      <c r="AH1822" s="1567"/>
      <c r="AI1822" s="1567"/>
      <c r="AJ1822" s="1567"/>
      <c r="AK1822" s="1567"/>
    </row>
    <row r="1823" spans="2:37" ht="14.1" customHeight="1">
      <c r="AA1823" s="1564"/>
      <c r="AB1823" s="1564"/>
      <c r="AC1823" s="1564"/>
      <c r="AD1823" s="1564"/>
      <c r="AE1823" s="1564"/>
      <c r="AF1823" s="1564"/>
      <c r="AG1823" s="1564"/>
      <c r="AH1823" s="1564"/>
      <c r="AI1823" s="1564"/>
      <c r="AJ1823" s="1564"/>
      <c r="AK1823" s="1564"/>
    </row>
    <row r="1824" spans="2:37" ht="264.95" customHeight="1"/>
    <row r="1825" spans="33:38" ht="14.1" customHeight="1">
      <c r="AG1825" s="1565" t="s">
        <v>6804</v>
      </c>
      <c r="AH1825" s="1565"/>
      <c r="AI1825" s="1565"/>
      <c r="AJ1825" s="1565"/>
      <c r="AK1825" s="1565"/>
      <c r="AL1825" s="1565"/>
    </row>
  </sheetData>
  <mergeCells count="12954">
    <mergeCell ref="D1:AH1"/>
    <mergeCell ref="A2:I4"/>
    <mergeCell ref="J2:AH2"/>
    <mergeCell ref="J3:AF3"/>
    <mergeCell ref="J4:AE4"/>
    <mergeCell ref="C5:J6"/>
    <mergeCell ref="K5:X5"/>
    <mergeCell ref="Y5:AG6"/>
    <mergeCell ref="AH5:AL6"/>
    <mergeCell ref="K6:X6"/>
    <mergeCell ref="AG11:AK11"/>
    <mergeCell ref="B12:D12"/>
    <mergeCell ref="E12:H12"/>
    <mergeCell ref="J12:L12"/>
    <mergeCell ref="M12:O12"/>
    <mergeCell ref="P12:R12"/>
    <mergeCell ref="S12:V12"/>
    <mergeCell ref="W12:Z12"/>
    <mergeCell ref="AA12:AF12"/>
    <mergeCell ref="AG12:AK12"/>
    <mergeCell ref="AC10:AF10"/>
    <mergeCell ref="AH10:AK10"/>
    <mergeCell ref="B11:D11"/>
    <mergeCell ref="E11:H11"/>
    <mergeCell ref="J11:L11"/>
    <mergeCell ref="M11:O11"/>
    <mergeCell ref="P11:R11"/>
    <mergeCell ref="S11:V11"/>
    <mergeCell ref="W11:Z11"/>
    <mergeCell ref="AA11:AF11"/>
    <mergeCell ref="B10:D10"/>
    <mergeCell ref="E10:G10"/>
    <mergeCell ref="J10:N10"/>
    <mergeCell ref="Q10:R10"/>
    <mergeCell ref="U10:V10"/>
    <mergeCell ref="X10:Z10"/>
    <mergeCell ref="C7:F7"/>
    <mergeCell ref="G7:AE8"/>
    <mergeCell ref="AF7:AG8"/>
    <mergeCell ref="AH7:AI8"/>
    <mergeCell ref="O9:Q9"/>
    <mergeCell ref="V9:Y9"/>
    <mergeCell ref="AD9:AJ9"/>
    <mergeCell ref="AG15:AK15"/>
    <mergeCell ref="B16:D16"/>
    <mergeCell ref="E16:H16"/>
    <mergeCell ref="J16:L16"/>
    <mergeCell ref="M16:O16"/>
    <mergeCell ref="P16:R16"/>
    <mergeCell ref="S16:V16"/>
    <mergeCell ref="W16:Z16"/>
    <mergeCell ref="AA16:AF16"/>
    <mergeCell ref="AG16:AK16"/>
    <mergeCell ref="AA14:AF14"/>
    <mergeCell ref="AG14:AK14"/>
    <mergeCell ref="B15:D15"/>
    <mergeCell ref="E15:H15"/>
    <mergeCell ref="J15:L15"/>
    <mergeCell ref="M15:O15"/>
    <mergeCell ref="P15:R15"/>
    <mergeCell ref="S15:V15"/>
    <mergeCell ref="W15:Z15"/>
    <mergeCell ref="AA15:AF15"/>
    <mergeCell ref="W13:Z13"/>
    <mergeCell ref="AA13:AF13"/>
    <mergeCell ref="AG13:AK13"/>
    <mergeCell ref="B14:D14"/>
    <mergeCell ref="E14:H14"/>
    <mergeCell ref="J14:L14"/>
    <mergeCell ref="M14:O14"/>
    <mergeCell ref="P14:R14"/>
    <mergeCell ref="S14:V14"/>
    <mergeCell ref="W14:Z14"/>
    <mergeCell ref="B13:D13"/>
    <mergeCell ref="E13:H13"/>
    <mergeCell ref="J13:L13"/>
    <mergeCell ref="M13:O13"/>
    <mergeCell ref="P13:R13"/>
    <mergeCell ref="S13:V13"/>
    <mergeCell ref="AG19:AK19"/>
    <mergeCell ref="B20:D20"/>
    <mergeCell ref="E20:H20"/>
    <mergeCell ref="J20:L20"/>
    <mergeCell ref="M20:O20"/>
    <mergeCell ref="P20:R20"/>
    <mergeCell ref="S20:V20"/>
    <mergeCell ref="W20:Z20"/>
    <mergeCell ref="AA20:AF20"/>
    <mergeCell ref="AG20:AK20"/>
    <mergeCell ref="AA18:AF18"/>
    <mergeCell ref="AG18:AK18"/>
    <mergeCell ref="B19:D19"/>
    <mergeCell ref="E19:H19"/>
    <mergeCell ref="J19:L19"/>
    <mergeCell ref="M19:O19"/>
    <mergeCell ref="P19:R19"/>
    <mergeCell ref="S19:V19"/>
    <mergeCell ref="W19:Z19"/>
    <mergeCell ref="AA19:AF19"/>
    <mergeCell ref="W17:Z17"/>
    <mergeCell ref="AA17:AF17"/>
    <mergeCell ref="AG17:AK17"/>
    <mergeCell ref="B18:D18"/>
    <mergeCell ref="E18:H18"/>
    <mergeCell ref="J18:L18"/>
    <mergeCell ref="M18:O18"/>
    <mergeCell ref="P18:R18"/>
    <mergeCell ref="S18:V18"/>
    <mergeCell ref="W18:Z18"/>
    <mergeCell ref="B17:D17"/>
    <mergeCell ref="E17:H17"/>
    <mergeCell ref="J17:L17"/>
    <mergeCell ref="M17:O17"/>
    <mergeCell ref="P17:R17"/>
    <mergeCell ref="S17:V17"/>
    <mergeCell ref="AG23:AK23"/>
    <mergeCell ref="B24:D24"/>
    <mergeCell ref="E24:H24"/>
    <mergeCell ref="J24:L24"/>
    <mergeCell ref="M24:O24"/>
    <mergeCell ref="P24:R24"/>
    <mergeCell ref="S24:V24"/>
    <mergeCell ref="W24:Z24"/>
    <mergeCell ref="AA24:AF24"/>
    <mergeCell ref="AG24:AK24"/>
    <mergeCell ref="AA22:AF22"/>
    <mergeCell ref="AG22:AK22"/>
    <mergeCell ref="B23:D23"/>
    <mergeCell ref="E23:H23"/>
    <mergeCell ref="J23:L23"/>
    <mergeCell ref="M23:O23"/>
    <mergeCell ref="P23:R23"/>
    <mergeCell ref="S23:V23"/>
    <mergeCell ref="W23:Z23"/>
    <mergeCell ref="AA23:AF23"/>
    <mergeCell ref="W21:Z21"/>
    <mergeCell ref="AA21:AF21"/>
    <mergeCell ref="AG21:AK21"/>
    <mergeCell ref="B22:D22"/>
    <mergeCell ref="E22:H22"/>
    <mergeCell ref="J22:L22"/>
    <mergeCell ref="M22:O22"/>
    <mergeCell ref="P22:R22"/>
    <mergeCell ref="S22:V22"/>
    <mergeCell ref="W22:Z22"/>
    <mergeCell ref="B21:D21"/>
    <mergeCell ref="E21:H21"/>
    <mergeCell ref="J21:L21"/>
    <mergeCell ref="M21:O21"/>
    <mergeCell ref="P21:R21"/>
    <mergeCell ref="S21:V21"/>
    <mergeCell ref="AG27:AK27"/>
    <mergeCell ref="B28:D28"/>
    <mergeCell ref="E28:H28"/>
    <mergeCell ref="J28:L28"/>
    <mergeCell ref="M28:O28"/>
    <mergeCell ref="P28:R28"/>
    <mergeCell ref="S28:V28"/>
    <mergeCell ref="W28:Z28"/>
    <mergeCell ref="AA28:AF28"/>
    <mergeCell ref="AG28:AK28"/>
    <mergeCell ref="AA26:AF26"/>
    <mergeCell ref="AG26:AK26"/>
    <mergeCell ref="B27:D27"/>
    <mergeCell ref="E27:H27"/>
    <mergeCell ref="J27:L27"/>
    <mergeCell ref="M27:O27"/>
    <mergeCell ref="P27:R27"/>
    <mergeCell ref="S27:V27"/>
    <mergeCell ref="W27:Z27"/>
    <mergeCell ref="AA27:AF27"/>
    <mergeCell ref="W25:Z25"/>
    <mergeCell ref="AA25:AF25"/>
    <mergeCell ref="AG25:AK25"/>
    <mergeCell ref="B26:D26"/>
    <mergeCell ref="E26:H26"/>
    <mergeCell ref="J26:L26"/>
    <mergeCell ref="M26:O26"/>
    <mergeCell ref="P26:R26"/>
    <mergeCell ref="S26:V26"/>
    <mergeCell ref="W26:Z26"/>
    <mergeCell ref="B25:D25"/>
    <mergeCell ref="E25:H25"/>
    <mergeCell ref="J25:L25"/>
    <mergeCell ref="M25:O25"/>
    <mergeCell ref="P25:R25"/>
    <mergeCell ref="S25:V25"/>
    <mergeCell ref="AG31:AK31"/>
    <mergeCell ref="B32:D32"/>
    <mergeCell ref="E32:H32"/>
    <mergeCell ref="J32:L32"/>
    <mergeCell ref="M32:O32"/>
    <mergeCell ref="P32:R32"/>
    <mergeCell ref="S32:V32"/>
    <mergeCell ref="W32:Z32"/>
    <mergeCell ref="AA32:AF32"/>
    <mergeCell ref="AG32:AK32"/>
    <mergeCell ref="AA30:AF30"/>
    <mergeCell ref="AG30:AK30"/>
    <mergeCell ref="B31:D31"/>
    <mergeCell ref="E31:H31"/>
    <mergeCell ref="J31:L31"/>
    <mergeCell ref="M31:O31"/>
    <mergeCell ref="P31:R31"/>
    <mergeCell ref="S31:V31"/>
    <mergeCell ref="W31:Z31"/>
    <mergeCell ref="AA31:AF31"/>
    <mergeCell ref="W29:Z29"/>
    <mergeCell ref="AA29:AF29"/>
    <mergeCell ref="AG29:AK29"/>
    <mergeCell ref="B30:D30"/>
    <mergeCell ref="E30:H30"/>
    <mergeCell ref="J30:L30"/>
    <mergeCell ref="M30:O30"/>
    <mergeCell ref="P30:R30"/>
    <mergeCell ref="S30:V30"/>
    <mergeCell ref="W30:Z30"/>
    <mergeCell ref="B29:D29"/>
    <mergeCell ref="E29:H29"/>
    <mergeCell ref="J29:L29"/>
    <mergeCell ref="M29:O29"/>
    <mergeCell ref="P29:R29"/>
    <mergeCell ref="S29:V29"/>
    <mergeCell ref="AG36:AK36"/>
    <mergeCell ref="B37:D37"/>
    <mergeCell ref="E37:H37"/>
    <mergeCell ref="J37:L37"/>
    <mergeCell ref="M37:O37"/>
    <mergeCell ref="P37:R37"/>
    <mergeCell ref="S37:V37"/>
    <mergeCell ref="W37:Z37"/>
    <mergeCell ref="AA37:AF37"/>
    <mergeCell ref="AG37:AK37"/>
    <mergeCell ref="AA34:AF34"/>
    <mergeCell ref="AG34:AK34"/>
    <mergeCell ref="B36:D36"/>
    <mergeCell ref="E36:H36"/>
    <mergeCell ref="J36:L36"/>
    <mergeCell ref="M36:O36"/>
    <mergeCell ref="P36:R36"/>
    <mergeCell ref="S36:V36"/>
    <mergeCell ref="W36:Z36"/>
    <mergeCell ref="AA36:AF36"/>
    <mergeCell ref="W33:Z33"/>
    <mergeCell ref="AA33:AF33"/>
    <mergeCell ref="AG33:AK33"/>
    <mergeCell ref="B34:D34"/>
    <mergeCell ref="E34:H34"/>
    <mergeCell ref="J34:L35"/>
    <mergeCell ref="M34:O34"/>
    <mergeCell ref="P34:R34"/>
    <mergeCell ref="S34:V34"/>
    <mergeCell ref="W34:Z34"/>
    <mergeCell ref="B33:D33"/>
    <mergeCell ref="E33:H33"/>
    <mergeCell ref="J33:L33"/>
    <mergeCell ref="M33:O33"/>
    <mergeCell ref="P33:R33"/>
    <mergeCell ref="S33:V33"/>
    <mergeCell ref="AG40:AK40"/>
    <mergeCell ref="B41:D41"/>
    <mergeCell ref="E41:H41"/>
    <mergeCell ref="J41:L41"/>
    <mergeCell ref="M41:O41"/>
    <mergeCell ref="P41:R41"/>
    <mergeCell ref="S41:V41"/>
    <mergeCell ref="W41:Z41"/>
    <mergeCell ref="AA41:AF41"/>
    <mergeCell ref="AG41:AK41"/>
    <mergeCell ref="AA39:AF39"/>
    <mergeCell ref="AG39:AK39"/>
    <mergeCell ref="B40:D40"/>
    <mergeCell ref="E40:H40"/>
    <mergeCell ref="J40:L40"/>
    <mergeCell ref="M40:O40"/>
    <mergeCell ref="P40:R40"/>
    <mergeCell ref="S40:V40"/>
    <mergeCell ref="W40:Z40"/>
    <mergeCell ref="AA40:AF40"/>
    <mergeCell ref="W38:Z38"/>
    <mergeCell ref="AA38:AF38"/>
    <mergeCell ref="AG38:AK38"/>
    <mergeCell ref="B39:D39"/>
    <mergeCell ref="E39:H39"/>
    <mergeCell ref="J39:L39"/>
    <mergeCell ref="M39:O39"/>
    <mergeCell ref="P39:R39"/>
    <mergeCell ref="S39:V39"/>
    <mergeCell ref="W39:Z39"/>
    <mergeCell ref="B38:D38"/>
    <mergeCell ref="E38:H38"/>
    <mergeCell ref="J38:L38"/>
    <mergeCell ref="M38:O38"/>
    <mergeCell ref="P38:R38"/>
    <mergeCell ref="S38:V38"/>
    <mergeCell ref="AG44:AK44"/>
    <mergeCell ref="B45:D45"/>
    <mergeCell ref="E45:H45"/>
    <mergeCell ref="J45:L45"/>
    <mergeCell ref="M45:O45"/>
    <mergeCell ref="P45:R45"/>
    <mergeCell ref="S45:V45"/>
    <mergeCell ref="W45:Z45"/>
    <mergeCell ref="AA45:AF45"/>
    <mergeCell ref="AG45:AK45"/>
    <mergeCell ref="AA43:AF43"/>
    <mergeCell ref="AG43:AK43"/>
    <mergeCell ref="B44:D44"/>
    <mergeCell ref="E44:H44"/>
    <mergeCell ref="J44:L44"/>
    <mergeCell ref="M44:O44"/>
    <mergeCell ref="P44:R44"/>
    <mergeCell ref="S44:V44"/>
    <mergeCell ref="W44:Z44"/>
    <mergeCell ref="AA44:AF44"/>
    <mergeCell ref="W42:Z42"/>
    <mergeCell ref="AA42:AF42"/>
    <mergeCell ref="AG42:AK42"/>
    <mergeCell ref="B43:D43"/>
    <mergeCell ref="E43:H43"/>
    <mergeCell ref="J43:L43"/>
    <mergeCell ref="M43:O43"/>
    <mergeCell ref="P43:R43"/>
    <mergeCell ref="S43:V43"/>
    <mergeCell ref="W43:Z43"/>
    <mergeCell ref="B42:D42"/>
    <mergeCell ref="E42:H42"/>
    <mergeCell ref="J42:L42"/>
    <mergeCell ref="M42:O42"/>
    <mergeCell ref="P42:R42"/>
    <mergeCell ref="S42:V42"/>
    <mergeCell ref="AG48:AK48"/>
    <mergeCell ref="B49:D49"/>
    <mergeCell ref="E49:H49"/>
    <mergeCell ref="J49:L49"/>
    <mergeCell ref="M49:O49"/>
    <mergeCell ref="P49:R49"/>
    <mergeCell ref="S49:V49"/>
    <mergeCell ref="W49:Z49"/>
    <mergeCell ref="AA49:AF49"/>
    <mergeCell ref="AG49:AK49"/>
    <mergeCell ref="AA47:AF47"/>
    <mergeCell ref="AG47:AK47"/>
    <mergeCell ref="B48:D48"/>
    <mergeCell ref="E48:H48"/>
    <mergeCell ref="J48:L48"/>
    <mergeCell ref="M48:O48"/>
    <mergeCell ref="P48:R48"/>
    <mergeCell ref="S48:V48"/>
    <mergeCell ref="W48:Z48"/>
    <mergeCell ref="AA48:AF48"/>
    <mergeCell ref="W46:Z46"/>
    <mergeCell ref="AA46:AF46"/>
    <mergeCell ref="AG46:AK46"/>
    <mergeCell ref="B47:D47"/>
    <mergeCell ref="E47:H47"/>
    <mergeCell ref="J47:L47"/>
    <mergeCell ref="M47:O47"/>
    <mergeCell ref="P47:R47"/>
    <mergeCell ref="S47:V47"/>
    <mergeCell ref="W47:Z47"/>
    <mergeCell ref="B46:D46"/>
    <mergeCell ref="E46:H46"/>
    <mergeCell ref="J46:L46"/>
    <mergeCell ref="M46:O46"/>
    <mergeCell ref="P46:R46"/>
    <mergeCell ref="S46:V46"/>
    <mergeCell ref="AG52:AK52"/>
    <mergeCell ref="B53:D53"/>
    <mergeCell ref="E53:H53"/>
    <mergeCell ref="J53:L53"/>
    <mergeCell ref="M53:O53"/>
    <mergeCell ref="P53:R53"/>
    <mergeCell ref="S53:V53"/>
    <mergeCell ref="W53:Z53"/>
    <mergeCell ref="AA53:AF53"/>
    <mergeCell ref="AG53:AK53"/>
    <mergeCell ref="AA51:AF51"/>
    <mergeCell ref="AG51:AK51"/>
    <mergeCell ref="B52:D52"/>
    <mergeCell ref="E52:H52"/>
    <mergeCell ref="J52:L52"/>
    <mergeCell ref="M52:O52"/>
    <mergeCell ref="P52:R52"/>
    <mergeCell ref="S52:V52"/>
    <mergeCell ref="W52:Z52"/>
    <mergeCell ref="AA52:AF52"/>
    <mergeCell ref="W50:Z50"/>
    <mergeCell ref="AA50:AF50"/>
    <mergeCell ref="AG50:AK50"/>
    <mergeCell ref="B51:D51"/>
    <mergeCell ref="E51:H51"/>
    <mergeCell ref="J51:L51"/>
    <mergeCell ref="M51:O51"/>
    <mergeCell ref="P51:R51"/>
    <mergeCell ref="S51:V51"/>
    <mergeCell ref="W51:Z51"/>
    <mergeCell ref="B50:D50"/>
    <mergeCell ref="E50:H50"/>
    <mergeCell ref="J50:L50"/>
    <mergeCell ref="M50:O50"/>
    <mergeCell ref="P50:R50"/>
    <mergeCell ref="S50:V50"/>
    <mergeCell ref="AG56:AK56"/>
    <mergeCell ref="B57:D57"/>
    <mergeCell ref="E57:H57"/>
    <mergeCell ref="J57:L57"/>
    <mergeCell ref="M57:O57"/>
    <mergeCell ref="P57:R57"/>
    <mergeCell ref="S57:V57"/>
    <mergeCell ref="W57:Z57"/>
    <mergeCell ref="AA57:AF57"/>
    <mergeCell ref="AG57:AK57"/>
    <mergeCell ref="AA55:AF55"/>
    <mergeCell ref="AG55:AK55"/>
    <mergeCell ref="B56:D56"/>
    <mergeCell ref="E56:H56"/>
    <mergeCell ref="J56:L56"/>
    <mergeCell ref="M56:O56"/>
    <mergeCell ref="P56:R56"/>
    <mergeCell ref="S56:V56"/>
    <mergeCell ref="W56:Z56"/>
    <mergeCell ref="AA56:AF56"/>
    <mergeCell ref="W54:Z54"/>
    <mergeCell ref="AA54:AF54"/>
    <mergeCell ref="AG54:AK54"/>
    <mergeCell ref="B55:D55"/>
    <mergeCell ref="E55:H55"/>
    <mergeCell ref="J55:L55"/>
    <mergeCell ref="M55:O55"/>
    <mergeCell ref="P55:R55"/>
    <mergeCell ref="S55:V55"/>
    <mergeCell ref="W55:Z55"/>
    <mergeCell ref="B54:D54"/>
    <mergeCell ref="E54:H54"/>
    <mergeCell ref="J54:L54"/>
    <mergeCell ref="M54:O54"/>
    <mergeCell ref="P54:R54"/>
    <mergeCell ref="S54:V54"/>
    <mergeCell ref="AH69:AK69"/>
    <mergeCell ref="B70:D70"/>
    <mergeCell ref="E70:H70"/>
    <mergeCell ref="J70:L70"/>
    <mergeCell ref="M70:O70"/>
    <mergeCell ref="P70:R70"/>
    <mergeCell ref="S70:V70"/>
    <mergeCell ref="W70:Z70"/>
    <mergeCell ref="AA70:AF70"/>
    <mergeCell ref="AG70:AK70"/>
    <mergeCell ref="O68:Q68"/>
    <mergeCell ref="V68:Y68"/>
    <mergeCell ref="AD68:AJ68"/>
    <mergeCell ref="B69:D69"/>
    <mergeCell ref="E69:G69"/>
    <mergeCell ref="J69:N69"/>
    <mergeCell ref="Q69:R69"/>
    <mergeCell ref="U69:V69"/>
    <mergeCell ref="X69:Z69"/>
    <mergeCell ref="AC69:AF69"/>
    <mergeCell ref="C64:J65"/>
    <mergeCell ref="K64:X64"/>
    <mergeCell ref="Y64:AG65"/>
    <mergeCell ref="AH64:AL65"/>
    <mergeCell ref="K65:X65"/>
    <mergeCell ref="C66:F66"/>
    <mergeCell ref="G66:AE67"/>
    <mergeCell ref="AF66:AG67"/>
    <mergeCell ref="AH66:AI67"/>
    <mergeCell ref="AG59:AL59"/>
    <mergeCell ref="D60:AH60"/>
    <mergeCell ref="A61:I63"/>
    <mergeCell ref="J61:AH61"/>
    <mergeCell ref="J62:AF62"/>
    <mergeCell ref="J63:AE63"/>
    <mergeCell ref="AG73:AK73"/>
    <mergeCell ref="B74:D74"/>
    <mergeCell ref="E74:H74"/>
    <mergeCell ref="J74:L74"/>
    <mergeCell ref="M74:O74"/>
    <mergeCell ref="P74:R74"/>
    <mergeCell ref="S74:V74"/>
    <mergeCell ref="W74:Z74"/>
    <mergeCell ref="AA74:AF74"/>
    <mergeCell ref="AG74:AK74"/>
    <mergeCell ref="AA72:AF72"/>
    <mergeCell ref="AG72:AK72"/>
    <mergeCell ref="B73:D73"/>
    <mergeCell ref="E73:H73"/>
    <mergeCell ref="J73:L73"/>
    <mergeCell ref="M73:O73"/>
    <mergeCell ref="P73:R73"/>
    <mergeCell ref="S73:V73"/>
    <mergeCell ref="W73:Z73"/>
    <mergeCell ref="AA73:AF73"/>
    <mergeCell ref="W71:Z71"/>
    <mergeCell ref="AA71:AF71"/>
    <mergeCell ref="AG71:AK71"/>
    <mergeCell ref="B72:D72"/>
    <mergeCell ref="E72:H72"/>
    <mergeCell ref="J72:L72"/>
    <mergeCell ref="M72:O72"/>
    <mergeCell ref="P72:R72"/>
    <mergeCell ref="S72:V72"/>
    <mergeCell ref="W72:Z72"/>
    <mergeCell ref="B71:D71"/>
    <mergeCell ref="E71:H71"/>
    <mergeCell ref="J71:L71"/>
    <mergeCell ref="M71:O71"/>
    <mergeCell ref="P71:R71"/>
    <mergeCell ref="S71:V71"/>
    <mergeCell ref="AG77:AK77"/>
    <mergeCell ref="B78:D78"/>
    <mergeCell ref="E78:H78"/>
    <mergeCell ref="J78:L78"/>
    <mergeCell ref="M78:O78"/>
    <mergeCell ref="P78:R78"/>
    <mergeCell ref="S78:V78"/>
    <mergeCell ref="W78:Z78"/>
    <mergeCell ref="AA78:AF78"/>
    <mergeCell ref="AG78:AK78"/>
    <mergeCell ref="AA76:AF76"/>
    <mergeCell ref="AG76:AK76"/>
    <mergeCell ref="B77:D77"/>
    <mergeCell ref="E77:H77"/>
    <mergeCell ref="J77:L77"/>
    <mergeCell ref="M77:O77"/>
    <mergeCell ref="P77:R77"/>
    <mergeCell ref="S77:V77"/>
    <mergeCell ref="W77:Z77"/>
    <mergeCell ref="AA77:AF77"/>
    <mergeCell ref="W75:Z75"/>
    <mergeCell ref="AA75:AF75"/>
    <mergeCell ref="AG75:AK75"/>
    <mergeCell ref="B76:D76"/>
    <mergeCell ref="E76:H76"/>
    <mergeCell ref="J76:L76"/>
    <mergeCell ref="M76:O76"/>
    <mergeCell ref="P76:R76"/>
    <mergeCell ref="S76:V76"/>
    <mergeCell ref="W76:Z76"/>
    <mergeCell ref="B75:D75"/>
    <mergeCell ref="E75:H75"/>
    <mergeCell ref="J75:L75"/>
    <mergeCell ref="M75:O75"/>
    <mergeCell ref="P75:R75"/>
    <mergeCell ref="S75:V75"/>
    <mergeCell ref="AG81:AK81"/>
    <mergeCell ref="B82:D82"/>
    <mergeCell ref="E82:H82"/>
    <mergeCell ref="J82:L82"/>
    <mergeCell ref="M82:O82"/>
    <mergeCell ref="P82:R82"/>
    <mergeCell ref="S82:V82"/>
    <mergeCell ref="W82:Z82"/>
    <mergeCell ref="AA82:AF82"/>
    <mergeCell ref="AG82:AK82"/>
    <mergeCell ref="AA80:AF80"/>
    <mergeCell ref="AG80:AK80"/>
    <mergeCell ref="B81:D81"/>
    <mergeCell ref="E81:H81"/>
    <mergeCell ref="J81:L81"/>
    <mergeCell ref="M81:O81"/>
    <mergeCell ref="P81:R81"/>
    <mergeCell ref="S81:V81"/>
    <mergeCell ref="W81:Z81"/>
    <mergeCell ref="AA81:AF81"/>
    <mergeCell ref="W79:Z79"/>
    <mergeCell ref="AA79:AF79"/>
    <mergeCell ref="AG79:AK79"/>
    <mergeCell ref="B80:D80"/>
    <mergeCell ref="E80:H80"/>
    <mergeCell ref="J80:L80"/>
    <mergeCell ref="M80:O80"/>
    <mergeCell ref="P80:R80"/>
    <mergeCell ref="S80:V80"/>
    <mergeCell ref="W80:Z80"/>
    <mergeCell ref="B79:D79"/>
    <mergeCell ref="E79:H79"/>
    <mergeCell ref="J79:L79"/>
    <mergeCell ref="M79:O79"/>
    <mergeCell ref="P79:R79"/>
    <mergeCell ref="S79:V79"/>
    <mergeCell ref="AG85:AK85"/>
    <mergeCell ref="B86:D86"/>
    <mergeCell ref="E86:H86"/>
    <mergeCell ref="J86:L86"/>
    <mergeCell ref="M86:O86"/>
    <mergeCell ref="P86:R86"/>
    <mergeCell ref="S86:V86"/>
    <mergeCell ref="W86:Z86"/>
    <mergeCell ref="AA86:AF86"/>
    <mergeCell ref="AG86:AK86"/>
    <mergeCell ref="AA84:AF84"/>
    <mergeCell ref="AG84:AK84"/>
    <mergeCell ref="B85:D85"/>
    <mergeCell ref="E85:H85"/>
    <mergeCell ref="J85:L85"/>
    <mergeCell ref="M85:O85"/>
    <mergeCell ref="P85:R85"/>
    <mergeCell ref="S85:V85"/>
    <mergeCell ref="W85:Z85"/>
    <mergeCell ref="AA85:AF85"/>
    <mergeCell ref="W83:Z83"/>
    <mergeCell ref="AA83:AF83"/>
    <mergeCell ref="AG83:AK83"/>
    <mergeCell ref="B84:D84"/>
    <mergeCell ref="E84:H84"/>
    <mergeCell ref="J84:L84"/>
    <mergeCell ref="M84:O84"/>
    <mergeCell ref="P84:R84"/>
    <mergeCell ref="S84:V84"/>
    <mergeCell ref="W84:Z84"/>
    <mergeCell ref="B83:D83"/>
    <mergeCell ref="E83:H83"/>
    <mergeCell ref="J83:L83"/>
    <mergeCell ref="M83:O83"/>
    <mergeCell ref="P83:R83"/>
    <mergeCell ref="S83:V83"/>
    <mergeCell ref="AG89:AK89"/>
    <mergeCell ref="B90:D90"/>
    <mergeCell ref="E90:H90"/>
    <mergeCell ref="J90:L90"/>
    <mergeCell ref="M90:O90"/>
    <mergeCell ref="P90:R90"/>
    <mergeCell ref="S90:V90"/>
    <mergeCell ref="W90:Z90"/>
    <mergeCell ref="AA90:AF90"/>
    <mergeCell ref="AG90:AK90"/>
    <mergeCell ref="AA88:AF88"/>
    <mergeCell ref="AG88:AK88"/>
    <mergeCell ref="B89:D89"/>
    <mergeCell ref="E89:H89"/>
    <mergeCell ref="J89:L89"/>
    <mergeCell ref="M89:O89"/>
    <mergeCell ref="P89:R89"/>
    <mergeCell ref="S89:V89"/>
    <mergeCell ref="W89:Z89"/>
    <mergeCell ref="AA89:AF89"/>
    <mergeCell ref="W87:Z87"/>
    <mergeCell ref="AA87:AF87"/>
    <mergeCell ref="AG87:AK87"/>
    <mergeCell ref="B88:D88"/>
    <mergeCell ref="E88:H88"/>
    <mergeCell ref="J88:L88"/>
    <mergeCell ref="M88:O88"/>
    <mergeCell ref="P88:R88"/>
    <mergeCell ref="S88:V88"/>
    <mergeCell ref="W88:Z88"/>
    <mergeCell ref="B87:D87"/>
    <mergeCell ref="E87:H87"/>
    <mergeCell ref="J87:L87"/>
    <mergeCell ref="M87:O87"/>
    <mergeCell ref="P87:R87"/>
    <mergeCell ref="S87:V87"/>
    <mergeCell ref="AG93:AK93"/>
    <mergeCell ref="B94:D94"/>
    <mergeCell ref="E94:H94"/>
    <mergeCell ref="J94:L94"/>
    <mergeCell ref="M94:O94"/>
    <mergeCell ref="P94:R94"/>
    <mergeCell ref="S94:V94"/>
    <mergeCell ref="W94:Z94"/>
    <mergeCell ref="AA94:AF94"/>
    <mergeCell ref="AG94:AK94"/>
    <mergeCell ref="AA92:AF92"/>
    <mergeCell ref="AG92:AK92"/>
    <mergeCell ref="B93:D93"/>
    <mergeCell ref="E93:H93"/>
    <mergeCell ref="J93:L93"/>
    <mergeCell ref="M93:O93"/>
    <mergeCell ref="P93:R93"/>
    <mergeCell ref="S93:V93"/>
    <mergeCell ref="W93:Z93"/>
    <mergeCell ref="AA93:AF93"/>
    <mergeCell ref="W91:Z91"/>
    <mergeCell ref="AA91:AF91"/>
    <mergeCell ref="AG91:AK91"/>
    <mergeCell ref="B92:D92"/>
    <mergeCell ref="E92:H92"/>
    <mergeCell ref="J92:L92"/>
    <mergeCell ref="M92:O92"/>
    <mergeCell ref="P92:R92"/>
    <mergeCell ref="S92:V92"/>
    <mergeCell ref="W92:Z92"/>
    <mergeCell ref="B91:D91"/>
    <mergeCell ref="E91:H91"/>
    <mergeCell ref="J91:L91"/>
    <mergeCell ref="M91:O91"/>
    <mergeCell ref="P91:R91"/>
    <mergeCell ref="S91:V91"/>
    <mergeCell ref="AG97:AK97"/>
    <mergeCell ref="B98:D98"/>
    <mergeCell ref="E98:H98"/>
    <mergeCell ref="J98:L98"/>
    <mergeCell ref="M98:O98"/>
    <mergeCell ref="P98:R98"/>
    <mergeCell ref="S98:V98"/>
    <mergeCell ref="W98:Z98"/>
    <mergeCell ref="AA98:AF98"/>
    <mergeCell ref="AG98:AK98"/>
    <mergeCell ref="AA96:AF96"/>
    <mergeCell ref="AG96:AK96"/>
    <mergeCell ref="B97:D97"/>
    <mergeCell ref="E97:H97"/>
    <mergeCell ref="J97:L97"/>
    <mergeCell ref="M97:O97"/>
    <mergeCell ref="P97:R97"/>
    <mergeCell ref="S97:V97"/>
    <mergeCell ref="W97:Z97"/>
    <mergeCell ref="AA97:AF97"/>
    <mergeCell ref="W95:Z95"/>
    <mergeCell ref="AA95:AF95"/>
    <mergeCell ref="AG95:AK95"/>
    <mergeCell ref="B96:D96"/>
    <mergeCell ref="E96:H96"/>
    <mergeCell ref="J96:L96"/>
    <mergeCell ref="M96:O96"/>
    <mergeCell ref="P96:R96"/>
    <mergeCell ref="S96:V96"/>
    <mergeCell ref="W96:Z96"/>
    <mergeCell ref="B95:D95"/>
    <mergeCell ref="E95:H95"/>
    <mergeCell ref="J95:L95"/>
    <mergeCell ref="M95:O95"/>
    <mergeCell ref="P95:R95"/>
    <mergeCell ref="S95:V95"/>
    <mergeCell ref="AG101:AK101"/>
    <mergeCell ref="B102:D102"/>
    <mergeCell ref="E102:H102"/>
    <mergeCell ref="J102:L102"/>
    <mergeCell ref="M102:O102"/>
    <mergeCell ref="P102:R102"/>
    <mergeCell ref="S102:V102"/>
    <mergeCell ref="W102:Z102"/>
    <mergeCell ref="AA102:AF102"/>
    <mergeCell ref="AG102:AK102"/>
    <mergeCell ref="AA100:AF100"/>
    <mergeCell ref="AG100:AK100"/>
    <mergeCell ref="B101:D101"/>
    <mergeCell ref="E101:H101"/>
    <mergeCell ref="J101:L101"/>
    <mergeCell ref="M101:O101"/>
    <mergeCell ref="P101:R101"/>
    <mergeCell ref="S101:V101"/>
    <mergeCell ref="W101:Z101"/>
    <mergeCell ref="AA101:AF101"/>
    <mergeCell ref="W99:Z99"/>
    <mergeCell ref="AA99:AF99"/>
    <mergeCell ref="AG99:AK99"/>
    <mergeCell ref="B100:D100"/>
    <mergeCell ref="E100:H100"/>
    <mergeCell ref="J100:L100"/>
    <mergeCell ref="M100:O100"/>
    <mergeCell ref="P100:R100"/>
    <mergeCell ref="S100:V100"/>
    <mergeCell ref="W100:Z100"/>
    <mergeCell ref="B99:D99"/>
    <mergeCell ref="E99:H99"/>
    <mergeCell ref="J99:L99"/>
    <mergeCell ref="M99:O99"/>
    <mergeCell ref="P99:R99"/>
    <mergeCell ref="S99:V99"/>
    <mergeCell ref="AG105:AK105"/>
    <mergeCell ref="B106:D106"/>
    <mergeCell ref="E106:H106"/>
    <mergeCell ref="J106:L106"/>
    <mergeCell ref="M106:O106"/>
    <mergeCell ref="P106:R106"/>
    <mergeCell ref="S106:V106"/>
    <mergeCell ref="W106:Z106"/>
    <mergeCell ref="AA106:AF106"/>
    <mergeCell ref="AG106:AK106"/>
    <mergeCell ref="AA104:AF104"/>
    <mergeCell ref="AG104:AK104"/>
    <mergeCell ref="B105:D105"/>
    <mergeCell ref="E105:H105"/>
    <mergeCell ref="J105:L105"/>
    <mergeCell ref="M105:O105"/>
    <mergeCell ref="P105:R105"/>
    <mergeCell ref="S105:V105"/>
    <mergeCell ref="W105:Z105"/>
    <mergeCell ref="AA105:AF105"/>
    <mergeCell ref="W103:Z103"/>
    <mergeCell ref="AA103:AF103"/>
    <mergeCell ref="AG103:AK103"/>
    <mergeCell ref="B104:D104"/>
    <mergeCell ref="E104:H104"/>
    <mergeCell ref="J104:L104"/>
    <mergeCell ref="M104:O104"/>
    <mergeCell ref="P104:R104"/>
    <mergeCell ref="S104:V104"/>
    <mergeCell ref="W104:Z104"/>
    <mergeCell ref="B103:D103"/>
    <mergeCell ref="E103:H103"/>
    <mergeCell ref="J103:L103"/>
    <mergeCell ref="M103:O103"/>
    <mergeCell ref="P103:R103"/>
    <mergeCell ref="S103:V103"/>
    <mergeCell ref="AG109:AK109"/>
    <mergeCell ref="B110:D110"/>
    <mergeCell ref="E110:H110"/>
    <mergeCell ref="J110:L110"/>
    <mergeCell ref="M110:O110"/>
    <mergeCell ref="P110:R110"/>
    <mergeCell ref="S110:V110"/>
    <mergeCell ref="W110:Z110"/>
    <mergeCell ref="AA110:AF110"/>
    <mergeCell ref="AG110:AK110"/>
    <mergeCell ref="AA108:AF108"/>
    <mergeCell ref="AG108:AK108"/>
    <mergeCell ref="B109:D109"/>
    <mergeCell ref="E109:H109"/>
    <mergeCell ref="J109:L109"/>
    <mergeCell ref="M109:O109"/>
    <mergeCell ref="P109:R109"/>
    <mergeCell ref="S109:V109"/>
    <mergeCell ref="W109:Z109"/>
    <mergeCell ref="AA109:AF109"/>
    <mergeCell ref="W107:Z107"/>
    <mergeCell ref="AA107:AF107"/>
    <mergeCell ref="AG107:AK107"/>
    <mergeCell ref="B108:D108"/>
    <mergeCell ref="E108:H108"/>
    <mergeCell ref="J108:L108"/>
    <mergeCell ref="M108:O108"/>
    <mergeCell ref="P108:R108"/>
    <mergeCell ref="S108:V108"/>
    <mergeCell ref="W108:Z108"/>
    <mergeCell ref="B107:D107"/>
    <mergeCell ref="E107:H107"/>
    <mergeCell ref="J107:L107"/>
    <mergeCell ref="M107:O107"/>
    <mergeCell ref="P107:R107"/>
    <mergeCell ref="S107:V107"/>
    <mergeCell ref="AG113:AK113"/>
    <mergeCell ref="B114:D114"/>
    <mergeCell ref="E114:H114"/>
    <mergeCell ref="J114:L114"/>
    <mergeCell ref="M114:O114"/>
    <mergeCell ref="P114:R114"/>
    <mergeCell ref="S114:V114"/>
    <mergeCell ref="W114:Z114"/>
    <mergeCell ref="AA114:AF114"/>
    <mergeCell ref="AG114:AK114"/>
    <mergeCell ref="AA112:AF112"/>
    <mergeCell ref="AG112:AK112"/>
    <mergeCell ref="B113:D113"/>
    <mergeCell ref="E113:H113"/>
    <mergeCell ref="J113:L113"/>
    <mergeCell ref="M113:O113"/>
    <mergeCell ref="P113:R113"/>
    <mergeCell ref="S113:V113"/>
    <mergeCell ref="W113:Z113"/>
    <mergeCell ref="AA113:AF113"/>
    <mergeCell ref="W111:Z111"/>
    <mergeCell ref="AA111:AF111"/>
    <mergeCell ref="AG111:AK111"/>
    <mergeCell ref="B112:D112"/>
    <mergeCell ref="E112:H112"/>
    <mergeCell ref="J112:L112"/>
    <mergeCell ref="M112:O112"/>
    <mergeCell ref="P112:R112"/>
    <mergeCell ref="S112:V112"/>
    <mergeCell ref="W112:Z112"/>
    <mergeCell ref="B111:D111"/>
    <mergeCell ref="E111:H111"/>
    <mergeCell ref="J111:L111"/>
    <mergeCell ref="M111:O111"/>
    <mergeCell ref="P111:R111"/>
    <mergeCell ref="S111:V111"/>
    <mergeCell ref="C124:J125"/>
    <mergeCell ref="K124:X124"/>
    <mergeCell ref="Y124:AG125"/>
    <mergeCell ref="AH124:AL125"/>
    <mergeCell ref="K125:X125"/>
    <mergeCell ref="C126:F126"/>
    <mergeCell ref="G126:AE127"/>
    <mergeCell ref="AF126:AG127"/>
    <mergeCell ref="AH126:AI127"/>
    <mergeCell ref="AG117:AK117"/>
    <mergeCell ref="AG119:AL119"/>
    <mergeCell ref="D120:AH120"/>
    <mergeCell ref="A121:I123"/>
    <mergeCell ref="J121:AH121"/>
    <mergeCell ref="J122:AF122"/>
    <mergeCell ref="J123:AE123"/>
    <mergeCell ref="AA116:AF116"/>
    <mergeCell ref="AG116:AK116"/>
    <mergeCell ref="B117:D117"/>
    <mergeCell ref="E117:H117"/>
    <mergeCell ref="J117:L117"/>
    <mergeCell ref="M117:O117"/>
    <mergeCell ref="P117:R117"/>
    <mergeCell ref="S117:V117"/>
    <mergeCell ref="W117:Z117"/>
    <mergeCell ref="AA117:AF117"/>
    <mergeCell ref="W115:Z115"/>
    <mergeCell ref="AA115:AF115"/>
    <mergeCell ref="AG115:AK115"/>
    <mergeCell ref="B116:D116"/>
    <mergeCell ref="E116:H116"/>
    <mergeCell ref="J116:L116"/>
    <mergeCell ref="M116:O116"/>
    <mergeCell ref="P116:R116"/>
    <mergeCell ref="S116:V116"/>
    <mergeCell ref="W116:Z116"/>
    <mergeCell ref="B115:D115"/>
    <mergeCell ref="E115:H115"/>
    <mergeCell ref="J115:L115"/>
    <mergeCell ref="M115:O115"/>
    <mergeCell ref="P115:R115"/>
    <mergeCell ref="S115:V115"/>
    <mergeCell ref="W131:Z131"/>
    <mergeCell ref="AA131:AF131"/>
    <mergeCell ref="AG131:AK131"/>
    <mergeCell ref="B132:D132"/>
    <mergeCell ref="E132:H132"/>
    <mergeCell ref="J132:L132"/>
    <mergeCell ref="M132:O132"/>
    <mergeCell ref="P132:R132"/>
    <mergeCell ref="S132:V132"/>
    <mergeCell ref="W132:Z132"/>
    <mergeCell ref="B131:D131"/>
    <mergeCell ref="E131:H131"/>
    <mergeCell ref="J131:L131"/>
    <mergeCell ref="M131:O131"/>
    <mergeCell ref="P131:R131"/>
    <mergeCell ref="S131:V131"/>
    <mergeCell ref="AH129:AK129"/>
    <mergeCell ref="B130:D130"/>
    <mergeCell ref="E130:H130"/>
    <mergeCell ref="J130:L130"/>
    <mergeCell ref="M130:O130"/>
    <mergeCell ref="P130:R130"/>
    <mergeCell ref="S130:V130"/>
    <mergeCell ref="W130:Z130"/>
    <mergeCell ref="AA130:AF130"/>
    <mergeCell ref="AG130:AK130"/>
    <mergeCell ref="O128:Q128"/>
    <mergeCell ref="V128:Y128"/>
    <mergeCell ref="AD128:AJ128"/>
    <mergeCell ref="B129:D129"/>
    <mergeCell ref="E129:G129"/>
    <mergeCell ref="J129:N129"/>
    <mergeCell ref="Q129:R129"/>
    <mergeCell ref="U129:V129"/>
    <mergeCell ref="X129:Z129"/>
    <mergeCell ref="AC129:AF129"/>
    <mergeCell ref="W135:Z135"/>
    <mergeCell ref="AA135:AF135"/>
    <mergeCell ref="AG135:AK135"/>
    <mergeCell ref="B136:D136"/>
    <mergeCell ref="E136:H136"/>
    <mergeCell ref="J136:L136"/>
    <mergeCell ref="M136:O136"/>
    <mergeCell ref="P136:R136"/>
    <mergeCell ref="S136:V136"/>
    <mergeCell ref="W136:Z136"/>
    <mergeCell ref="B135:D135"/>
    <mergeCell ref="E135:H135"/>
    <mergeCell ref="J135:L135"/>
    <mergeCell ref="M135:O135"/>
    <mergeCell ref="P135:R135"/>
    <mergeCell ref="S135:V135"/>
    <mergeCell ref="AG133:AK133"/>
    <mergeCell ref="B134:D134"/>
    <mergeCell ref="E134:H134"/>
    <mergeCell ref="J134:L134"/>
    <mergeCell ref="M134:O134"/>
    <mergeCell ref="P134:R134"/>
    <mergeCell ref="S134:V134"/>
    <mergeCell ref="W134:Z134"/>
    <mergeCell ref="AA134:AF134"/>
    <mergeCell ref="AG134:AK134"/>
    <mergeCell ref="AA132:AF132"/>
    <mergeCell ref="AG132:AK132"/>
    <mergeCell ref="B133:D133"/>
    <mergeCell ref="E133:H133"/>
    <mergeCell ref="J133:L133"/>
    <mergeCell ref="M133:O133"/>
    <mergeCell ref="P133:R133"/>
    <mergeCell ref="S133:V133"/>
    <mergeCell ref="W133:Z133"/>
    <mergeCell ref="AA133:AF133"/>
    <mergeCell ref="W139:Z139"/>
    <mergeCell ref="AA139:AF139"/>
    <mergeCell ref="AG139:AK139"/>
    <mergeCell ref="B140:D140"/>
    <mergeCell ref="E140:H140"/>
    <mergeCell ref="J140:L140"/>
    <mergeCell ref="M140:O140"/>
    <mergeCell ref="P140:R140"/>
    <mergeCell ref="S140:V140"/>
    <mergeCell ref="W140:Z140"/>
    <mergeCell ref="B139:D139"/>
    <mergeCell ref="E139:H139"/>
    <mergeCell ref="J139:L139"/>
    <mergeCell ref="M139:O139"/>
    <mergeCell ref="P139:R139"/>
    <mergeCell ref="S139:V139"/>
    <mergeCell ref="AG137:AK137"/>
    <mergeCell ref="B138:D138"/>
    <mergeCell ref="E138:H138"/>
    <mergeCell ref="J138:L138"/>
    <mergeCell ref="M138:O138"/>
    <mergeCell ref="P138:R138"/>
    <mergeCell ref="S138:V138"/>
    <mergeCell ref="W138:Z138"/>
    <mergeCell ref="AA138:AF138"/>
    <mergeCell ref="AG138:AK138"/>
    <mergeCell ref="AA136:AF136"/>
    <mergeCell ref="AG136:AK136"/>
    <mergeCell ref="B137:D137"/>
    <mergeCell ref="E137:H137"/>
    <mergeCell ref="J137:L137"/>
    <mergeCell ref="M137:O137"/>
    <mergeCell ref="P137:R137"/>
    <mergeCell ref="S137:V137"/>
    <mergeCell ref="W137:Z137"/>
    <mergeCell ref="AA137:AF137"/>
    <mergeCell ref="W143:Z143"/>
    <mergeCell ref="AA143:AF143"/>
    <mergeCell ref="AG143:AK143"/>
    <mergeCell ref="B144:D144"/>
    <mergeCell ref="E144:H144"/>
    <mergeCell ref="J144:L144"/>
    <mergeCell ref="M144:O144"/>
    <mergeCell ref="P144:R144"/>
    <mergeCell ref="S144:V144"/>
    <mergeCell ref="W144:Z144"/>
    <mergeCell ref="B143:D143"/>
    <mergeCell ref="E143:H143"/>
    <mergeCell ref="J143:L143"/>
    <mergeCell ref="M143:O143"/>
    <mergeCell ref="P143:R143"/>
    <mergeCell ref="S143:V143"/>
    <mergeCell ref="AG141:AK141"/>
    <mergeCell ref="B142:D142"/>
    <mergeCell ref="E142:H142"/>
    <mergeCell ref="J142:L142"/>
    <mergeCell ref="M142:O142"/>
    <mergeCell ref="P142:R142"/>
    <mergeCell ref="S142:V142"/>
    <mergeCell ref="W142:Z142"/>
    <mergeCell ref="AA142:AF142"/>
    <mergeCell ref="AG142:AK142"/>
    <mergeCell ref="AA140:AF140"/>
    <mergeCell ref="AG140:AK140"/>
    <mergeCell ref="B141:D141"/>
    <mergeCell ref="E141:H141"/>
    <mergeCell ref="J141:L141"/>
    <mergeCell ref="M141:O141"/>
    <mergeCell ref="P141:R141"/>
    <mergeCell ref="S141:V141"/>
    <mergeCell ref="W141:Z141"/>
    <mergeCell ref="AA141:AF141"/>
    <mergeCell ref="W147:Z147"/>
    <mergeCell ref="AA147:AF147"/>
    <mergeCell ref="AG147:AK147"/>
    <mergeCell ref="B148:D148"/>
    <mergeCell ref="E148:H148"/>
    <mergeCell ref="J148:L148"/>
    <mergeCell ref="M148:O148"/>
    <mergeCell ref="P148:R148"/>
    <mergeCell ref="S148:V148"/>
    <mergeCell ref="W148:Z148"/>
    <mergeCell ref="B147:D147"/>
    <mergeCell ref="E147:H147"/>
    <mergeCell ref="J147:L147"/>
    <mergeCell ref="M147:O147"/>
    <mergeCell ref="P147:R147"/>
    <mergeCell ref="S147:V147"/>
    <mergeCell ref="AG145:AK145"/>
    <mergeCell ref="B146:D146"/>
    <mergeCell ref="E146:H146"/>
    <mergeCell ref="J146:L146"/>
    <mergeCell ref="M146:O146"/>
    <mergeCell ref="P146:R146"/>
    <mergeCell ref="S146:V146"/>
    <mergeCell ref="W146:Z146"/>
    <mergeCell ref="AA146:AF146"/>
    <mergeCell ref="AG146:AK146"/>
    <mergeCell ref="AA144:AF144"/>
    <mergeCell ref="AG144:AK144"/>
    <mergeCell ref="B145:D145"/>
    <mergeCell ref="E145:H145"/>
    <mergeCell ref="J145:L145"/>
    <mergeCell ref="M145:O145"/>
    <mergeCell ref="P145:R145"/>
    <mergeCell ref="S145:V145"/>
    <mergeCell ref="W145:Z145"/>
    <mergeCell ref="AA145:AF145"/>
    <mergeCell ref="W151:Z151"/>
    <mergeCell ref="AA151:AF151"/>
    <mergeCell ref="AG151:AK151"/>
    <mergeCell ref="B152:D152"/>
    <mergeCell ref="E152:H152"/>
    <mergeCell ref="J152:L152"/>
    <mergeCell ref="M152:O152"/>
    <mergeCell ref="P152:R152"/>
    <mergeCell ref="S152:V152"/>
    <mergeCell ref="W152:Z152"/>
    <mergeCell ref="B151:D151"/>
    <mergeCell ref="E151:H151"/>
    <mergeCell ref="J151:L151"/>
    <mergeCell ref="M151:O151"/>
    <mergeCell ref="P151:R151"/>
    <mergeCell ref="S151:V151"/>
    <mergeCell ref="AG149:AK149"/>
    <mergeCell ref="B150:D150"/>
    <mergeCell ref="E150:H150"/>
    <mergeCell ref="J150:L150"/>
    <mergeCell ref="M150:O150"/>
    <mergeCell ref="P150:R150"/>
    <mergeCell ref="S150:V150"/>
    <mergeCell ref="W150:Z150"/>
    <mergeCell ref="AA150:AF150"/>
    <mergeCell ref="AG150:AK150"/>
    <mergeCell ref="AA148:AF148"/>
    <mergeCell ref="AG148:AK148"/>
    <mergeCell ref="B149:D149"/>
    <mergeCell ref="E149:H149"/>
    <mergeCell ref="J149:L149"/>
    <mergeCell ref="M149:O149"/>
    <mergeCell ref="P149:R149"/>
    <mergeCell ref="S149:V149"/>
    <mergeCell ref="W149:Z149"/>
    <mergeCell ref="AA149:AF149"/>
    <mergeCell ref="W155:Z155"/>
    <mergeCell ref="AA155:AF155"/>
    <mergeCell ref="AG155:AK155"/>
    <mergeCell ref="B156:D156"/>
    <mergeCell ref="E156:H156"/>
    <mergeCell ref="J156:L156"/>
    <mergeCell ref="M156:O156"/>
    <mergeCell ref="P156:R156"/>
    <mergeCell ref="S156:V156"/>
    <mergeCell ref="W156:Z156"/>
    <mergeCell ref="B155:D155"/>
    <mergeCell ref="E155:H155"/>
    <mergeCell ref="J155:L155"/>
    <mergeCell ref="M155:O155"/>
    <mergeCell ref="P155:R155"/>
    <mergeCell ref="S155:V155"/>
    <mergeCell ref="AG153:AK153"/>
    <mergeCell ref="B154:D154"/>
    <mergeCell ref="E154:H154"/>
    <mergeCell ref="J154:L154"/>
    <mergeCell ref="M154:O154"/>
    <mergeCell ref="P154:R154"/>
    <mergeCell ref="S154:V154"/>
    <mergeCell ref="W154:Z154"/>
    <mergeCell ref="AA154:AF154"/>
    <mergeCell ref="AG154:AK154"/>
    <mergeCell ref="AA152:AF152"/>
    <mergeCell ref="AG152:AK152"/>
    <mergeCell ref="B153:D153"/>
    <mergeCell ref="E153:H153"/>
    <mergeCell ref="J153:L153"/>
    <mergeCell ref="M153:O153"/>
    <mergeCell ref="P153:R153"/>
    <mergeCell ref="S153:V153"/>
    <mergeCell ref="W153:Z153"/>
    <mergeCell ref="AA153:AF153"/>
    <mergeCell ref="W159:Z159"/>
    <mergeCell ref="AA159:AF159"/>
    <mergeCell ref="AG159:AK159"/>
    <mergeCell ref="B160:D160"/>
    <mergeCell ref="E160:H160"/>
    <mergeCell ref="J160:L160"/>
    <mergeCell ref="M160:O160"/>
    <mergeCell ref="P160:R160"/>
    <mergeCell ref="S160:V160"/>
    <mergeCell ref="W160:Z160"/>
    <mergeCell ref="B159:D159"/>
    <mergeCell ref="E159:H159"/>
    <mergeCell ref="J159:L159"/>
    <mergeCell ref="M159:O159"/>
    <mergeCell ref="P159:R159"/>
    <mergeCell ref="S159:V159"/>
    <mergeCell ref="AG157:AK157"/>
    <mergeCell ref="B158:D158"/>
    <mergeCell ref="E158:H158"/>
    <mergeCell ref="J158:L158"/>
    <mergeCell ref="M158:O158"/>
    <mergeCell ref="P158:R158"/>
    <mergeCell ref="S158:V158"/>
    <mergeCell ref="W158:Z158"/>
    <mergeCell ref="AA158:AF158"/>
    <mergeCell ref="AG158:AK158"/>
    <mergeCell ref="AA156:AF156"/>
    <mergeCell ref="AG156:AK156"/>
    <mergeCell ref="B157:D157"/>
    <mergeCell ref="E157:H157"/>
    <mergeCell ref="J157:L157"/>
    <mergeCell ref="M157:O157"/>
    <mergeCell ref="P157:R157"/>
    <mergeCell ref="S157:V157"/>
    <mergeCell ref="W157:Z157"/>
    <mergeCell ref="AA157:AF157"/>
    <mergeCell ref="W163:Z163"/>
    <mergeCell ref="AA163:AF163"/>
    <mergeCell ref="AG163:AK163"/>
    <mergeCell ref="B164:D164"/>
    <mergeCell ref="E164:H164"/>
    <mergeCell ref="J164:L164"/>
    <mergeCell ref="M164:O164"/>
    <mergeCell ref="P164:R164"/>
    <mergeCell ref="S164:V164"/>
    <mergeCell ref="W164:Z164"/>
    <mergeCell ref="B163:D163"/>
    <mergeCell ref="E163:H163"/>
    <mergeCell ref="J163:L163"/>
    <mergeCell ref="M163:O163"/>
    <mergeCell ref="P163:R163"/>
    <mergeCell ref="S163:V163"/>
    <mergeCell ref="AG161:AK161"/>
    <mergeCell ref="B162:D162"/>
    <mergeCell ref="E162:H162"/>
    <mergeCell ref="J162:L162"/>
    <mergeCell ref="M162:O162"/>
    <mergeCell ref="P162:R162"/>
    <mergeCell ref="S162:V162"/>
    <mergeCell ref="W162:Z162"/>
    <mergeCell ref="AA162:AF162"/>
    <mergeCell ref="AG162:AK162"/>
    <mergeCell ref="AA160:AF160"/>
    <mergeCell ref="AG160:AK160"/>
    <mergeCell ref="B161:D161"/>
    <mergeCell ref="E161:H161"/>
    <mergeCell ref="J161:L161"/>
    <mergeCell ref="M161:O161"/>
    <mergeCell ref="P161:R161"/>
    <mergeCell ref="S161:V161"/>
    <mergeCell ref="W161:Z161"/>
    <mergeCell ref="AA161:AF161"/>
    <mergeCell ref="W167:Z167"/>
    <mergeCell ref="AA167:AF167"/>
    <mergeCell ref="AG167:AK167"/>
    <mergeCell ref="B168:D168"/>
    <mergeCell ref="E168:H168"/>
    <mergeCell ref="J168:L168"/>
    <mergeCell ref="M168:O168"/>
    <mergeCell ref="P168:R168"/>
    <mergeCell ref="S168:V168"/>
    <mergeCell ref="W168:Z168"/>
    <mergeCell ref="B167:D167"/>
    <mergeCell ref="E167:H167"/>
    <mergeCell ref="J167:L167"/>
    <mergeCell ref="M167:O167"/>
    <mergeCell ref="P167:R167"/>
    <mergeCell ref="S167:V167"/>
    <mergeCell ref="AG165:AK165"/>
    <mergeCell ref="B166:D166"/>
    <mergeCell ref="E166:H166"/>
    <mergeCell ref="J166:L166"/>
    <mergeCell ref="M166:O166"/>
    <mergeCell ref="P166:R166"/>
    <mergeCell ref="S166:V166"/>
    <mergeCell ref="W166:Z166"/>
    <mergeCell ref="AA166:AF166"/>
    <mergeCell ref="AG166:AK166"/>
    <mergeCell ref="AA164:AF164"/>
    <mergeCell ref="AG164:AK164"/>
    <mergeCell ref="B165:D165"/>
    <mergeCell ref="E165:H165"/>
    <mergeCell ref="J165:L165"/>
    <mergeCell ref="M165:O165"/>
    <mergeCell ref="P165:R165"/>
    <mergeCell ref="S165:V165"/>
    <mergeCell ref="W165:Z165"/>
    <mergeCell ref="AA165:AF165"/>
    <mergeCell ref="W171:Z171"/>
    <mergeCell ref="AA171:AF171"/>
    <mergeCell ref="AG171:AK171"/>
    <mergeCell ref="B172:D172"/>
    <mergeCell ref="E172:H172"/>
    <mergeCell ref="J172:L173"/>
    <mergeCell ref="M172:O172"/>
    <mergeCell ref="P172:R172"/>
    <mergeCell ref="S172:V172"/>
    <mergeCell ref="W172:Z172"/>
    <mergeCell ref="B171:D171"/>
    <mergeCell ref="E171:H171"/>
    <mergeCell ref="J171:L171"/>
    <mergeCell ref="M171:O171"/>
    <mergeCell ref="P171:R171"/>
    <mergeCell ref="S171:V171"/>
    <mergeCell ref="AG169:AK169"/>
    <mergeCell ref="B170:D170"/>
    <mergeCell ref="E170:H170"/>
    <mergeCell ref="J170:L170"/>
    <mergeCell ref="M170:O170"/>
    <mergeCell ref="P170:R170"/>
    <mergeCell ref="S170:V170"/>
    <mergeCell ref="W170:Z170"/>
    <mergeCell ref="AA170:AF170"/>
    <mergeCell ref="AG170:AK170"/>
    <mergeCell ref="AA168:AF168"/>
    <mergeCell ref="AG168:AK168"/>
    <mergeCell ref="B169:D169"/>
    <mergeCell ref="E169:H169"/>
    <mergeCell ref="J169:L169"/>
    <mergeCell ref="M169:O169"/>
    <mergeCell ref="P169:R169"/>
    <mergeCell ref="S169:V169"/>
    <mergeCell ref="W169:Z169"/>
    <mergeCell ref="AA169:AF169"/>
    <mergeCell ref="W176:Z176"/>
    <mergeCell ref="AA176:AF176"/>
    <mergeCell ref="AG176:AK176"/>
    <mergeCell ref="B177:D177"/>
    <mergeCell ref="E177:H177"/>
    <mergeCell ref="J177:L177"/>
    <mergeCell ref="M177:O177"/>
    <mergeCell ref="P177:R177"/>
    <mergeCell ref="S177:V177"/>
    <mergeCell ref="W177:Z177"/>
    <mergeCell ref="B176:D176"/>
    <mergeCell ref="E176:H176"/>
    <mergeCell ref="J176:L176"/>
    <mergeCell ref="M176:O176"/>
    <mergeCell ref="P176:R176"/>
    <mergeCell ref="S176:V176"/>
    <mergeCell ref="AG174:AK174"/>
    <mergeCell ref="B175:D175"/>
    <mergeCell ref="E175:H175"/>
    <mergeCell ref="J175:L175"/>
    <mergeCell ref="M175:O175"/>
    <mergeCell ref="P175:R175"/>
    <mergeCell ref="S175:V175"/>
    <mergeCell ref="W175:Z175"/>
    <mergeCell ref="AA175:AF175"/>
    <mergeCell ref="AG175:AK175"/>
    <mergeCell ref="AA172:AF172"/>
    <mergeCell ref="AG172:AK172"/>
    <mergeCell ref="B174:D174"/>
    <mergeCell ref="E174:H174"/>
    <mergeCell ref="J174:L174"/>
    <mergeCell ref="M174:O174"/>
    <mergeCell ref="P174:R174"/>
    <mergeCell ref="S174:V174"/>
    <mergeCell ref="W174:Z174"/>
    <mergeCell ref="AA174:AF174"/>
    <mergeCell ref="AH189:AK189"/>
    <mergeCell ref="B190:D190"/>
    <mergeCell ref="E190:H190"/>
    <mergeCell ref="J190:L190"/>
    <mergeCell ref="M190:O190"/>
    <mergeCell ref="P190:R190"/>
    <mergeCell ref="S190:V190"/>
    <mergeCell ref="W190:Z190"/>
    <mergeCell ref="AA190:AF190"/>
    <mergeCell ref="AG190:AK190"/>
    <mergeCell ref="O188:Q188"/>
    <mergeCell ref="V188:Y188"/>
    <mergeCell ref="AD188:AJ188"/>
    <mergeCell ref="B189:D189"/>
    <mergeCell ref="E189:G189"/>
    <mergeCell ref="J189:N189"/>
    <mergeCell ref="Q189:R189"/>
    <mergeCell ref="U189:V189"/>
    <mergeCell ref="X189:Z189"/>
    <mergeCell ref="AC189:AF189"/>
    <mergeCell ref="C184:J185"/>
    <mergeCell ref="K184:X184"/>
    <mergeCell ref="Y184:AG185"/>
    <mergeCell ref="AH184:AL185"/>
    <mergeCell ref="K185:X185"/>
    <mergeCell ref="C186:F186"/>
    <mergeCell ref="G186:AE187"/>
    <mergeCell ref="AF186:AG187"/>
    <mergeCell ref="AH186:AI187"/>
    <mergeCell ref="AA177:AF177"/>
    <mergeCell ref="AG177:AK177"/>
    <mergeCell ref="AG179:AL179"/>
    <mergeCell ref="D180:AH180"/>
    <mergeCell ref="A181:I183"/>
    <mergeCell ref="J181:AH181"/>
    <mergeCell ref="J182:AF182"/>
    <mergeCell ref="J183:AE183"/>
    <mergeCell ref="AG193:AK193"/>
    <mergeCell ref="B194:D194"/>
    <mergeCell ref="E194:H194"/>
    <mergeCell ref="J194:L194"/>
    <mergeCell ref="M194:O194"/>
    <mergeCell ref="P194:R194"/>
    <mergeCell ref="S194:V194"/>
    <mergeCell ref="W194:Z194"/>
    <mergeCell ref="AA194:AF194"/>
    <mergeCell ref="AG194:AK194"/>
    <mergeCell ref="AA192:AF192"/>
    <mergeCell ref="AG192:AK192"/>
    <mergeCell ref="B193:D193"/>
    <mergeCell ref="E193:H193"/>
    <mergeCell ref="J193:L193"/>
    <mergeCell ref="M193:O193"/>
    <mergeCell ref="P193:R193"/>
    <mergeCell ref="S193:V193"/>
    <mergeCell ref="W193:Z193"/>
    <mergeCell ref="AA193:AF193"/>
    <mergeCell ref="W191:Z191"/>
    <mergeCell ref="AA191:AF191"/>
    <mergeCell ref="AG191:AK191"/>
    <mergeCell ref="B192:D192"/>
    <mergeCell ref="E192:H192"/>
    <mergeCell ref="J192:L192"/>
    <mergeCell ref="M192:O192"/>
    <mergeCell ref="P192:R192"/>
    <mergeCell ref="S192:V192"/>
    <mergeCell ref="W192:Z192"/>
    <mergeCell ref="B191:D191"/>
    <mergeCell ref="E191:H191"/>
    <mergeCell ref="J191:L191"/>
    <mergeCell ref="M191:O191"/>
    <mergeCell ref="P191:R191"/>
    <mergeCell ref="S191:V191"/>
    <mergeCell ref="AG197:AK197"/>
    <mergeCell ref="B198:D198"/>
    <mergeCell ref="E198:H198"/>
    <mergeCell ref="J198:L198"/>
    <mergeCell ref="M198:O198"/>
    <mergeCell ref="P198:R198"/>
    <mergeCell ref="S198:V198"/>
    <mergeCell ref="W198:Z198"/>
    <mergeCell ref="AA198:AF198"/>
    <mergeCell ref="AG198:AK198"/>
    <mergeCell ref="AA196:AF196"/>
    <mergeCell ref="AG196:AK196"/>
    <mergeCell ref="B197:D197"/>
    <mergeCell ref="E197:H197"/>
    <mergeCell ref="J197:L197"/>
    <mergeCell ref="M197:O197"/>
    <mergeCell ref="P197:R197"/>
    <mergeCell ref="S197:V197"/>
    <mergeCell ref="W197:Z197"/>
    <mergeCell ref="AA197:AF197"/>
    <mergeCell ref="W195:Z195"/>
    <mergeCell ref="AA195:AF195"/>
    <mergeCell ref="AG195:AK195"/>
    <mergeCell ref="B196:D196"/>
    <mergeCell ref="E196:H196"/>
    <mergeCell ref="J196:L196"/>
    <mergeCell ref="M196:O196"/>
    <mergeCell ref="P196:R196"/>
    <mergeCell ref="S196:V196"/>
    <mergeCell ref="W196:Z196"/>
    <mergeCell ref="B195:D195"/>
    <mergeCell ref="E195:H195"/>
    <mergeCell ref="J195:L195"/>
    <mergeCell ref="M195:O195"/>
    <mergeCell ref="P195:R195"/>
    <mergeCell ref="S195:V195"/>
    <mergeCell ref="AG201:AK201"/>
    <mergeCell ref="B202:D202"/>
    <mergeCell ref="E202:H202"/>
    <mergeCell ref="J202:L202"/>
    <mergeCell ref="M202:O202"/>
    <mergeCell ref="P202:R202"/>
    <mergeCell ref="S202:V202"/>
    <mergeCell ref="W202:Z202"/>
    <mergeCell ref="AA202:AF202"/>
    <mergeCell ref="AG202:AK202"/>
    <mergeCell ref="AA200:AF200"/>
    <mergeCell ref="AG200:AK200"/>
    <mergeCell ref="B201:D201"/>
    <mergeCell ref="E201:H201"/>
    <mergeCell ref="J201:L201"/>
    <mergeCell ref="M201:O201"/>
    <mergeCell ref="P201:R201"/>
    <mergeCell ref="S201:V201"/>
    <mergeCell ref="W201:Z201"/>
    <mergeCell ref="AA201:AF201"/>
    <mergeCell ref="W199:Z199"/>
    <mergeCell ref="AA199:AF199"/>
    <mergeCell ref="AG199:AK199"/>
    <mergeCell ref="B200:D200"/>
    <mergeCell ref="E200:H200"/>
    <mergeCell ref="J200:L200"/>
    <mergeCell ref="M200:O200"/>
    <mergeCell ref="P200:R200"/>
    <mergeCell ref="S200:V200"/>
    <mergeCell ref="W200:Z200"/>
    <mergeCell ref="B199:D199"/>
    <mergeCell ref="E199:H199"/>
    <mergeCell ref="J199:L199"/>
    <mergeCell ref="M199:O199"/>
    <mergeCell ref="P199:R199"/>
    <mergeCell ref="S199:V199"/>
    <mergeCell ref="AG205:AK205"/>
    <mergeCell ref="B206:D206"/>
    <mergeCell ref="E206:H206"/>
    <mergeCell ref="J206:L207"/>
    <mergeCell ref="M206:O206"/>
    <mergeCell ref="P206:R206"/>
    <mergeCell ref="S206:V206"/>
    <mergeCell ref="W206:Z206"/>
    <mergeCell ref="AA206:AF206"/>
    <mergeCell ref="AG206:AK206"/>
    <mergeCell ref="AA204:AF204"/>
    <mergeCell ref="AG204:AK204"/>
    <mergeCell ref="B205:D205"/>
    <mergeCell ref="E205:H205"/>
    <mergeCell ref="J205:L205"/>
    <mergeCell ref="M205:O205"/>
    <mergeCell ref="P205:R205"/>
    <mergeCell ref="S205:V205"/>
    <mergeCell ref="W205:Z205"/>
    <mergeCell ref="AA205:AF205"/>
    <mergeCell ref="W203:Z203"/>
    <mergeCell ref="AA203:AF203"/>
    <mergeCell ref="AG203:AK203"/>
    <mergeCell ref="B204:D204"/>
    <mergeCell ref="E204:H204"/>
    <mergeCell ref="J204:L204"/>
    <mergeCell ref="M204:O204"/>
    <mergeCell ref="P204:R204"/>
    <mergeCell ref="S204:V204"/>
    <mergeCell ref="W204:Z204"/>
    <mergeCell ref="B203:D203"/>
    <mergeCell ref="E203:H203"/>
    <mergeCell ref="J203:L203"/>
    <mergeCell ref="M203:O203"/>
    <mergeCell ref="P203:R203"/>
    <mergeCell ref="S203:V203"/>
    <mergeCell ref="AG211:AK211"/>
    <mergeCell ref="B212:D212"/>
    <mergeCell ref="E212:H212"/>
    <mergeCell ref="J212:L212"/>
    <mergeCell ref="M212:O212"/>
    <mergeCell ref="P212:R212"/>
    <mergeCell ref="S212:V212"/>
    <mergeCell ref="W212:Z212"/>
    <mergeCell ref="AA212:AF212"/>
    <mergeCell ref="AG212:AK212"/>
    <mergeCell ref="AA210:AF210"/>
    <mergeCell ref="AG210:AK210"/>
    <mergeCell ref="B211:D211"/>
    <mergeCell ref="E211:H211"/>
    <mergeCell ref="J211:L211"/>
    <mergeCell ref="M211:O211"/>
    <mergeCell ref="P211:R211"/>
    <mergeCell ref="S211:V211"/>
    <mergeCell ref="W211:Z211"/>
    <mergeCell ref="AA211:AF211"/>
    <mergeCell ref="W208:Z208"/>
    <mergeCell ref="AA208:AF208"/>
    <mergeCell ref="AG208:AK208"/>
    <mergeCell ref="B210:D210"/>
    <mergeCell ref="E210:H210"/>
    <mergeCell ref="J210:L210"/>
    <mergeCell ref="M210:O210"/>
    <mergeCell ref="P210:R210"/>
    <mergeCell ref="S210:V210"/>
    <mergeCell ref="W210:Z210"/>
    <mergeCell ref="B208:D208"/>
    <mergeCell ref="E208:H208"/>
    <mergeCell ref="J208:L209"/>
    <mergeCell ref="M208:O208"/>
    <mergeCell ref="P208:R208"/>
    <mergeCell ref="S208:V208"/>
    <mergeCell ref="AG215:AK215"/>
    <mergeCell ref="B216:D216"/>
    <mergeCell ref="E216:H216"/>
    <mergeCell ref="J216:L216"/>
    <mergeCell ref="M216:O216"/>
    <mergeCell ref="P216:R216"/>
    <mergeCell ref="S216:V216"/>
    <mergeCell ref="W216:Z216"/>
    <mergeCell ref="AA216:AF216"/>
    <mergeCell ref="AG216:AK216"/>
    <mergeCell ref="AA214:AF214"/>
    <mergeCell ref="AG214:AK214"/>
    <mergeCell ref="B215:D215"/>
    <mergeCell ref="E215:H215"/>
    <mergeCell ref="J215:L215"/>
    <mergeCell ref="M215:O215"/>
    <mergeCell ref="P215:R215"/>
    <mergeCell ref="S215:V215"/>
    <mergeCell ref="W215:Z215"/>
    <mergeCell ref="AA215:AF215"/>
    <mergeCell ref="W213:Z213"/>
    <mergeCell ref="AA213:AF213"/>
    <mergeCell ref="AG213:AK213"/>
    <mergeCell ref="B214:D214"/>
    <mergeCell ref="E214:H214"/>
    <mergeCell ref="J214:L214"/>
    <mergeCell ref="M214:O214"/>
    <mergeCell ref="P214:R214"/>
    <mergeCell ref="S214:V214"/>
    <mergeCell ref="W214:Z214"/>
    <mergeCell ref="B213:D213"/>
    <mergeCell ref="E213:H213"/>
    <mergeCell ref="J213:L213"/>
    <mergeCell ref="M213:O213"/>
    <mergeCell ref="P213:R213"/>
    <mergeCell ref="S213:V213"/>
    <mergeCell ref="AG219:AK219"/>
    <mergeCell ref="B220:D220"/>
    <mergeCell ref="E220:H220"/>
    <mergeCell ref="J220:L220"/>
    <mergeCell ref="M220:O220"/>
    <mergeCell ref="P220:R220"/>
    <mergeCell ref="S220:V220"/>
    <mergeCell ref="W220:Z220"/>
    <mergeCell ref="AA220:AF220"/>
    <mergeCell ref="AG220:AK220"/>
    <mergeCell ref="AA218:AF218"/>
    <mergeCell ref="AG218:AK218"/>
    <mergeCell ref="B219:D219"/>
    <mergeCell ref="E219:H219"/>
    <mergeCell ref="J219:L219"/>
    <mergeCell ref="M219:O219"/>
    <mergeCell ref="P219:R219"/>
    <mergeCell ref="S219:V219"/>
    <mergeCell ref="W219:Z219"/>
    <mergeCell ref="AA219:AF219"/>
    <mergeCell ref="W217:Z217"/>
    <mergeCell ref="AA217:AF217"/>
    <mergeCell ref="AG217:AK217"/>
    <mergeCell ref="B218:D218"/>
    <mergeCell ref="E218:H218"/>
    <mergeCell ref="J218:L218"/>
    <mergeCell ref="M218:O218"/>
    <mergeCell ref="P218:R218"/>
    <mergeCell ref="S218:V218"/>
    <mergeCell ref="W218:Z218"/>
    <mergeCell ref="B217:D217"/>
    <mergeCell ref="E217:H217"/>
    <mergeCell ref="J217:L217"/>
    <mergeCell ref="M217:O217"/>
    <mergeCell ref="P217:R217"/>
    <mergeCell ref="S217:V217"/>
    <mergeCell ref="AG223:AK223"/>
    <mergeCell ref="B224:D224"/>
    <mergeCell ref="E224:H224"/>
    <mergeCell ref="J224:L224"/>
    <mergeCell ref="M224:O224"/>
    <mergeCell ref="P224:R224"/>
    <mergeCell ref="S224:V224"/>
    <mergeCell ref="W224:Z224"/>
    <mergeCell ref="AA224:AF224"/>
    <mergeCell ref="AG224:AK224"/>
    <mergeCell ref="AA222:AF222"/>
    <mergeCell ref="AG222:AK222"/>
    <mergeCell ref="B223:D223"/>
    <mergeCell ref="E223:H223"/>
    <mergeCell ref="J223:L223"/>
    <mergeCell ref="M223:O223"/>
    <mergeCell ref="P223:R223"/>
    <mergeCell ref="S223:V223"/>
    <mergeCell ref="W223:Z223"/>
    <mergeCell ref="AA223:AF223"/>
    <mergeCell ref="W221:Z221"/>
    <mergeCell ref="AA221:AF221"/>
    <mergeCell ref="AG221:AK221"/>
    <mergeCell ref="B222:D222"/>
    <mergeCell ref="E222:H222"/>
    <mergeCell ref="J222:L222"/>
    <mergeCell ref="M222:O222"/>
    <mergeCell ref="P222:R222"/>
    <mergeCell ref="S222:V222"/>
    <mergeCell ref="W222:Z222"/>
    <mergeCell ref="B221:D221"/>
    <mergeCell ref="E221:H221"/>
    <mergeCell ref="J221:L221"/>
    <mergeCell ref="M221:O221"/>
    <mergeCell ref="P221:R221"/>
    <mergeCell ref="S221:V221"/>
    <mergeCell ref="AG227:AK227"/>
    <mergeCell ref="B228:D228"/>
    <mergeCell ref="E228:H228"/>
    <mergeCell ref="J228:L228"/>
    <mergeCell ref="M228:O228"/>
    <mergeCell ref="P228:R228"/>
    <mergeCell ref="S228:V228"/>
    <mergeCell ref="W228:Z228"/>
    <mergeCell ref="AA228:AF228"/>
    <mergeCell ref="AG228:AK228"/>
    <mergeCell ref="AA226:AF226"/>
    <mergeCell ref="AG226:AK226"/>
    <mergeCell ref="B227:D227"/>
    <mergeCell ref="E227:H227"/>
    <mergeCell ref="J227:L227"/>
    <mergeCell ref="M227:O227"/>
    <mergeCell ref="P227:R227"/>
    <mergeCell ref="S227:V227"/>
    <mergeCell ref="W227:Z227"/>
    <mergeCell ref="AA227:AF227"/>
    <mergeCell ref="W225:Z225"/>
    <mergeCell ref="AA225:AF225"/>
    <mergeCell ref="AG225:AK225"/>
    <mergeCell ref="B226:D226"/>
    <mergeCell ref="E226:H226"/>
    <mergeCell ref="J226:L226"/>
    <mergeCell ref="M226:O226"/>
    <mergeCell ref="P226:R226"/>
    <mergeCell ref="S226:V226"/>
    <mergeCell ref="W226:Z226"/>
    <mergeCell ref="B225:D225"/>
    <mergeCell ref="E225:H225"/>
    <mergeCell ref="J225:L225"/>
    <mergeCell ref="M225:O225"/>
    <mergeCell ref="P225:R225"/>
    <mergeCell ref="S225:V225"/>
    <mergeCell ref="AG231:AK231"/>
    <mergeCell ref="B232:D232"/>
    <mergeCell ref="E232:H232"/>
    <mergeCell ref="J232:L232"/>
    <mergeCell ref="M232:O232"/>
    <mergeCell ref="P232:R232"/>
    <mergeCell ref="S232:V232"/>
    <mergeCell ref="W232:Z232"/>
    <mergeCell ref="AA232:AF232"/>
    <mergeCell ref="AG232:AK232"/>
    <mergeCell ref="AA230:AF230"/>
    <mergeCell ref="AG230:AK230"/>
    <mergeCell ref="B231:D231"/>
    <mergeCell ref="E231:H231"/>
    <mergeCell ref="J231:L231"/>
    <mergeCell ref="M231:O231"/>
    <mergeCell ref="P231:R231"/>
    <mergeCell ref="S231:V231"/>
    <mergeCell ref="W231:Z231"/>
    <mergeCell ref="AA231:AF231"/>
    <mergeCell ref="W229:Z229"/>
    <mergeCell ref="AA229:AF229"/>
    <mergeCell ref="AG229:AK229"/>
    <mergeCell ref="B230:D230"/>
    <mergeCell ref="E230:H230"/>
    <mergeCell ref="J230:L230"/>
    <mergeCell ref="M230:O230"/>
    <mergeCell ref="P230:R230"/>
    <mergeCell ref="S230:V230"/>
    <mergeCell ref="W230:Z230"/>
    <mergeCell ref="B229:D229"/>
    <mergeCell ref="E229:H229"/>
    <mergeCell ref="J229:L229"/>
    <mergeCell ref="M229:O229"/>
    <mergeCell ref="P229:R229"/>
    <mergeCell ref="S229:V229"/>
    <mergeCell ref="AG235:AK235"/>
    <mergeCell ref="B236:D236"/>
    <mergeCell ref="E236:H236"/>
    <mergeCell ref="J236:L236"/>
    <mergeCell ref="M236:O236"/>
    <mergeCell ref="P236:R236"/>
    <mergeCell ref="S236:V236"/>
    <mergeCell ref="W236:Z236"/>
    <mergeCell ref="AA236:AF236"/>
    <mergeCell ref="AG236:AK236"/>
    <mergeCell ref="AA234:AF234"/>
    <mergeCell ref="AG234:AK234"/>
    <mergeCell ref="B235:D235"/>
    <mergeCell ref="E235:H235"/>
    <mergeCell ref="J235:L235"/>
    <mergeCell ref="M235:O235"/>
    <mergeCell ref="P235:R235"/>
    <mergeCell ref="S235:V235"/>
    <mergeCell ref="W235:Z235"/>
    <mergeCell ref="AA235:AF235"/>
    <mergeCell ref="W233:Z233"/>
    <mergeCell ref="AA233:AF233"/>
    <mergeCell ref="AG233:AK233"/>
    <mergeCell ref="B234:D234"/>
    <mergeCell ref="E234:H234"/>
    <mergeCell ref="J234:L234"/>
    <mergeCell ref="M234:O234"/>
    <mergeCell ref="P234:R234"/>
    <mergeCell ref="S234:V234"/>
    <mergeCell ref="W234:Z234"/>
    <mergeCell ref="B233:D233"/>
    <mergeCell ref="E233:H233"/>
    <mergeCell ref="J233:L233"/>
    <mergeCell ref="M233:O233"/>
    <mergeCell ref="P233:R233"/>
    <mergeCell ref="S233:V233"/>
    <mergeCell ref="AH249:AK249"/>
    <mergeCell ref="B250:D250"/>
    <mergeCell ref="E250:H250"/>
    <mergeCell ref="J250:L250"/>
    <mergeCell ref="M250:O250"/>
    <mergeCell ref="P250:R250"/>
    <mergeCell ref="S250:V250"/>
    <mergeCell ref="W250:Z250"/>
    <mergeCell ref="AA250:AF250"/>
    <mergeCell ref="AG250:AK250"/>
    <mergeCell ref="O248:Q248"/>
    <mergeCell ref="V248:Y248"/>
    <mergeCell ref="AD248:AJ248"/>
    <mergeCell ref="B249:D249"/>
    <mergeCell ref="E249:G249"/>
    <mergeCell ref="J249:N249"/>
    <mergeCell ref="Q249:R249"/>
    <mergeCell ref="U249:V249"/>
    <mergeCell ref="X249:Z249"/>
    <mergeCell ref="AC249:AF249"/>
    <mergeCell ref="C244:J245"/>
    <mergeCell ref="K244:X244"/>
    <mergeCell ref="Y244:AG245"/>
    <mergeCell ref="AH244:AL245"/>
    <mergeCell ref="K245:X245"/>
    <mergeCell ref="C246:F246"/>
    <mergeCell ref="G246:AE247"/>
    <mergeCell ref="AF246:AG247"/>
    <mergeCell ref="AH246:AI247"/>
    <mergeCell ref="W237:Z237"/>
    <mergeCell ref="AA237:AF237"/>
    <mergeCell ref="AG237:AK237"/>
    <mergeCell ref="AG239:AL239"/>
    <mergeCell ref="D240:AH240"/>
    <mergeCell ref="A241:I243"/>
    <mergeCell ref="J241:AH241"/>
    <mergeCell ref="J242:AF242"/>
    <mergeCell ref="J243:AE243"/>
    <mergeCell ref="B237:D237"/>
    <mergeCell ref="E237:H237"/>
    <mergeCell ref="J237:L237"/>
    <mergeCell ref="M237:O237"/>
    <mergeCell ref="P237:R237"/>
    <mergeCell ref="S237:V237"/>
    <mergeCell ref="AG253:AK253"/>
    <mergeCell ref="B254:D254"/>
    <mergeCell ref="E254:H254"/>
    <mergeCell ref="J254:L254"/>
    <mergeCell ref="M254:O254"/>
    <mergeCell ref="P254:R254"/>
    <mergeCell ref="S254:V254"/>
    <mergeCell ref="W254:Z254"/>
    <mergeCell ref="AA254:AF254"/>
    <mergeCell ref="AG254:AK254"/>
    <mergeCell ref="AA252:AF252"/>
    <mergeCell ref="AG252:AK252"/>
    <mergeCell ref="B253:D253"/>
    <mergeCell ref="E253:H253"/>
    <mergeCell ref="J253:L253"/>
    <mergeCell ref="M253:O253"/>
    <mergeCell ref="P253:R253"/>
    <mergeCell ref="S253:V253"/>
    <mergeCell ref="W253:Z253"/>
    <mergeCell ref="AA253:AF253"/>
    <mergeCell ref="W251:Z251"/>
    <mergeCell ref="AA251:AF251"/>
    <mergeCell ref="AG251:AK251"/>
    <mergeCell ref="B252:D252"/>
    <mergeCell ref="E252:H252"/>
    <mergeCell ref="J252:L252"/>
    <mergeCell ref="M252:O252"/>
    <mergeCell ref="P252:R252"/>
    <mergeCell ref="S252:V252"/>
    <mergeCell ref="W252:Z252"/>
    <mergeCell ref="B251:D251"/>
    <mergeCell ref="E251:H251"/>
    <mergeCell ref="J251:L251"/>
    <mergeCell ref="M251:O251"/>
    <mergeCell ref="P251:R251"/>
    <mergeCell ref="S251:V251"/>
    <mergeCell ref="AG257:AK257"/>
    <mergeCell ref="B258:D258"/>
    <mergeCell ref="E258:H258"/>
    <mergeCell ref="J258:L258"/>
    <mergeCell ref="M258:O258"/>
    <mergeCell ref="P258:R258"/>
    <mergeCell ref="S258:V258"/>
    <mergeCell ref="W258:Z258"/>
    <mergeCell ref="AA258:AF258"/>
    <mergeCell ref="AG258:AK258"/>
    <mergeCell ref="AA256:AF256"/>
    <mergeCell ref="AG256:AK256"/>
    <mergeCell ref="B257:D257"/>
    <mergeCell ref="E257:H257"/>
    <mergeCell ref="J257:L257"/>
    <mergeCell ref="M257:O257"/>
    <mergeCell ref="P257:R257"/>
    <mergeCell ref="S257:V257"/>
    <mergeCell ref="W257:Z257"/>
    <mergeCell ref="AA257:AF257"/>
    <mergeCell ref="W255:Z255"/>
    <mergeCell ref="AA255:AF255"/>
    <mergeCell ref="AG255:AK255"/>
    <mergeCell ref="B256:D256"/>
    <mergeCell ref="E256:H256"/>
    <mergeCell ref="J256:L256"/>
    <mergeCell ref="M256:O256"/>
    <mergeCell ref="P256:R256"/>
    <mergeCell ref="S256:V256"/>
    <mergeCell ref="W256:Z256"/>
    <mergeCell ref="B255:D255"/>
    <mergeCell ref="E255:H255"/>
    <mergeCell ref="J255:L255"/>
    <mergeCell ref="M255:O255"/>
    <mergeCell ref="P255:R255"/>
    <mergeCell ref="S255:V255"/>
    <mergeCell ref="AG261:AK261"/>
    <mergeCell ref="B262:D262"/>
    <mergeCell ref="E262:H262"/>
    <mergeCell ref="J262:L262"/>
    <mergeCell ref="M262:O262"/>
    <mergeCell ref="P262:R262"/>
    <mergeCell ref="S262:V262"/>
    <mergeCell ref="W262:Z262"/>
    <mergeCell ref="AA262:AF262"/>
    <mergeCell ref="AG262:AK262"/>
    <mergeCell ref="AA260:AF260"/>
    <mergeCell ref="AG260:AK260"/>
    <mergeCell ref="B261:D261"/>
    <mergeCell ref="E261:H261"/>
    <mergeCell ref="J261:L261"/>
    <mergeCell ref="M261:O261"/>
    <mergeCell ref="P261:R261"/>
    <mergeCell ref="S261:V261"/>
    <mergeCell ref="W261:Z261"/>
    <mergeCell ref="AA261:AF261"/>
    <mergeCell ref="W259:Z259"/>
    <mergeCell ref="AA259:AF259"/>
    <mergeCell ref="AG259:AK259"/>
    <mergeCell ref="B260:D260"/>
    <mergeCell ref="E260:H260"/>
    <mergeCell ref="J260:L260"/>
    <mergeCell ref="M260:O260"/>
    <mergeCell ref="P260:R260"/>
    <mergeCell ref="S260:V260"/>
    <mergeCell ref="W260:Z260"/>
    <mergeCell ref="B259:D259"/>
    <mergeCell ref="E259:H259"/>
    <mergeCell ref="J259:L259"/>
    <mergeCell ref="M259:O259"/>
    <mergeCell ref="P259:R259"/>
    <mergeCell ref="S259:V259"/>
    <mergeCell ref="AG265:AK265"/>
    <mergeCell ref="B266:D266"/>
    <mergeCell ref="E266:H266"/>
    <mergeCell ref="J266:L266"/>
    <mergeCell ref="M266:O266"/>
    <mergeCell ref="P266:R266"/>
    <mergeCell ref="S266:V266"/>
    <mergeCell ref="W266:Z266"/>
    <mergeCell ref="AA266:AF266"/>
    <mergeCell ref="AG266:AK266"/>
    <mergeCell ref="AA264:AF264"/>
    <mergeCell ref="AG264:AK264"/>
    <mergeCell ref="B265:D265"/>
    <mergeCell ref="E265:H265"/>
    <mergeCell ref="J265:L265"/>
    <mergeCell ref="M265:O265"/>
    <mergeCell ref="P265:R265"/>
    <mergeCell ref="S265:V265"/>
    <mergeCell ref="W265:Z265"/>
    <mergeCell ref="AA265:AF265"/>
    <mergeCell ref="W263:Z263"/>
    <mergeCell ref="AA263:AF263"/>
    <mergeCell ref="AG263:AK263"/>
    <mergeCell ref="B264:D264"/>
    <mergeCell ref="E264:H264"/>
    <mergeCell ref="J264:L264"/>
    <mergeCell ref="M264:O264"/>
    <mergeCell ref="P264:R264"/>
    <mergeCell ref="S264:V264"/>
    <mergeCell ref="W264:Z264"/>
    <mergeCell ref="B263:D263"/>
    <mergeCell ref="E263:H263"/>
    <mergeCell ref="J263:L263"/>
    <mergeCell ref="M263:O263"/>
    <mergeCell ref="P263:R263"/>
    <mergeCell ref="S263:V263"/>
    <mergeCell ref="AG269:AK269"/>
    <mergeCell ref="B270:D270"/>
    <mergeCell ref="E270:H270"/>
    <mergeCell ref="J270:L270"/>
    <mergeCell ref="M270:O270"/>
    <mergeCell ref="P270:R270"/>
    <mergeCell ref="S270:V270"/>
    <mergeCell ref="W270:Z270"/>
    <mergeCell ref="AA270:AF270"/>
    <mergeCell ref="AG270:AK270"/>
    <mergeCell ref="AA268:AF268"/>
    <mergeCell ref="AG268:AK268"/>
    <mergeCell ref="B269:D269"/>
    <mergeCell ref="E269:H269"/>
    <mergeCell ref="J269:L269"/>
    <mergeCell ref="M269:O269"/>
    <mergeCell ref="P269:R269"/>
    <mergeCell ref="S269:V269"/>
    <mergeCell ref="W269:Z269"/>
    <mergeCell ref="AA269:AF269"/>
    <mergeCell ref="W267:Z267"/>
    <mergeCell ref="AA267:AF267"/>
    <mergeCell ref="AG267:AK267"/>
    <mergeCell ref="B268:D268"/>
    <mergeCell ref="E268:H268"/>
    <mergeCell ref="J268:L268"/>
    <mergeCell ref="M268:O268"/>
    <mergeCell ref="P268:R268"/>
    <mergeCell ref="S268:V268"/>
    <mergeCell ref="W268:Z268"/>
    <mergeCell ref="B267:D267"/>
    <mergeCell ref="E267:H267"/>
    <mergeCell ref="J267:L267"/>
    <mergeCell ref="M267:O267"/>
    <mergeCell ref="P267:R267"/>
    <mergeCell ref="S267:V267"/>
    <mergeCell ref="AG273:AK273"/>
    <mergeCell ref="B274:D274"/>
    <mergeCell ref="E274:H274"/>
    <mergeCell ref="J274:L274"/>
    <mergeCell ref="M274:O274"/>
    <mergeCell ref="P274:R274"/>
    <mergeCell ref="S274:V274"/>
    <mergeCell ref="W274:Z274"/>
    <mergeCell ref="AA274:AF274"/>
    <mergeCell ref="AG274:AK274"/>
    <mergeCell ref="AA272:AF272"/>
    <mergeCell ref="AG272:AK272"/>
    <mergeCell ref="B273:D273"/>
    <mergeCell ref="E273:H273"/>
    <mergeCell ref="J273:L273"/>
    <mergeCell ref="M273:O273"/>
    <mergeCell ref="P273:R273"/>
    <mergeCell ref="S273:V273"/>
    <mergeCell ref="W273:Z273"/>
    <mergeCell ref="AA273:AF273"/>
    <mergeCell ref="W271:Z271"/>
    <mergeCell ref="AA271:AF271"/>
    <mergeCell ref="AG271:AK271"/>
    <mergeCell ref="B272:D272"/>
    <mergeCell ref="E272:H272"/>
    <mergeCell ref="J272:L272"/>
    <mergeCell ref="M272:O272"/>
    <mergeCell ref="P272:R272"/>
    <mergeCell ref="S272:V272"/>
    <mergeCell ref="W272:Z272"/>
    <mergeCell ref="B271:D271"/>
    <mergeCell ref="E271:H271"/>
    <mergeCell ref="J271:L271"/>
    <mergeCell ref="M271:O271"/>
    <mergeCell ref="P271:R271"/>
    <mergeCell ref="S271:V271"/>
    <mergeCell ref="AG278:AK278"/>
    <mergeCell ref="B279:D279"/>
    <mergeCell ref="E279:H279"/>
    <mergeCell ref="J279:L279"/>
    <mergeCell ref="M279:O279"/>
    <mergeCell ref="P279:R279"/>
    <mergeCell ref="S279:V279"/>
    <mergeCell ref="W279:Z279"/>
    <mergeCell ref="AA279:AF279"/>
    <mergeCell ref="AG279:AK279"/>
    <mergeCell ref="AA277:AF277"/>
    <mergeCell ref="AG277:AK277"/>
    <mergeCell ref="B278:D278"/>
    <mergeCell ref="E278:H278"/>
    <mergeCell ref="J278:L278"/>
    <mergeCell ref="M278:O278"/>
    <mergeCell ref="P278:R278"/>
    <mergeCell ref="S278:V278"/>
    <mergeCell ref="W278:Z278"/>
    <mergeCell ref="AA278:AF278"/>
    <mergeCell ref="W275:Z275"/>
    <mergeCell ref="AA275:AF275"/>
    <mergeCell ref="AG275:AK275"/>
    <mergeCell ref="B277:D277"/>
    <mergeCell ref="E277:H277"/>
    <mergeCell ref="J277:L277"/>
    <mergeCell ref="M277:O277"/>
    <mergeCell ref="P277:R277"/>
    <mergeCell ref="S277:V277"/>
    <mergeCell ref="W277:Z277"/>
    <mergeCell ref="B275:D275"/>
    <mergeCell ref="E275:H275"/>
    <mergeCell ref="J275:L276"/>
    <mergeCell ref="M275:O275"/>
    <mergeCell ref="P275:R275"/>
    <mergeCell ref="S275:V275"/>
    <mergeCell ref="AG282:AK282"/>
    <mergeCell ref="B283:D283"/>
    <mergeCell ref="E283:H283"/>
    <mergeCell ref="J283:L283"/>
    <mergeCell ref="M283:O283"/>
    <mergeCell ref="P283:R283"/>
    <mergeCell ref="S283:V283"/>
    <mergeCell ref="W283:Z283"/>
    <mergeCell ref="AA283:AF283"/>
    <mergeCell ref="AG283:AK283"/>
    <mergeCell ref="AA281:AF281"/>
    <mergeCell ref="AG281:AK281"/>
    <mergeCell ref="B282:D282"/>
    <mergeCell ref="E282:H282"/>
    <mergeCell ref="J282:L282"/>
    <mergeCell ref="M282:O282"/>
    <mergeCell ref="P282:R282"/>
    <mergeCell ref="S282:V282"/>
    <mergeCell ref="W282:Z282"/>
    <mergeCell ref="AA282:AF282"/>
    <mergeCell ref="W280:Z280"/>
    <mergeCell ref="AA280:AF280"/>
    <mergeCell ref="AG280:AK280"/>
    <mergeCell ref="B281:D281"/>
    <mergeCell ref="E281:H281"/>
    <mergeCell ref="J281:L281"/>
    <mergeCell ref="M281:O281"/>
    <mergeCell ref="P281:R281"/>
    <mergeCell ref="S281:V281"/>
    <mergeCell ref="W281:Z281"/>
    <mergeCell ref="B280:D280"/>
    <mergeCell ref="E280:H280"/>
    <mergeCell ref="J280:L280"/>
    <mergeCell ref="M280:O280"/>
    <mergeCell ref="P280:R280"/>
    <mergeCell ref="S280:V280"/>
    <mergeCell ref="AG287:AK287"/>
    <mergeCell ref="B288:D288"/>
    <mergeCell ref="E288:H288"/>
    <mergeCell ref="J288:L288"/>
    <mergeCell ref="M288:O288"/>
    <mergeCell ref="P288:R288"/>
    <mergeCell ref="S288:V288"/>
    <mergeCell ref="W288:Z288"/>
    <mergeCell ref="AA288:AF288"/>
    <mergeCell ref="AG288:AK288"/>
    <mergeCell ref="AA286:AF286"/>
    <mergeCell ref="AG286:AK286"/>
    <mergeCell ref="B287:D287"/>
    <mergeCell ref="E287:H287"/>
    <mergeCell ref="J287:L287"/>
    <mergeCell ref="M287:O287"/>
    <mergeCell ref="P287:R287"/>
    <mergeCell ref="S287:V287"/>
    <mergeCell ref="W287:Z287"/>
    <mergeCell ref="AA287:AF287"/>
    <mergeCell ref="W284:Z284"/>
    <mergeCell ref="AA284:AF284"/>
    <mergeCell ref="AG284:AK284"/>
    <mergeCell ref="B286:D286"/>
    <mergeCell ref="E286:H286"/>
    <mergeCell ref="J286:L286"/>
    <mergeCell ref="M286:O286"/>
    <mergeCell ref="P286:R286"/>
    <mergeCell ref="S286:V286"/>
    <mergeCell ref="W286:Z286"/>
    <mergeCell ref="B284:D284"/>
    <mergeCell ref="E284:H284"/>
    <mergeCell ref="J284:L285"/>
    <mergeCell ref="M284:O284"/>
    <mergeCell ref="P284:R284"/>
    <mergeCell ref="S284:V284"/>
    <mergeCell ref="AG291:AK291"/>
    <mergeCell ref="B292:D292"/>
    <mergeCell ref="E292:H292"/>
    <mergeCell ref="J292:L292"/>
    <mergeCell ref="M292:O292"/>
    <mergeCell ref="P292:R292"/>
    <mergeCell ref="S292:V292"/>
    <mergeCell ref="W292:Z292"/>
    <mergeCell ref="AA292:AF292"/>
    <mergeCell ref="AG292:AK292"/>
    <mergeCell ref="AA290:AF290"/>
    <mergeCell ref="AG290:AK290"/>
    <mergeCell ref="B291:D291"/>
    <mergeCell ref="E291:H291"/>
    <mergeCell ref="J291:L291"/>
    <mergeCell ref="M291:O291"/>
    <mergeCell ref="P291:R291"/>
    <mergeCell ref="S291:V291"/>
    <mergeCell ref="W291:Z291"/>
    <mergeCell ref="AA291:AF291"/>
    <mergeCell ref="W289:Z289"/>
    <mergeCell ref="AA289:AF289"/>
    <mergeCell ref="AG289:AK289"/>
    <mergeCell ref="B290:D290"/>
    <mergeCell ref="E290:H290"/>
    <mergeCell ref="J290:L290"/>
    <mergeCell ref="M290:O290"/>
    <mergeCell ref="P290:R290"/>
    <mergeCell ref="S290:V290"/>
    <mergeCell ref="W290:Z290"/>
    <mergeCell ref="B289:D289"/>
    <mergeCell ref="E289:H289"/>
    <mergeCell ref="J289:L289"/>
    <mergeCell ref="M289:O289"/>
    <mergeCell ref="P289:R289"/>
    <mergeCell ref="S289:V289"/>
    <mergeCell ref="AG295:AK295"/>
    <mergeCell ref="B296:D296"/>
    <mergeCell ref="E296:H296"/>
    <mergeCell ref="J296:L297"/>
    <mergeCell ref="M296:O296"/>
    <mergeCell ref="P296:R296"/>
    <mergeCell ref="S296:V296"/>
    <mergeCell ref="W296:Z296"/>
    <mergeCell ref="AA296:AF296"/>
    <mergeCell ref="AG296:AK296"/>
    <mergeCell ref="AA294:AF294"/>
    <mergeCell ref="AG294:AK294"/>
    <mergeCell ref="B295:D295"/>
    <mergeCell ref="E295:H295"/>
    <mergeCell ref="J295:L295"/>
    <mergeCell ref="M295:O295"/>
    <mergeCell ref="P295:R295"/>
    <mergeCell ref="S295:V295"/>
    <mergeCell ref="W295:Z295"/>
    <mergeCell ref="AA295:AF295"/>
    <mergeCell ref="W293:Z293"/>
    <mergeCell ref="AA293:AF293"/>
    <mergeCell ref="AG293:AK293"/>
    <mergeCell ref="B294:D294"/>
    <mergeCell ref="E294:H294"/>
    <mergeCell ref="J294:L294"/>
    <mergeCell ref="M294:O294"/>
    <mergeCell ref="P294:R294"/>
    <mergeCell ref="S294:V294"/>
    <mergeCell ref="W294:Z294"/>
    <mergeCell ref="B293:D293"/>
    <mergeCell ref="E293:H293"/>
    <mergeCell ref="J293:L293"/>
    <mergeCell ref="M293:O293"/>
    <mergeCell ref="P293:R293"/>
    <mergeCell ref="S293:V293"/>
    <mergeCell ref="AH309:AK309"/>
    <mergeCell ref="B310:D310"/>
    <mergeCell ref="E310:H310"/>
    <mergeCell ref="J310:L310"/>
    <mergeCell ref="M310:O310"/>
    <mergeCell ref="P310:R310"/>
    <mergeCell ref="S310:V310"/>
    <mergeCell ref="W310:Z310"/>
    <mergeCell ref="AA310:AF310"/>
    <mergeCell ref="AG310:AK310"/>
    <mergeCell ref="O308:Q308"/>
    <mergeCell ref="V308:Y308"/>
    <mergeCell ref="AD308:AJ308"/>
    <mergeCell ref="B309:D309"/>
    <mergeCell ref="E309:G309"/>
    <mergeCell ref="J309:N309"/>
    <mergeCell ref="Q309:R309"/>
    <mergeCell ref="U309:V309"/>
    <mergeCell ref="X309:Z309"/>
    <mergeCell ref="AC309:AF309"/>
    <mergeCell ref="C304:J305"/>
    <mergeCell ref="K304:X304"/>
    <mergeCell ref="Y304:AG305"/>
    <mergeCell ref="AH304:AL305"/>
    <mergeCell ref="K305:X305"/>
    <mergeCell ref="C306:F306"/>
    <mergeCell ref="G306:AE307"/>
    <mergeCell ref="AF306:AG307"/>
    <mergeCell ref="AH306:AI307"/>
    <mergeCell ref="AG299:AL299"/>
    <mergeCell ref="D300:AH300"/>
    <mergeCell ref="A301:I303"/>
    <mergeCell ref="J301:AH301"/>
    <mergeCell ref="J302:AF302"/>
    <mergeCell ref="J303:AE303"/>
    <mergeCell ref="AG313:AK313"/>
    <mergeCell ref="B314:D314"/>
    <mergeCell ref="E314:H314"/>
    <mergeCell ref="J314:L314"/>
    <mergeCell ref="M314:O314"/>
    <mergeCell ref="P314:R314"/>
    <mergeCell ref="S314:V314"/>
    <mergeCell ref="W314:Z314"/>
    <mergeCell ref="AA314:AF314"/>
    <mergeCell ref="AG314:AK314"/>
    <mergeCell ref="AA312:AF312"/>
    <mergeCell ref="AG312:AK312"/>
    <mergeCell ref="B313:D313"/>
    <mergeCell ref="E313:H313"/>
    <mergeCell ref="J313:L313"/>
    <mergeCell ref="M313:O313"/>
    <mergeCell ref="P313:R313"/>
    <mergeCell ref="S313:V313"/>
    <mergeCell ref="W313:Z313"/>
    <mergeCell ref="AA313:AF313"/>
    <mergeCell ref="W311:Z311"/>
    <mergeCell ref="AA311:AF311"/>
    <mergeCell ref="AG311:AK311"/>
    <mergeCell ref="B312:D312"/>
    <mergeCell ref="E312:H312"/>
    <mergeCell ref="J312:L312"/>
    <mergeCell ref="M312:O312"/>
    <mergeCell ref="P312:R312"/>
    <mergeCell ref="S312:V312"/>
    <mergeCell ref="W312:Z312"/>
    <mergeCell ref="B311:D311"/>
    <mergeCell ref="E311:H311"/>
    <mergeCell ref="J311:L311"/>
    <mergeCell ref="M311:O311"/>
    <mergeCell ref="P311:R311"/>
    <mergeCell ref="S311:V311"/>
    <mergeCell ref="AG317:AK317"/>
    <mergeCell ref="B318:D318"/>
    <mergeCell ref="E318:H318"/>
    <mergeCell ref="J318:L318"/>
    <mergeCell ref="M318:O318"/>
    <mergeCell ref="P318:R318"/>
    <mergeCell ref="S318:V318"/>
    <mergeCell ref="W318:Z318"/>
    <mergeCell ref="AA318:AF318"/>
    <mergeCell ref="AG318:AK318"/>
    <mergeCell ref="AA316:AF316"/>
    <mergeCell ref="AG316:AK316"/>
    <mergeCell ref="B317:D317"/>
    <mergeCell ref="E317:H317"/>
    <mergeCell ref="J317:L317"/>
    <mergeCell ref="M317:O317"/>
    <mergeCell ref="P317:R317"/>
    <mergeCell ref="S317:V317"/>
    <mergeCell ref="W317:Z317"/>
    <mergeCell ref="AA317:AF317"/>
    <mergeCell ref="W315:Z315"/>
    <mergeCell ref="AA315:AF315"/>
    <mergeCell ref="AG315:AK315"/>
    <mergeCell ref="B316:D316"/>
    <mergeCell ref="E316:H316"/>
    <mergeCell ref="J316:L316"/>
    <mergeCell ref="M316:O316"/>
    <mergeCell ref="P316:R316"/>
    <mergeCell ref="S316:V316"/>
    <mergeCell ref="W316:Z316"/>
    <mergeCell ref="B315:D315"/>
    <mergeCell ref="E315:H315"/>
    <mergeCell ref="J315:L315"/>
    <mergeCell ref="M315:O315"/>
    <mergeCell ref="P315:R315"/>
    <mergeCell ref="S315:V315"/>
    <mergeCell ref="AG321:AK321"/>
    <mergeCell ref="B322:D322"/>
    <mergeCell ref="E322:H322"/>
    <mergeCell ref="J322:L322"/>
    <mergeCell ref="M322:O322"/>
    <mergeCell ref="P322:R322"/>
    <mergeCell ref="S322:V322"/>
    <mergeCell ref="W322:Z322"/>
    <mergeCell ref="AA322:AF322"/>
    <mergeCell ref="AG322:AK322"/>
    <mergeCell ref="AA320:AF320"/>
    <mergeCell ref="AG320:AK320"/>
    <mergeCell ref="B321:D321"/>
    <mergeCell ref="E321:H321"/>
    <mergeCell ref="J321:L321"/>
    <mergeCell ref="M321:O321"/>
    <mergeCell ref="P321:R321"/>
    <mergeCell ref="S321:V321"/>
    <mergeCell ref="W321:Z321"/>
    <mergeCell ref="AA321:AF321"/>
    <mergeCell ref="W319:Z319"/>
    <mergeCell ref="AA319:AF319"/>
    <mergeCell ref="AG319:AK319"/>
    <mergeCell ref="B320:D320"/>
    <mergeCell ref="E320:H320"/>
    <mergeCell ref="J320:L320"/>
    <mergeCell ref="M320:O320"/>
    <mergeCell ref="P320:R320"/>
    <mergeCell ref="S320:V320"/>
    <mergeCell ref="W320:Z320"/>
    <mergeCell ref="B319:D319"/>
    <mergeCell ref="E319:H319"/>
    <mergeCell ref="J319:L319"/>
    <mergeCell ref="M319:O319"/>
    <mergeCell ref="P319:R319"/>
    <mergeCell ref="S319:V319"/>
    <mergeCell ref="AG325:AK325"/>
    <mergeCell ref="B326:D326"/>
    <mergeCell ref="E326:H326"/>
    <mergeCell ref="J326:L326"/>
    <mergeCell ref="M326:O326"/>
    <mergeCell ref="P326:R326"/>
    <mergeCell ref="S326:V326"/>
    <mergeCell ref="W326:Z326"/>
    <mergeCell ref="AA326:AF326"/>
    <mergeCell ref="AG326:AK326"/>
    <mergeCell ref="AA324:AF324"/>
    <mergeCell ref="AG324:AK324"/>
    <mergeCell ref="B325:D325"/>
    <mergeCell ref="E325:H325"/>
    <mergeCell ref="J325:L325"/>
    <mergeCell ref="M325:O325"/>
    <mergeCell ref="P325:R325"/>
    <mergeCell ref="S325:V325"/>
    <mergeCell ref="W325:Z325"/>
    <mergeCell ref="AA325:AF325"/>
    <mergeCell ref="W323:Z323"/>
    <mergeCell ref="AA323:AF323"/>
    <mergeCell ref="AG323:AK323"/>
    <mergeCell ref="B324:D324"/>
    <mergeCell ref="E324:H324"/>
    <mergeCell ref="J324:L324"/>
    <mergeCell ref="M324:O324"/>
    <mergeCell ref="P324:R324"/>
    <mergeCell ref="S324:V324"/>
    <mergeCell ref="W324:Z324"/>
    <mergeCell ref="B323:D323"/>
    <mergeCell ref="E323:H323"/>
    <mergeCell ref="J323:L323"/>
    <mergeCell ref="M323:O323"/>
    <mergeCell ref="P323:R323"/>
    <mergeCell ref="S323:V323"/>
    <mergeCell ref="AG329:AK329"/>
    <mergeCell ref="B330:D330"/>
    <mergeCell ref="E330:H330"/>
    <mergeCell ref="J330:L330"/>
    <mergeCell ref="M330:O330"/>
    <mergeCell ref="P330:R330"/>
    <mergeCell ref="S330:V330"/>
    <mergeCell ref="W330:Z330"/>
    <mergeCell ref="AA330:AF330"/>
    <mergeCell ref="AG330:AK330"/>
    <mergeCell ref="AA328:AF328"/>
    <mergeCell ref="AG328:AK328"/>
    <mergeCell ref="B329:D329"/>
    <mergeCell ref="E329:H329"/>
    <mergeCell ref="J329:L329"/>
    <mergeCell ref="M329:O329"/>
    <mergeCell ref="P329:R329"/>
    <mergeCell ref="S329:V329"/>
    <mergeCell ref="W329:Z329"/>
    <mergeCell ref="AA329:AF329"/>
    <mergeCell ref="W327:Z327"/>
    <mergeCell ref="AA327:AF327"/>
    <mergeCell ref="AG327:AK327"/>
    <mergeCell ref="B328:D328"/>
    <mergeCell ref="E328:H328"/>
    <mergeCell ref="J328:L328"/>
    <mergeCell ref="M328:O328"/>
    <mergeCell ref="P328:R328"/>
    <mergeCell ref="S328:V328"/>
    <mergeCell ref="W328:Z328"/>
    <mergeCell ref="B327:D327"/>
    <mergeCell ref="E327:H327"/>
    <mergeCell ref="J327:L327"/>
    <mergeCell ref="M327:O327"/>
    <mergeCell ref="P327:R327"/>
    <mergeCell ref="S327:V327"/>
    <mergeCell ref="AG333:AK333"/>
    <mergeCell ref="B334:D334"/>
    <mergeCell ref="E334:H334"/>
    <mergeCell ref="J334:L334"/>
    <mergeCell ref="M334:O334"/>
    <mergeCell ref="P334:R334"/>
    <mergeCell ref="S334:V334"/>
    <mergeCell ref="W334:Z334"/>
    <mergeCell ref="AA334:AF334"/>
    <mergeCell ref="AG334:AK334"/>
    <mergeCell ref="AA332:AF332"/>
    <mergeCell ref="AG332:AK332"/>
    <mergeCell ref="B333:D333"/>
    <mergeCell ref="E333:H333"/>
    <mergeCell ref="J333:L333"/>
    <mergeCell ref="M333:O333"/>
    <mergeCell ref="P333:R333"/>
    <mergeCell ref="S333:V333"/>
    <mergeCell ref="W333:Z333"/>
    <mergeCell ref="AA333:AF333"/>
    <mergeCell ref="W331:Z331"/>
    <mergeCell ref="AA331:AF331"/>
    <mergeCell ref="AG331:AK331"/>
    <mergeCell ref="B332:D332"/>
    <mergeCell ref="E332:H332"/>
    <mergeCell ref="J332:L332"/>
    <mergeCell ref="M332:O332"/>
    <mergeCell ref="P332:R332"/>
    <mergeCell ref="S332:V332"/>
    <mergeCell ref="W332:Z332"/>
    <mergeCell ref="B331:D331"/>
    <mergeCell ref="E331:H331"/>
    <mergeCell ref="J331:L331"/>
    <mergeCell ref="M331:O331"/>
    <mergeCell ref="P331:R331"/>
    <mergeCell ref="S331:V331"/>
    <mergeCell ref="AG337:AK337"/>
    <mergeCell ref="B338:D338"/>
    <mergeCell ref="E338:H338"/>
    <mergeCell ref="J338:L338"/>
    <mergeCell ref="M338:O338"/>
    <mergeCell ref="P338:R338"/>
    <mergeCell ref="S338:V338"/>
    <mergeCell ref="W338:Z338"/>
    <mergeCell ref="AA338:AF338"/>
    <mergeCell ref="AG338:AK338"/>
    <mergeCell ref="AA336:AF336"/>
    <mergeCell ref="AG336:AK336"/>
    <mergeCell ref="B337:D337"/>
    <mergeCell ref="E337:H337"/>
    <mergeCell ref="J337:L337"/>
    <mergeCell ref="M337:O337"/>
    <mergeCell ref="P337:R337"/>
    <mergeCell ref="S337:V337"/>
    <mergeCell ref="W337:Z337"/>
    <mergeCell ref="AA337:AF337"/>
    <mergeCell ref="W335:Z335"/>
    <mergeCell ref="AA335:AF335"/>
    <mergeCell ref="AG335:AK335"/>
    <mergeCell ref="B336:D336"/>
    <mergeCell ref="E336:H336"/>
    <mergeCell ref="J336:L336"/>
    <mergeCell ref="M336:O336"/>
    <mergeCell ref="P336:R336"/>
    <mergeCell ref="S336:V336"/>
    <mergeCell ref="W336:Z336"/>
    <mergeCell ref="B335:D335"/>
    <mergeCell ref="E335:H335"/>
    <mergeCell ref="J335:L335"/>
    <mergeCell ref="M335:O335"/>
    <mergeCell ref="P335:R335"/>
    <mergeCell ref="S335:V335"/>
    <mergeCell ref="AG342:AK342"/>
    <mergeCell ref="B343:D343"/>
    <mergeCell ref="E343:H343"/>
    <mergeCell ref="J343:L344"/>
    <mergeCell ref="M343:O343"/>
    <mergeCell ref="P343:R343"/>
    <mergeCell ref="S343:V343"/>
    <mergeCell ref="W343:Z343"/>
    <mergeCell ref="AA343:AF343"/>
    <mergeCell ref="AG343:AK343"/>
    <mergeCell ref="AA341:AF341"/>
    <mergeCell ref="AG341:AK341"/>
    <mergeCell ref="B342:D342"/>
    <mergeCell ref="E342:H342"/>
    <mergeCell ref="J342:L342"/>
    <mergeCell ref="M342:O342"/>
    <mergeCell ref="P342:R342"/>
    <mergeCell ref="S342:V342"/>
    <mergeCell ref="W342:Z342"/>
    <mergeCell ref="AA342:AF342"/>
    <mergeCell ref="W339:Z339"/>
    <mergeCell ref="AA339:AF339"/>
    <mergeCell ref="AG339:AK339"/>
    <mergeCell ref="B341:D341"/>
    <mergeCell ref="E341:H341"/>
    <mergeCell ref="J341:L341"/>
    <mergeCell ref="M341:O341"/>
    <mergeCell ref="P341:R341"/>
    <mergeCell ref="S341:V341"/>
    <mergeCell ref="W341:Z341"/>
    <mergeCell ref="B339:D339"/>
    <mergeCell ref="E339:H339"/>
    <mergeCell ref="J339:L340"/>
    <mergeCell ref="M339:O339"/>
    <mergeCell ref="P339:R339"/>
    <mergeCell ref="S339:V339"/>
    <mergeCell ref="AG347:AK347"/>
    <mergeCell ref="B348:D348"/>
    <mergeCell ref="E348:H348"/>
    <mergeCell ref="J348:L348"/>
    <mergeCell ref="M348:O348"/>
    <mergeCell ref="P348:R348"/>
    <mergeCell ref="S348:V348"/>
    <mergeCell ref="W348:Z348"/>
    <mergeCell ref="AA348:AF348"/>
    <mergeCell ref="AG348:AK348"/>
    <mergeCell ref="AA346:AF346"/>
    <mergeCell ref="AG346:AK346"/>
    <mergeCell ref="B347:D347"/>
    <mergeCell ref="E347:H347"/>
    <mergeCell ref="J347:L347"/>
    <mergeCell ref="M347:O347"/>
    <mergeCell ref="P347:R347"/>
    <mergeCell ref="S347:V347"/>
    <mergeCell ref="W347:Z347"/>
    <mergeCell ref="AA347:AF347"/>
    <mergeCell ref="W345:Z345"/>
    <mergeCell ref="AA345:AF345"/>
    <mergeCell ref="AG345:AK345"/>
    <mergeCell ref="B346:D346"/>
    <mergeCell ref="E346:H346"/>
    <mergeCell ref="J346:L346"/>
    <mergeCell ref="M346:O346"/>
    <mergeCell ref="P346:R346"/>
    <mergeCell ref="S346:V346"/>
    <mergeCell ref="W346:Z346"/>
    <mergeCell ref="B345:D345"/>
    <mergeCell ref="E345:H345"/>
    <mergeCell ref="J345:L345"/>
    <mergeCell ref="M345:O345"/>
    <mergeCell ref="P345:R345"/>
    <mergeCell ref="S345:V345"/>
    <mergeCell ref="AG351:AK351"/>
    <mergeCell ref="B352:D352"/>
    <mergeCell ref="E352:H352"/>
    <mergeCell ref="J352:L352"/>
    <mergeCell ref="M352:O352"/>
    <mergeCell ref="P352:R352"/>
    <mergeCell ref="S352:V352"/>
    <mergeCell ref="W352:Z352"/>
    <mergeCell ref="AA352:AF352"/>
    <mergeCell ref="AG352:AK352"/>
    <mergeCell ref="AA350:AF350"/>
    <mergeCell ref="AG350:AK350"/>
    <mergeCell ref="B351:D351"/>
    <mergeCell ref="E351:H351"/>
    <mergeCell ref="J351:L351"/>
    <mergeCell ref="M351:O351"/>
    <mergeCell ref="P351:R351"/>
    <mergeCell ref="S351:V351"/>
    <mergeCell ref="W351:Z351"/>
    <mergeCell ref="AA351:AF351"/>
    <mergeCell ref="W349:Z349"/>
    <mergeCell ref="AA349:AF349"/>
    <mergeCell ref="AG349:AK349"/>
    <mergeCell ref="B350:D350"/>
    <mergeCell ref="E350:H350"/>
    <mergeCell ref="J350:L350"/>
    <mergeCell ref="M350:O350"/>
    <mergeCell ref="P350:R350"/>
    <mergeCell ref="S350:V350"/>
    <mergeCell ref="W350:Z350"/>
    <mergeCell ref="B349:D349"/>
    <mergeCell ref="E349:H349"/>
    <mergeCell ref="J349:L349"/>
    <mergeCell ref="M349:O349"/>
    <mergeCell ref="P349:R349"/>
    <mergeCell ref="S349:V349"/>
    <mergeCell ref="AG355:AK355"/>
    <mergeCell ref="B356:D356"/>
    <mergeCell ref="E356:H356"/>
    <mergeCell ref="J356:L356"/>
    <mergeCell ref="M356:O356"/>
    <mergeCell ref="P356:R356"/>
    <mergeCell ref="S356:V356"/>
    <mergeCell ref="W356:Z356"/>
    <mergeCell ref="AA356:AF356"/>
    <mergeCell ref="AG356:AK356"/>
    <mergeCell ref="AA354:AF354"/>
    <mergeCell ref="AG354:AK354"/>
    <mergeCell ref="B355:D355"/>
    <mergeCell ref="E355:H355"/>
    <mergeCell ref="J355:L355"/>
    <mergeCell ref="M355:O355"/>
    <mergeCell ref="P355:R355"/>
    <mergeCell ref="S355:V355"/>
    <mergeCell ref="W355:Z355"/>
    <mergeCell ref="AA355:AF355"/>
    <mergeCell ref="W353:Z353"/>
    <mergeCell ref="AA353:AF353"/>
    <mergeCell ref="AG353:AK353"/>
    <mergeCell ref="B354:D354"/>
    <mergeCell ref="E354:H354"/>
    <mergeCell ref="J354:L354"/>
    <mergeCell ref="M354:O354"/>
    <mergeCell ref="P354:R354"/>
    <mergeCell ref="S354:V354"/>
    <mergeCell ref="W354:Z354"/>
    <mergeCell ref="B353:D353"/>
    <mergeCell ref="E353:H353"/>
    <mergeCell ref="J353:L353"/>
    <mergeCell ref="M353:O353"/>
    <mergeCell ref="P353:R353"/>
    <mergeCell ref="S353:V353"/>
    <mergeCell ref="AH369:AK369"/>
    <mergeCell ref="B370:D370"/>
    <mergeCell ref="E370:H370"/>
    <mergeCell ref="J370:L370"/>
    <mergeCell ref="M370:O370"/>
    <mergeCell ref="P370:R370"/>
    <mergeCell ref="S370:V370"/>
    <mergeCell ref="W370:Z370"/>
    <mergeCell ref="AA370:AF370"/>
    <mergeCell ref="AG370:AK370"/>
    <mergeCell ref="O368:Q368"/>
    <mergeCell ref="V368:Y368"/>
    <mergeCell ref="AD368:AJ368"/>
    <mergeCell ref="B369:D369"/>
    <mergeCell ref="E369:G369"/>
    <mergeCell ref="J369:N369"/>
    <mergeCell ref="Q369:R369"/>
    <mergeCell ref="U369:V369"/>
    <mergeCell ref="X369:Z369"/>
    <mergeCell ref="AC369:AF369"/>
    <mergeCell ref="C364:J365"/>
    <mergeCell ref="K364:X364"/>
    <mergeCell ref="Y364:AG365"/>
    <mergeCell ref="AH364:AL365"/>
    <mergeCell ref="K365:X365"/>
    <mergeCell ref="C366:F366"/>
    <mergeCell ref="G366:AE367"/>
    <mergeCell ref="AF366:AG367"/>
    <mergeCell ref="AH366:AI367"/>
    <mergeCell ref="W357:Z357"/>
    <mergeCell ref="AA357:AF357"/>
    <mergeCell ref="AG357:AK357"/>
    <mergeCell ref="AG359:AL359"/>
    <mergeCell ref="D360:AH360"/>
    <mergeCell ref="A361:I363"/>
    <mergeCell ref="J361:AH361"/>
    <mergeCell ref="J362:AF362"/>
    <mergeCell ref="J363:AE363"/>
    <mergeCell ref="B357:D357"/>
    <mergeCell ref="E357:H357"/>
    <mergeCell ref="J357:L357"/>
    <mergeCell ref="M357:O357"/>
    <mergeCell ref="P357:R357"/>
    <mergeCell ref="S357:V357"/>
    <mergeCell ref="AG373:AK373"/>
    <mergeCell ref="B374:D374"/>
    <mergeCell ref="E374:H374"/>
    <mergeCell ref="J374:L374"/>
    <mergeCell ref="M374:O374"/>
    <mergeCell ref="P374:R374"/>
    <mergeCell ref="S374:V374"/>
    <mergeCell ref="W374:Z374"/>
    <mergeCell ref="AA374:AF374"/>
    <mergeCell ref="AG374:AK374"/>
    <mergeCell ref="AA372:AF372"/>
    <mergeCell ref="AG372:AK372"/>
    <mergeCell ref="B373:D373"/>
    <mergeCell ref="E373:H373"/>
    <mergeCell ref="J373:L373"/>
    <mergeCell ref="M373:O373"/>
    <mergeCell ref="P373:R373"/>
    <mergeCell ref="S373:V373"/>
    <mergeCell ref="W373:Z373"/>
    <mergeCell ref="AA373:AF373"/>
    <mergeCell ref="W371:Z371"/>
    <mergeCell ref="AA371:AF371"/>
    <mergeCell ref="AG371:AK371"/>
    <mergeCell ref="B372:D372"/>
    <mergeCell ref="E372:H372"/>
    <mergeCell ref="J372:L372"/>
    <mergeCell ref="M372:O372"/>
    <mergeCell ref="P372:R372"/>
    <mergeCell ref="S372:V372"/>
    <mergeCell ref="W372:Z372"/>
    <mergeCell ref="B371:D371"/>
    <mergeCell ref="E371:H371"/>
    <mergeCell ref="J371:L371"/>
    <mergeCell ref="M371:O371"/>
    <mergeCell ref="P371:R371"/>
    <mergeCell ref="S371:V371"/>
    <mergeCell ref="AG377:AK377"/>
    <mergeCell ref="B378:D378"/>
    <mergeCell ref="E378:H378"/>
    <mergeCell ref="J378:L378"/>
    <mergeCell ref="M378:O378"/>
    <mergeCell ref="P378:R378"/>
    <mergeCell ref="S378:V378"/>
    <mergeCell ref="W378:Z378"/>
    <mergeCell ref="AA378:AF378"/>
    <mergeCell ref="AG378:AK378"/>
    <mergeCell ref="AA376:AF376"/>
    <mergeCell ref="AG376:AK376"/>
    <mergeCell ref="B377:D377"/>
    <mergeCell ref="E377:H377"/>
    <mergeCell ref="J377:L377"/>
    <mergeCell ref="M377:O377"/>
    <mergeCell ref="P377:R377"/>
    <mergeCell ref="S377:V377"/>
    <mergeCell ref="W377:Z377"/>
    <mergeCell ref="AA377:AF377"/>
    <mergeCell ref="W375:Z375"/>
    <mergeCell ref="AA375:AF375"/>
    <mergeCell ref="AG375:AK375"/>
    <mergeCell ref="B376:D376"/>
    <mergeCell ref="E376:H376"/>
    <mergeCell ref="J376:L376"/>
    <mergeCell ref="M376:O376"/>
    <mergeCell ref="P376:R376"/>
    <mergeCell ref="S376:V376"/>
    <mergeCell ref="W376:Z376"/>
    <mergeCell ref="B375:D375"/>
    <mergeCell ref="E375:H375"/>
    <mergeCell ref="J375:L375"/>
    <mergeCell ref="M375:O375"/>
    <mergeCell ref="P375:R375"/>
    <mergeCell ref="S375:V375"/>
    <mergeCell ref="AG381:AK381"/>
    <mergeCell ref="B382:D382"/>
    <mergeCell ref="E382:H382"/>
    <mergeCell ref="J382:L382"/>
    <mergeCell ref="M382:O382"/>
    <mergeCell ref="P382:R382"/>
    <mergeCell ref="S382:V382"/>
    <mergeCell ref="W382:Z382"/>
    <mergeCell ref="AA382:AF382"/>
    <mergeCell ref="AG382:AK382"/>
    <mergeCell ref="AA380:AF380"/>
    <mergeCell ref="AG380:AK380"/>
    <mergeCell ref="B381:D381"/>
    <mergeCell ref="E381:H381"/>
    <mergeCell ref="J381:L381"/>
    <mergeCell ref="M381:O381"/>
    <mergeCell ref="P381:R381"/>
    <mergeCell ref="S381:V381"/>
    <mergeCell ref="W381:Z381"/>
    <mergeCell ref="AA381:AF381"/>
    <mergeCell ref="W379:Z379"/>
    <mergeCell ref="AA379:AF379"/>
    <mergeCell ref="AG379:AK379"/>
    <mergeCell ref="B380:D380"/>
    <mergeCell ref="E380:H380"/>
    <mergeCell ref="J380:L380"/>
    <mergeCell ref="M380:O380"/>
    <mergeCell ref="P380:R380"/>
    <mergeCell ref="S380:V380"/>
    <mergeCell ref="W380:Z380"/>
    <mergeCell ref="B379:D379"/>
    <mergeCell ref="E379:H379"/>
    <mergeCell ref="J379:L379"/>
    <mergeCell ref="M379:O379"/>
    <mergeCell ref="P379:R379"/>
    <mergeCell ref="S379:V379"/>
    <mergeCell ref="AG385:AK385"/>
    <mergeCell ref="B386:D386"/>
    <mergeCell ref="E386:H386"/>
    <mergeCell ref="J386:L386"/>
    <mergeCell ref="M386:O386"/>
    <mergeCell ref="P386:R386"/>
    <mergeCell ref="S386:V386"/>
    <mergeCell ref="W386:Z386"/>
    <mergeCell ref="AA386:AF386"/>
    <mergeCell ref="AG386:AK386"/>
    <mergeCell ref="AA384:AF384"/>
    <mergeCell ref="AG384:AK384"/>
    <mergeCell ref="B385:D385"/>
    <mergeCell ref="E385:H385"/>
    <mergeCell ref="J385:L385"/>
    <mergeCell ref="M385:O385"/>
    <mergeCell ref="P385:R385"/>
    <mergeCell ref="S385:V385"/>
    <mergeCell ref="W385:Z385"/>
    <mergeCell ref="AA385:AF385"/>
    <mergeCell ref="W383:Z383"/>
    <mergeCell ref="AA383:AF383"/>
    <mergeCell ref="AG383:AK383"/>
    <mergeCell ref="B384:D384"/>
    <mergeCell ref="E384:H384"/>
    <mergeCell ref="J384:L384"/>
    <mergeCell ref="M384:O384"/>
    <mergeCell ref="P384:R384"/>
    <mergeCell ref="S384:V384"/>
    <mergeCell ref="W384:Z384"/>
    <mergeCell ref="B383:D383"/>
    <mergeCell ref="E383:H383"/>
    <mergeCell ref="J383:L383"/>
    <mergeCell ref="M383:O383"/>
    <mergeCell ref="P383:R383"/>
    <mergeCell ref="S383:V383"/>
    <mergeCell ref="AG389:AK389"/>
    <mergeCell ref="B390:D390"/>
    <mergeCell ref="E390:H390"/>
    <mergeCell ref="J390:L390"/>
    <mergeCell ref="M390:O390"/>
    <mergeCell ref="P390:R390"/>
    <mergeCell ref="S390:V390"/>
    <mergeCell ref="W390:Z390"/>
    <mergeCell ref="AA390:AF390"/>
    <mergeCell ref="AG390:AK390"/>
    <mergeCell ref="AA388:AF388"/>
    <mergeCell ref="AG388:AK388"/>
    <mergeCell ref="B389:D389"/>
    <mergeCell ref="E389:H389"/>
    <mergeCell ref="J389:L389"/>
    <mergeCell ref="M389:O389"/>
    <mergeCell ref="P389:R389"/>
    <mergeCell ref="S389:V389"/>
    <mergeCell ref="W389:Z389"/>
    <mergeCell ref="AA389:AF389"/>
    <mergeCell ref="W387:Z387"/>
    <mergeCell ref="AA387:AF387"/>
    <mergeCell ref="AG387:AK387"/>
    <mergeCell ref="B388:D388"/>
    <mergeCell ref="E388:H388"/>
    <mergeCell ref="J388:L388"/>
    <mergeCell ref="M388:O388"/>
    <mergeCell ref="P388:R388"/>
    <mergeCell ref="S388:V388"/>
    <mergeCell ref="W388:Z388"/>
    <mergeCell ref="B387:D387"/>
    <mergeCell ref="E387:H387"/>
    <mergeCell ref="J387:L387"/>
    <mergeCell ref="M387:O387"/>
    <mergeCell ref="P387:R387"/>
    <mergeCell ref="S387:V387"/>
    <mergeCell ref="AG393:AK393"/>
    <mergeCell ref="B394:D394"/>
    <mergeCell ref="E394:H394"/>
    <mergeCell ref="J394:L394"/>
    <mergeCell ref="M394:O394"/>
    <mergeCell ref="P394:R394"/>
    <mergeCell ref="S394:V394"/>
    <mergeCell ref="W394:Z394"/>
    <mergeCell ref="AA394:AF394"/>
    <mergeCell ref="AG394:AK394"/>
    <mergeCell ref="AA392:AF392"/>
    <mergeCell ref="AG392:AK392"/>
    <mergeCell ref="B393:D393"/>
    <mergeCell ref="E393:H393"/>
    <mergeCell ref="J393:L393"/>
    <mergeCell ref="M393:O393"/>
    <mergeCell ref="P393:R393"/>
    <mergeCell ref="S393:V393"/>
    <mergeCell ref="W393:Z393"/>
    <mergeCell ref="AA393:AF393"/>
    <mergeCell ref="W391:Z391"/>
    <mergeCell ref="AA391:AF391"/>
    <mergeCell ref="AG391:AK391"/>
    <mergeCell ref="B392:D392"/>
    <mergeCell ref="E392:H392"/>
    <mergeCell ref="J392:L392"/>
    <mergeCell ref="M392:O392"/>
    <mergeCell ref="P392:R392"/>
    <mergeCell ref="S392:V392"/>
    <mergeCell ref="W392:Z392"/>
    <mergeCell ref="B391:D391"/>
    <mergeCell ref="E391:H391"/>
    <mergeCell ref="J391:L391"/>
    <mergeCell ref="M391:O391"/>
    <mergeCell ref="P391:R391"/>
    <mergeCell ref="S391:V391"/>
    <mergeCell ref="AG397:AK397"/>
    <mergeCell ref="B398:D398"/>
    <mergeCell ref="E398:H398"/>
    <mergeCell ref="J398:L398"/>
    <mergeCell ref="M398:O398"/>
    <mergeCell ref="P398:R398"/>
    <mergeCell ref="S398:V398"/>
    <mergeCell ref="W398:Z398"/>
    <mergeCell ref="AA398:AF398"/>
    <mergeCell ref="AG398:AK398"/>
    <mergeCell ref="AA396:AF396"/>
    <mergeCell ref="AG396:AK396"/>
    <mergeCell ref="B397:D397"/>
    <mergeCell ref="E397:H397"/>
    <mergeCell ref="J397:L397"/>
    <mergeCell ref="M397:O397"/>
    <mergeCell ref="P397:R397"/>
    <mergeCell ref="S397:V397"/>
    <mergeCell ref="W397:Z397"/>
    <mergeCell ref="AA397:AF397"/>
    <mergeCell ref="W395:Z395"/>
    <mergeCell ref="AA395:AF395"/>
    <mergeCell ref="AG395:AK395"/>
    <mergeCell ref="B396:D396"/>
    <mergeCell ref="E396:H396"/>
    <mergeCell ref="J396:L396"/>
    <mergeCell ref="M396:O396"/>
    <mergeCell ref="P396:R396"/>
    <mergeCell ref="S396:V396"/>
    <mergeCell ref="W396:Z396"/>
    <mergeCell ref="B395:D395"/>
    <mergeCell ref="E395:H395"/>
    <mergeCell ref="J395:L395"/>
    <mergeCell ref="M395:O395"/>
    <mergeCell ref="P395:R395"/>
    <mergeCell ref="S395:V395"/>
    <mergeCell ref="AG401:AK401"/>
    <mergeCell ref="B402:D402"/>
    <mergeCell ref="E402:H402"/>
    <mergeCell ref="J402:L402"/>
    <mergeCell ref="M402:O402"/>
    <mergeCell ref="P402:R402"/>
    <mergeCell ref="S402:V402"/>
    <mergeCell ref="W402:Z402"/>
    <mergeCell ref="AA402:AF402"/>
    <mergeCell ref="AG402:AK402"/>
    <mergeCell ref="AA400:AF400"/>
    <mergeCell ref="AG400:AK400"/>
    <mergeCell ref="B401:D401"/>
    <mergeCell ref="E401:H401"/>
    <mergeCell ref="J401:L401"/>
    <mergeCell ref="M401:O401"/>
    <mergeCell ref="P401:R401"/>
    <mergeCell ref="S401:V401"/>
    <mergeCell ref="W401:Z401"/>
    <mergeCell ref="AA401:AF401"/>
    <mergeCell ref="W399:Z399"/>
    <mergeCell ref="AA399:AF399"/>
    <mergeCell ref="AG399:AK399"/>
    <mergeCell ref="B400:D400"/>
    <mergeCell ref="E400:H400"/>
    <mergeCell ref="J400:L400"/>
    <mergeCell ref="M400:O400"/>
    <mergeCell ref="P400:R400"/>
    <mergeCell ref="S400:V400"/>
    <mergeCell ref="W400:Z400"/>
    <mergeCell ref="B399:D399"/>
    <mergeCell ref="E399:H399"/>
    <mergeCell ref="J399:L399"/>
    <mergeCell ref="M399:O399"/>
    <mergeCell ref="P399:R399"/>
    <mergeCell ref="S399:V399"/>
    <mergeCell ref="AG405:AK405"/>
    <mergeCell ref="B406:D406"/>
    <mergeCell ref="E406:H406"/>
    <mergeCell ref="J406:L406"/>
    <mergeCell ref="M406:O406"/>
    <mergeCell ref="P406:R406"/>
    <mergeCell ref="S406:V406"/>
    <mergeCell ref="W406:Z406"/>
    <mergeCell ref="AA406:AF406"/>
    <mergeCell ref="AG406:AK406"/>
    <mergeCell ref="AA404:AF404"/>
    <mergeCell ref="AG404:AK404"/>
    <mergeCell ref="B405:D405"/>
    <mergeCell ref="E405:H405"/>
    <mergeCell ref="J405:L405"/>
    <mergeCell ref="M405:O405"/>
    <mergeCell ref="P405:R405"/>
    <mergeCell ref="S405:V405"/>
    <mergeCell ref="W405:Z405"/>
    <mergeCell ref="AA405:AF405"/>
    <mergeCell ref="W403:Z403"/>
    <mergeCell ref="AA403:AF403"/>
    <mergeCell ref="AG403:AK403"/>
    <mergeCell ref="B404:D404"/>
    <mergeCell ref="E404:H404"/>
    <mergeCell ref="J404:L404"/>
    <mergeCell ref="M404:O404"/>
    <mergeCell ref="P404:R404"/>
    <mergeCell ref="S404:V404"/>
    <mergeCell ref="W404:Z404"/>
    <mergeCell ref="B403:D403"/>
    <mergeCell ref="E403:H403"/>
    <mergeCell ref="J403:L403"/>
    <mergeCell ref="M403:O403"/>
    <mergeCell ref="P403:R403"/>
    <mergeCell ref="S403:V403"/>
    <mergeCell ref="AG410:AK410"/>
    <mergeCell ref="B411:D411"/>
    <mergeCell ref="E411:H411"/>
    <mergeCell ref="J411:L411"/>
    <mergeCell ref="M411:O411"/>
    <mergeCell ref="P411:R411"/>
    <mergeCell ref="S411:V411"/>
    <mergeCell ref="W411:Z411"/>
    <mergeCell ref="AA411:AF411"/>
    <mergeCell ref="AG411:AK411"/>
    <mergeCell ref="AA408:AF408"/>
    <mergeCell ref="AG408:AK408"/>
    <mergeCell ref="B410:D410"/>
    <mergeCell ref="E410:H410"/>
    <mergeCell ref="J410:L410"/>
    <mergeCell ref="M410:O410"/>
    <mergeCell ref="P410:R410"/>
    <mergeCell ref="S410:V410"/>
    <mergeCell ref="W410:Z410"/>
    <mergeCell ref="AA410:AF410"/>
    <mergeCell ref="W407:Z407"/>
    <mergeCell ref="AA407:AF407"/>
    <mergeCell ref="AG407:AK407"/>
    <mergeCell ref="B408:D408"/>
    <mergeCell ref="E408:H408"/>
    <mergeCell ref="J408:L409"/>
    <mergeCell ref="M408:O408"/>
    <mergeCell ref="P408:R408"/>
    <mergeCell ref="S408:V408"/>
    <mergeCell ref="W408:Z408"/>
    <mergeCell ref="B407:D407"/>
    <mergeCell ref="E407:H407"/>
    <mergeCell ref="J407:L407"/>
    <mergeCell ref="M407:O407"/>
    <mergeCell ref="P407:R407"/>
    <mergeCell ref="S407:V407"/>
    <mergeCell ref="AG414:AK414"/>
    <mergeCell ref="B415:D415"/>
    <mergeCell ref="E415:H415"/>
    <mergeCell ref="J415:L415"/>
    <mergeCell ref="M415:O415"/>
    <mergeCell ref="P415:R415"/>
    <mergeCell ref="S415:V415"/>
    <mergeCell ref="W415:Z415"/>
    <mergeCell ref="AA415:AF415"/>
    <mergeCell ref="AG415:AK415"/>
    <mergeCell ref="AA413:AF413"/>
    <mergeCell ref="AG413:AK413"/>
    <mergeCell ref="B414:D414"/>
    <mergeCell ref="E414:H414"/>
    <mergeCell ref="J414:L414"/>
    <mergeCell ref="M414:O414"/>
    <mergeCell ref="P414:R414"/>
    <mergeCell ref="S414:V414"/>
    <mergeCell ref="W414:Z414"/>
    <mergeCell ref="AA414:AF414"/>
    <mergeCell ref="W412:Z412"/>
    <mergeCell ref="AA412:AF412"/>
    <mergeCell ref="AG412:AK412"/>
    <mergeCell ref="B413:D413"/>
    <mergeCell ref="E413:H413"/>
    <mergeCell ref="J413:L413"/>
    <mergeCell ref="M413:O413"/>
    <mergeCell ref="P413:R413"/>
    <mergeCell ref="S413:V413"/>
    <mergeCell ref="W413:Z413"/>
    <mergeCell ref="B412:D412"/>
    <mergeCell ref="E412:H412"/>
    <mergeCell ref="J412:L412"/>
    <mergeCell ref="M412:O412"/>
    <mergeCell ref="P412:R412"/>
    <mergeCell ref="S412:V412"/>
    <mergeCell ref="C424:J425"/>
    <mergeCell ref="K424:X424"/>
    <mergeCell ref="Y424:AG425"/>
    <mergeCell ref="AH424:AL425"/>
    <mergeCell ref="K425:X425"/>
    <mergeCell ref="C426:F426"/>
    <mergeCell ref="G426:AE427"/>
    <mergeCell ref="AF426:AG427"/>
    <mergeCell ref="AH426:AI427"/>
    <mergeCell ref="AA417:AF417"/>
    <mergeCell ref="AG417:AK417"/>
    <mergeCell ref="AG419:AL419"/>
    <mergeCell ref="D420:AH420"/>
    <mergeCell ref="A421:I423"/>
    <mergeCell ref="J421:AH421"/>
    <mergeCell ref="J422:AF422"/>
    <mergeCell ref="J423:AE423"/>
    <mergeCell ref="W416:Z416"/>
    <mergeCell ref="AA416:AF416"/>
    <mergeCell ref="AG416:AK416"/>
    <mergeCell ref="B417:D417"/>
    <mergeCell ref="E417:H417"/>
    <mergeCell ref="J417:L417"/>
    <mergeCell ref="M417:O417"/>
    <mergeCell ref="P417:R417"/>
    <mergeCell ref="S417:V417"/>
    <mergeCell ref="W417:Z417"/>
    <mergeCell ref="B416:D416"/>
    <mergeCell ref="E416:H416"/>
    <mergeCell ref="J416:L416"/>
    <mergeCell ref="M416:O416"/>
    <mergeCell ref="P416:R416"/>
    <mergeCell ref="S416:V416"/>
    <mergeCell ref="W431:Z431"/>
    <mergeCell ref="AA431:AF431"/>
    <mergeCell ref="AG431:AK431"/>
    <mergeCell ref="B432:D432"/>
    <mergeCell ref="E432:H432"/>
    <mergeCell ref="J432:L433"/>
    <mergeCell ref="M432:O432"/>
    <mergeCell ref="P432:R432"/>
    <mergeCell ref="S432:V432"/>
    <mergeCell ref="W432:Z432"/>
    <mergeCell ref="B431:D431"/>
    <mergeCell ref="E431:H431"/>
    <mergeCell ref="J431:L431"/>
    <mergeCell ref="M431:O431"/>
    <mergeCell ref="P431:R431"/>
    <mergeCell ref="S431:V431"/>
    <mergeCell ref="AH429:AK429"/>
    <mergeCell ref="B430:D430"/>
    <mergeCell ref="E430:H430"/>
    <mergeCell ref="J430:L430"/>
    <mergeCell ref="M430:O430"/>
    <mergeCell ref="P430:R430"/>
    <mergeCell ref="S430:V430"/>
    <mergeCell ref="W430:Z430"/>
    <mergeCell ref="AA430:AF430"/>
    <mergeCell ref="AG430:AK430"/>
    <mergeCell ref="O428:Q428"/>
    <mergeCell ref="V428:Y428"/>
    <mergeCell ref="AD428:AJ428"/>
    <mergeCell ref="B429:D429"/>
    <mergeCell ref="E429:G429"/>
    <mergeCell ref="J429:N429"/>
    <mergeCell ref="Q429:R429"/>
    <mergeCell ref="U429:V429"/>
    <mergeCell ref="X429:Z429"/>
    <mergeCell ref="AC429:AF429"/>
    <mergeCell ref="W437:Z437"/>
    <mergeCell ref="AA437:AF437"/>
    <mergeCell ref="AG437:AK437"/>
    <mergeCell ref="B438:D438"/>
    <mergeCell ref="E438:H438"/>
    <mergeCell ref="J438:L438"/>
    <mergeCell ref="M438:O438"/>
    <mergeCell ref="P438:R438"/>
    <mergeCell ref="S438:V438"/>
    <mergeCell ref="W438:Z438"/>
    <mergeCell ref="B437:D437"/>
    <mergeCell ref="E437:H437"/>
    <mergeCell ref="J437:L437"/>
    <mergeCell ref="M437:O437"/>
    <mergeCell ref="P437:R437"/>
    <mergeCell ref="S437:V437"/>
    <mergeCell ref="AG434:AK434"/>
    <mergeCell ref="B436:D436"/>
    <mergeCell ref="E436:H436"/>
    <mergeCell ref="J436:L436"/>
    <mergeCell ref="M436:O436"/>
    <mergeCell ref="P436:R436"/>
    <mergeCell ref="S436:V436"/>
    <mergeCell ref="W436:Z436"/>
    <mergeCell ref="AA436:AF436"/>
    <mergeCell ref="AG436:AK436"/>
    <mergeCell ref="AA432:AF432"/>
    <mergeCell ref="AG432:AK432"/>
    <mergeCell ref="B434:D434"/>
    <mergeCell ref="E434:H434"/>
    <mergeCell ref="J434:L435"/>
    <mergeCell ref="M434:O434"/>
    <mergeCell ref="P434:R434"/>
    <mergeCell ref="S434:V434"/>
    <mergeCell ref="W434:Z434"/>
    <mergeCell ref="AA434:AF434"/>
    <mergeCell ref="W441:Z441"/>
    <mergeCell ref="AA441:AF441"/>
    <mergeCell ref="AG441:AK441"/>
    <mergeCell ref="B442:D442"/>
    <mergeCell ref="E442:H442"/>
    <mergeCell ref="J442:L442"/>
    <mergeCell ref="M442:O442"/>
    <mergeCell ref="P442:R442"/>
    <mergeCell ref="S442:V442"/>
    <mergeCell ref="W442:Z442"/>
    <mergeCell ref="B441:D441"/>
    <mergeCell ref="E441:H441"/>
    <mergeCell ref="J441:L441"/>
    <mergeCell ref="M441:O441"/>
    <mergeCell ref="P441:R441"/>
    <mergeCell ref="S441:V441"/>
    <mergeCell ref="AG439:AK439"/>
    <mergeCell ref="B440:D440"/>
    <mergeCell ref="E440:H440"/>
    <mergeCell ref="J440:L440"/>
    <mergeCell ref="M440:O440"/>
    <mergeCell ref="P440:R440"/>
    <mergeCell ref="S440:V440"/>
    <mergeCell ref="W440:Z440"/>
    <mergeCell ref="AA440:AF440"/>
    <mergeCell ref="AG440:AK440"/>
    <mergeCell ref="AA438:AF438"/>
    <mergeCell ref="AG438:AK438"/>
    <mergeCell ref="B439:D439"/>
    <mergeCell ref="E439:H439"/>
    <mergeCell ref="J439:L439"/>
    <mergeCell ref="M439:O439"/>
    <mergeCell ref="P439:R439"/>
    <mergeCell ref="S439:V439"/>
    <mergeCell ref="W439:Z439"/>
    <mergeCell ref="AA439:AF439"/>
    <mergeCell ref="W445:Z445"/>
    <mergeCell ref="AA445:AF445"/>
    <mergeCell ref="AG445:AK445"/>
    <mergeCell ref="B446:D446"/>
    <mergeCell ref="E446:H446"/>
    <mergeCell ref="J446:L446"/>
    <mergeCell ref="M446:O446"/>
    <mergeCell ref="P446:R446"/>
    <mergeCell ref="S446:V446"/>
    <mergeCell ref="W446:Z446"/>
    <mergeCell ref="B445:D445"/>
    <mergeCell ref="E445:H445"/>
    <mergeCell ref="J445:L445"/>
    <mergeCell ref="M445:O445"/>
    <mergeCell ref="P445:R445"/>
    <mergeCell ref="S445:V445"/>
    <mergeCell ref="AG443:AK443"/>
    <mergeCell ref="B444:D444"/>
    <mergeCell ref="E444:H444"/>
    <mergeCell ref="J444:L444"/>
    <mergeCell ref="M444:O444"/>
    <mergeCell ref="P444:R444"/>
    <mergeCell ref="S444:V444"/>
    <mergeCell ref="W444:Z444"/>
    <mergeCell ref="AA444:AF444"/>
    <mergeCell ref="AG444:AK444"/>
    <mergeCell ref="AA442:AF442"/>
    <mergeCell ref="AG442:AK442"/>
    <mergeCell ref="B443:D443"/>
    <mergeCell ref="E443:H443"/>
    <mergeCell ref="J443:L443"/>
    <mergeCell ref="M443:O443"/>
    <mergeCell ref="P443:R443"/>
    <mergeCell ref="S443:V443"/>
    <mergeCell ref="W443:Z443"/>
    <mergeCell ref="AA443:AF443"/>
    <mergeCell ref="W450:Z450"/>
    <mergeCell ref="AA450:AF450"/>
    <mergeCell ref="AG450:AK450"/>
    <mergeCell ref="B451:D451"/>
    <mergeCell ref="E451:H451"/>
    <mergeCell ref="J451:L451"/>
    <mergeCell ref="M451:O451"/>
    <mergeCell ref="P451:R451"/>
    <mergeCell ref="S451:V451"/>
    <mergeCell ref="W451:Z451"/>
    <mergeCell ref="B450:D450"/>
    <mergeCell ref="E450:H450"/>
    <mergeCell ref="J450:L450"/>
    <mergeCell ref="M450:O450"/>
    <mergeCell ref="P450:R450"/>
    <mergeCell ref="S450:V450"/>
    <mergeCell ref="AG447:AK447"/>
    <mergeCell ref="B448:D448"/>
    <mergeCell ref="E448:H448"/>
    <mergeCell ref="J448:L449"/>
    <mergeCell ref="M448:O448"/>
    <mergeCell ref="P448:R448"/>
    <mergeCell ref="S448:V448"/>
    <mergeCell ref="W448:Z448"/>
    <mergeCell ref="AA448:AF448"/>
    <mergeCell ref="AG448:AK448"/>
    <mergeCell ref="AA446:AF446"/>
    <mergeCell ref="AG446:AK446"/>
    <mergeCell ref="B447:D447"/>
    <mergeCell ref="E447:H447"/>
    <mergeCell ref="J447:L447"/>
    <mergeCell ref="M447:O447"/>
    <mergeCell ref="P447:R447"/>
    <mergeCell ref="S447:V447"/>
    <mergeCell ref="W447:Z447"/>
    <mergeCell ref="AA447:AF447"/>
    <mergeCell ref="W454:Z454"/>
    <mergeCell ref="AA454:AF454"/>
    <mergeCell ref="AG454:AK454"/>
    <mergeCell ref="B455:D455"/>
    <mergeCell ref="E455:H455"/>
    <mergeCell ref="J455:L455"/>
    <mergeCell ref="M455:O455"/>
    <mergeCell ref="P455:R455"/>
    <mergeCell ref="S455:V455"/>
    <mergeCell ref="W455:Z455"/>
    <mergeCell ref="B454:D454"/>
    <mergeCell ref="E454:H454"/>
    <mergeCell ref="J454:L454"/>
    <mergeCell ref="M454:O454"/>
    <mergeCell ref="P454:R454"/>
    <mergeCell ref="S454:V454"/>
    <mergeCell ref="AG452:AK452"/>
    <mergeCell ref="B453:D453"/>
    <mergeCell ref="E453:H453"/>
    <mergeCell ref="J453:L453"/>
    <mergeCell ref="M453:O453"/>
    <mergeCell ref="P453:R453"/>
    <mergeCell ref="S453:V453"/>
    <mergeCell ref="W453:Z453"/>
    <mergeCell ref="AA453:AF453"/>
    <mergeCell ref="AG453:AK453"/>
    <mergeCell ref="AA451:AF451"/>
    <mergeCell ref="AG451:AK451"/>
    <mergeCell ref="B452:D452"/>
    <mergeCell ref="E452:H452"/>
    <mergeCell ref="J452:L452"/>
    <mergeCell ref="M452:O452"/>
    <mergeCell ref="P452:R452"/>
    <mergeCell ref="S452:V452"/>
    <mergeCell ref="W452:Z452"/>
    <mergeCell ref="AA452:AF452"/>
    <mergeCell ref="W458:Z458"/>
    <mergeCell ref="AA458:AF458"/>
    <mergeCell ref="AG458:AK458"/>
    <mergeCell ref="B459:D459"/>
    <mergeCell ref="E459:H459"/>
    <mergeCell ref="J459:L459"/>
    <mergeCell ref="M459:O459"/>
    <mergeCell ref="P459:R459"/>
    <mergeCell ref="S459:V459"/>
    <mergeCell ref="W459:Z459"/>
    <mergeCell ref="B458:D458"/>
    <mergeCell ref="E458:H458"/>
    <mergeCell ref="J458:L458"/>
    <mergeCell ref="M458:O458"/>
    <mergeCell ref="P458:R458"/>
    <mergeCell ref="S458:V458"/>
    <mergeCell ref="AG456:AK456"/>
    <mergeCell ref="B457:D457"/>
    <mergeCell ref="E457:H457"/>
    <mergeCell ref="J457:L457"/>
    <mergeCell ref="M457:O457"/>
    <mergeCell ref="P457:R457"/>
    <mergeCell ref="S457:V457"/>
    <mergeCell ref="W457:Z457"/>
    <mergeCell ref="AA457:AF457"/>
    <mergeCell ref="AG457:AK457"/>
    <mergeCell ref="AA455:AF455"/>
    <mergeCell ref="AG455:AK455"/>
    <mergeCell ref="B456:D456"/>
    <mergeCell ref="E456:H456"/>
    <mergeCell ref="J456:L456"/>
    <mergeCell ref="M456:O456"/>
    <mergeCell ref="P456:R456"/>
    <mergeCell ref="S456:V456"/>
    <mergeCell ref="W456:Z456"/>
    <mergeCell ref="AA456:AF456"/>
    <mergeCell ref="W462:Z462"/>
    <mergeCell ref="AA462:AF462"/>
    <mergeCell ref="AG462:AK462"/>
    <mergeCell ref="B463:D463"/>
    <mergeCell ref="E463:H463"/>
    <mergeCell ref="J463:L463"/>
    <mergeCell ref="M463:O463"/>
    <mergeCell ref="P463:R463"/>
    <mergeCell ref="S463:V463"/>
    <mergeCell ref="W463:Z463"/>
    <mergeCell ref="B462:D462"/>
    <mergeCell ref="E462:H462"/>
    <mergeCell ref="J462:L462"/>
    <mergeCell ref="M462:O462"/>
    <mergeCell ref="P462:R462"/>
    <mergeCell ref="S462:V462"/>
    <mergeCell ref="AG460:AK460"/>
    <mergeCell ref="B461:D461"/>
    <mergeCell ref="E461:H461"/>
    <mergeCell ref="J461:L461"/>
    <mergeCell ref="M461:O461"/>
    <mergeCell ref="P461:R461"/>
    <mergeCell ref="S461:V461"/>
    <mergeCell ref="W461:Z461"/>
    <mergeCell ref="AA461:AF461"/>
    <mergeCell ref="AG461:AK461"/>
    <mergeCell ref="AA459:AF459"/>
    <mergeCell ref="AG459:AK459"/>
    <mergeCell ref="B460:D460"/>
    <mergeCell ref="E460:H460"/>
    <mergeCell ref="J460:L460"/>
    <mergeCell ref="M460:O460"/>
    <mergeCell ref="P460:R460"/>
    <mergeCell ref="S460:V460"/>
    <mergeCell ref="W460:Z460"/>
    <mergeCell ref="AA460:AF460"/>
    <mergeCell ref="W466:Z466"/>
    <mergeCell ref="AA466:AF466"/>
    <mergeCell ref="AG466:AK466"/>
    <mergeCell ref="B467:D467"/>
    <mergeCell ref="E467:H467"/>
    <mergeCell ref="J467:L467"/>
    <mergeCell ref="M467:O467"/>
    <mergeCell ref="P467:R467"/>
    <mergeCell ref="S467:V467"/>
    <mergeCell ref="W467:Z467"/>
    <mergeCell ref="B466:D466"/>
    <mergeCell ref="E466:H466"/>
    <mergeCell ref="J466:L466"/>
    <mergeCell ref="M466:O466"/>
    <mergeCell ref="P466:R466"/>
    <mergeCell ref="S466:V466"/>
    <mergeCell ref="AG464:AK464"/>
    <mergeCell ref="B465:D465"/>
    <mergeCell ref="E465:H465"/>
    <mergeCell ref="J465:L465"/>
    <mergeCell ref="M465:O465"/>
    <mergeCell ref="P465:R465"/>
    <mergeCell ref="S465:V465"/>
    <mergeCell ref="W465:Z465"/>
    <mergeCell ref="AA465:AF465"/>
    <mergeCell ref="AG465:AK465"/>
    <mergeCell ref="AA463:AF463"/>
    <mergeCell ref="AG463:AK463"/>
    <mergeCell ref="B464:D464"/>
    <mergeCell ref="E464:H464"/>
    <mergeCell ref="J464:L464"/>
    <mergeCell ref="M464:O464"/>
    <mergeCell ref="P464:R464"/>
    <mergeCell ref="S464:V464"/>
    <mergeCell ref="W464:Z464"/>
    <mergeCell ref="AA464:AF464"/>
    <mergeCell ref="W470:Z470"/>
    <mergeCell ref="AA470:AF470"/>
    <mergeCell ref="AG470:AK470"/>
    <mergeCell ref="B471:D471"/>
    <mergeCell ref="E471:H471"/>
    <mergeCell ref="J471:L471"/>
    <mergeCell ref="M471:O471"/>
    <mergeCell ref="P471:R471"/>
    <mergeCell ref="S471:V471"/>
    <mergeCell ref="W471:Z471"/>
    <mergeCell ref="B470:D470"/>
    <mergeCell ref="E470:H470"/>
    <mergeCell ref="J470:L470"/>
    <mergeCell ref="M470:O470"/>
    <mergeCell ref="P470:R470"/>
    <mergeCell ref="S470:V470"/>
    <mergeCell ref="AG468:AK468"/>
    <mergeCell ref="B469:D469"/>
    <mergeCell ref="E469:H469"/>
    <mergeCell ref="J469:L469"/>
    <mergeCell ref="M469:O469"/>
    <mergeCell ref="P469:R469"/>
    <mergeCell ref="S469:V469"/>
    <mergeCell ref="W469:Z469"/>
    <mergeCell ref="AA469:AF469"/>
    <mergeCell ref="AG469:AK469"/>
    <mergeCell ref="AA467:AF467"/>
    <mergeCell ref="AG467:AK467"/>
    <mergeCell ref="B468:D468"/>
    <mergeCell ref="E468:H468"/>
    <mergeCell ref="J468:L468"/>
    <mergeCell ref="M468:O468"/>
    <mergeCell ref="P468:R468"/>
    <mergeCell ref="S468:V468"/>
    <mergeCell ref="W468:Z468"/>
    <mergeCell ref="AA468:AF468"/>
    <mergeCell ref="W474:Z474"/>
    <mergeCell ref="AA474:AF474"/>
    <mergeCell ref="AG474:AK474"/>
    <mergeCell ref="B475:D475"/>
    <mergeCell ref="E475:H475"/>
    <mergeCell ref="J475:L475"/>
    <mergeCell ref="M475:O475"/>
    <mergeCell ref="P475:R475"/>
    <mergeCell ref="S475:V475"/>
    <mergeCell ref="W475:Z475"/>
    <mergeCell ref="B474:D474"/>
    <mergeCell ref="E474:H474"/>
    <mergeCell ref="J474:L474"/>
    <mergeCell ref="M474:O474"/>
    <mergeCell ref="P474:R474"/>
    <mergeCell ref="S474:V474"/>
    <mergeCell ref="AG472:AK472"/>
    <mergeCell ref="B473:D473"/>
    <mergeCell ref="E473:H473"/>
    <mergeCell ref="J473:L473"/>
    <mergeCell ref="M473:O473"/>
    <mergeCell ref="P473:R473"/>
    <mergeCell ref="S473:V473"/>
    <mergeCell ref="W473:Z473"/>
    <mergeCell ref="AA473:AF473"/>
    <mergeCell ref="AG473:AK473"/>
    <mergeCell ref="AA471:AF471"/>
    <mergeCell ref="AG471:AK471"/>
    <mergeCell ref="B472:D472"/>
    <mergeCell ref="E472:H472"/>
    <mergeCell ref="J472:L472"/>
    <mergeCell ref="M472:O472"/>
    <mergeCell ref="P472:R472"/>
    <mergeCell ref="S472:V472"/>
    <mergeCell ref="W472:Z472"/>
    <mergeCell ref="AA472:AF472"/>
    <mergeCell ref="C484:J485"/>
    <mergeCell ref="K484:X484"/>
    <mergeCell ref="Y484:AG485"/>
    <mergeCell ref="AH484:AL485"/>
    <mergeCell ref="K485:X485"/>
    <mergeCell ref="C486:F486"/>
    <mergeCell ref="G486:AE487"/>
    <mergeCell ref="AF486:AG487"/>
    <mergeCell ref="AH486:AI487"/>
    <mergeCell ref="AG479:AL479"/>
    <mergeCell ref="D480:AH480"/>
    <mergeCell ref="A481:I483"/>
    <mergeCell ref="J481:AH481"/>
    <mergeCell ref="J482:AF482"/>
    <mergeCell ref="J483:AE483"/>
    <mergeCell ref="AG476:AK476"/>
    <mergeCell ref="B477:D477"/>
    <mergeCell ref="E477:H477"/>
    <mergeCell ref="J477:L477"/>
    <mergeCell ref="M477:O477"/>
    <mergeCell ref="P477:R477"/>
    <mergeCell ref="S477:V477"/>
    <mergeCell ref="W477:Z477"/>
    <mergeCell ref="AA477:AF477"/>
    <mergeCell ref="AG477:AK477"/>
    <mergeCell ref="AA475:AF475"/>
    <mergeCell ref="AG475:AK475"/>
    <mergeCell ref="B476:D476"/>
    <mergeCell ref="E476:H476"/>
    <mergeCell ref="J476:L476"/>
    <mergeCell ref="M476:O476"/>
    <mergeCell ref="P476:R476"/>
    <mergeCell ref="S476:V476"/>
    <mergeCell ref="W476:Z476"/>
    <mergeCell ref="AA476:AF476"/>
    <mergeCell ref="W491:Z491"/>
    <mergeCell ref="AA491:AF491"/>
    <mergeCell ref="AG491:AK491"/>
    <mergeCell ref="B492:D492"/>
    <mergeCell ref="E492:H492"/>
    <mergeCell ref="J492:L492"/>
    <mergeCell ref="M492:O492"/>
    <mergeCell ref="P492:R492"/>
    <mergeCell ref="S492:V492"/>
    <mergeCell ref="W492:Z492"/>
    <mergeCell ref="B491:D491"/>
    <mergeCell ref="E491:H491"/>
    <mergeCell ref="J491:L491"/>
    <mergeCell ref="M491:O491"/>
    <mergeCell ref="P491:R491"/>
    <mergeCell ref="S491:V491"/>
    <mergeCell ref="AH489:AK489"/>
    <mergeCell ref="B490:D490"/>
    <mergeCell ref="E490:H490"/>
    <mergeCell ref="J490:L490"/>
    <mergeCell ref="M490:O490"/>
    <mergeCell ref="P490:R490"/>
    <mergeCell ref="S490:V490"/>
    <mergeCell ref="W490:Z490"/>
    <mergeCell ref="AA490:AF490"/>
    <mergeCell ref="AG490:AK490"/>
    <mergeCell ref="O488:Q488"/>
    <mergeCell ref="V488:Y488"/>
    <mergeCell ref="AD488:AJ488"/>
    <mergeCell ref="B489:D489"/>
    <mergeCell ref="E489:G489"/>
    <mergeCell ref="J489:N489"/>
    <mergeCell ref="Q489:R489"/>
    <mergeCell ref="U489:V489"/>
    <mergeCell ref="X489:Z489"/>
    <mergeCell ref="AC489:AF489"/>
    <mergeCell ref="W495:Z495"/>
    <mergeCell ref="AA495:AF495"/>
    <mergeCell ref="AG495:AK495"/>
    <mergeCell ref="B496:D496"/>
    <mergeCell ref="E496:H496"/>
    <mergeCell ref="J496:L496"/>
    <mergeCell ref="M496:O496"/>
    <mergeCell ref="P496:R496"/>
    <mergeCell ref="S496:V496"/>
    <mergeCell ref="W496:Z496"/>
    <mergeCell ref="B495:D495"/>
    <mergeCell ref="E495:H495"/>
    <mergeCell ref="J495:L495"/>
    <mergeCell ref="M495:O495"/>
    <mergeCell ref="P495:R495"/>
    <mergeCell ref="S495:V495"/>
    <mergeCell ref="AG493:AK493"/>
    <mergeCell ref="B494:D494"/>
    <mergeCell ref="E494:H494"/>
    <mergeCell ref="J494:L494"/>
    <mergeCell ref="M494:O494"/>
    <mergeCell ref="P494:R494"/>
    <mergeCell ref="S494:V494"/>
    <mergeCell ref="W494:Z494"/>
    <mergeCell ref="AA494:AF494"/>
    <mergeCell ref="AG494:AK494"/>
    <mergeCell ref="AA492:AF492"/>
    <mergeCell ref="AG492:AK492"/>
    <mergeCell ref="B493:D493"/>
    <mergeCell ref="E493:H493"/>
    <mergeCell ref="J493:L493"/>
    <mergeCell ref="M493:O493"/>
    <mergeCell ref="P493:R493"/>
    <mergeCell ref="S493:V493"/>
    <mergeCell ref="W493:Z493"/>
    <mergeCell ref="AA493:AF493"/>
    <mergeCell ref="W499:Z499"/>
    <mergeCell ref="AA499:AF499"/>
    <mergeCell ref="AG499:AK499"/>
    <mergeCell ref="B500:D500"/>
    <mergeCell ref="E500:H500"/>
    <mergeCell ref="J500:L500"/>
    <mergeCell ref="M500:O500"/>
    <mergeCell ref="P500:R500"/>
    <mergeCell ref="S500:V500"/>
    <mergeCell ref="W500:Z500"/>
    <mergeCell ref="B499:D499"/>
    <mergeCell ref="E499:H499"/>
    <mergeCell ref="J499:L499"/>
    <mergeCell ref="M499:O499"/>
    <mergeCell ref="P499:R499"/>
    <mergeCell ref="S499:V499"/>
    <mergeCell ref="AG497:AK497"/>
    <mergeCell ref="B498:D498"/>
    <mergeCell ref="E498:H498"/>
    <mergeCell ref="J498:L498"/>
    <mergeCell ref="M498:O498"/>
    <mergeCell ref="P498:R498"/>
    <mergeCell ref="S498:V498"/>
    <mergeCell ref="W498:Z498"/>
    <mergeCell ref="AA498:AF498"/>
    <mergeCell ref="AG498:AK498"/>
    <mergeCell ref="AA496:AF496"/>
    <mergeCell ref="AG496:AK496"/>
    <mergeCell ref="B497:D497"/>
    <mergeCell ref="E497:H497"/>
    <mergeCell ref="J497:L497"/>
    <mergeCell ref="M497:O497"/>
    <mergeCell ref="P497:R497"/>
    <mergeCell ref="S497:V497"/>
    <mergeCell ref="W497:Z497"/>
    <mergeCell ref="AA497:AF497"/>
    <mergeCell ref="W503:Z503"/>
    <mergeCell ref="AA503:AF503"/>
    <mergeCell ref="AG503:AK503"/>
    <mergeCell ref="B504:D504"/>
    <mergeCell ref="E504:H504"/>
    <mergeCell ref="J504:L504"/>
    <mergeCell ref="M504:O504"/>
    <mergeCell ref="P504:R504"/>
    <mergeCell ref="S504:V504"/>
    <mergeCell ref="W504:Z504"/>
    <mergeCell ref="B503:D503"/>
    <mergeCell ref="E503:H503"/>
    <mergeCell ref="J503:L503"/>
    <mergeCell ref="M503:O503"/>
    <mergeCell ref="P503:R503"/>
    <mergeCell ref="S503:V503"/>
    <mergeCell ref="AG501:AK501"/>
    <mergeCell ref="B502:D502"/>
    <mergeCell ref="E502:H502"/>
    <mergeCell ref="J502:L502"/>
    <mergeCell ref="M502:O502"/>
    <mergeCell ref="P502:R502"/>
    <mergeCell ref="S502:V502"/>
    <mergeCell ref="W502:Z502"/>
    <mergeCell ref="AA502:AF502"/>
    <mergeCell ref="AG502:AK502"/>
    <mergeCell ref="AA500:AF500"/>
    <mergeCell ref="AG500:AK500"/>
    <mergeCell ref="B501:D501"/>
    <mergeCell ref="E501:H501"/>
    <mergeCell ref="J501:L501"/>
    <mergeCell ref="M501:O501"/>
    <mergeCell ref="P501:R501"/>
    <mergeCell ref="S501:V501"/>
    <mergeCell ref="W501:Z501"/>
    <mergeCell ref="AA501:AF501"/>
    <mergeCell ref="W507:Z507"/>
    <mergeCell ref="AA507:AF507"/>
    <mergeCell ref="AG507:AK507"/>
    <mergeCell ref="B508:D508"/>
    <mergeCell ref="E508:H508"/>
    <mergeCell ref="J508:L509"/>
    <mergeCell ref="M508:O508"/>
    <mergeCell ref="P508:R508"/>
    <mergeCell ref="S508:V508"/>
    <mergeCell ref="W508:Z508"/>
    <mergeCell ref="B507:D507"/>
    <mergeCell ref="E507:H507"/>
    <mergeCell ref="J507:L507"/>
    <mergeCell ref="M507:O507"/>
    <mergeCell ref="P507:R507"/>
    <mergeCell ref="S507:V507"/>
    <mergeCell ref="AG505:AK505"/>
    <mergeCell ref="B506:D506"/>
    <mergeCell ref="E506:H506"/>
    <mergeCell ref="J506:L506"/>
    <mergeCell ref="M506:O506"/>
    <mergeCell ref="P506:R506"/>
    <mergeCell ref="S506:V506"/>
    <mergeCell ref="W506:Z506"/>
    <mergeCell ref="AA506:AF506"/>
    <mergeCell ref="AG506:AK506"/>
    <mergeCell ref="AA504:AF504"/>
    <mergeCell ref="AG504:AK504"/>
    <mergeCell ref="B505:D505"/>
    <mergeCell ref="E505:H505"/>
    <mergeCell ref="J505:L505"/>
    <mergeCell ref="M505:O505"/>
    <mergeCell ref="P505:R505"/>
    <mergeCell ref="S505:V505"/>
    <mergeCell ref="W505:Z505"/>
    <mergeCell ref="AA505:AF505"/>
    <mergeCell ref="W513:Z513"/>
    <mergeCell ref="AA513:AF513"/>
    <mergeCell ref="AG513:AK513"/>
    <mergeCell ref="B514:D514"/>
    <mergeCell ref="E514:H514"/>
    <mergeCell ref="J514:L514"/>
    <mergeCell ref="M514:O514"/>
    <mergeCell ref="P514:R514"/>
    <mergeCell ref="S514:V514"/>
    <mergeCell ref="W514:Z514"/>
    <mergeCell ref="B513:D513"/>
    <mergeCell ref="E513:H513"/>
    <mergeCell ref="J513:L513"/>
    <mergeCell ref="M513:O513"/>
    <mergeCell ref="P513:R513"/>
    <mergeCell ref="S513:V513"/>
    <mergeCell ref="AG510:AK510"/>
    <mergeCell ref="B511:D511"/>
    <mergeCell ref="E511:H511"/>
    <mergeCell ref="J511:L512"/>
    <mergeCell ref="M511:O511"/>
    <mergeCell ref="P511:R511"/>
    <mergeCell ref="S511:V511"/>
    <mergeCell ref="W511:Z511"/>
    <mergeCell ref="AA511:AF511"/>
    <mergeCell ref="AG511:AK511"/>
    <mergeCell ref="AA508:AF508"/>
    <mergeCell ref="AG508:AK508"/>
    <mergeCell ref="B510:D510"/>
    <mergeCell ref="E510:H510"/>
    <mergeCell ref="J510:L510"/>
    <mergeCell ref="M510:O510"/>
    <mergeCell ref="P510:R510"/>
    <mergeCell ref="S510:V510"/>
    <mergeCell ref="W510:Z510"/>
    <mergeCell ref="AA510:AF510"/>
    <mergeCell ref="W517:Z517"/>
    <mergeCell ref="AA517:AF517"/>
    <mergeCell ref="AG517:AK517"/>
    <mergeCell ref="B518:D518"/>
    <mergeCell ref="E518:H518"/>
    <mergeCell ref="J518:L518"/>
    <mergeCell ref="M518:O518"/>
    <mergeCell ref="P518:R518"/>
    <mergeCell ref="S518:V518"/>
    <mergeCell ref="W518:Z518"/>
    <mergeCell ref="B517:D517"/>
    <mergeCell ref="E517:H517"/>
    <mergeCell ref="J517:L517"/>
    <mergeCell ref="M517:O517"/>
    <mergeCell ref="P517:R517"/>
    <mergeCell ref="S517:V517"/>
    <mergeCell ref="AG515:AK515"/>
    <mergeCell ref="B516:D516"/>
    <mergeCell ref="E516:H516"/>
    <mergeCell ref="J516:L516"/>
    <mergeCell ref="M516:O516"/>
    <mergeCell ref="P516:R516"/>
    <mergeCell ref="S516:V516"/>
    <mergeCell ref="W516:Z516"/>
    <mergeCell ref="AA516:AF516"/>
    <mergeCell ref="AG516:AK516"/>
    <mergeCell ref="AA514:AF514"/>
    <mergeCell ref="AG514:AK514"/>
    <mergeCell ref="B515:D515"/>
    <mergeCell ref="E515:H515"/>
    <mergeCell ref="J515:L515"/>
    <mergeCell ref="M515:O515"/>
    <mergeCell ref="P515:R515"/>
    <mergeCell ref="S515:V515"/>
    <mergeCell ref="W515:Z515"/>
    <mergeCell ref="AA515:AF515"/>
    <mergeCell ref="W521:Z521"/>
    <mergeCell ref="AA521:AF521"/>
    <mergeCell ref="AG521:AK521"/>
    <mergeCell ref="B522:D522"/>
    <mergeCell ref="E522:H522"/>
    <mergeCell ref="J522:L522"/>
    <mergeCell ref="M522:O522"/>
    <mergeCell ref="P522:R522"/>
    <mergeCell ref="S522:V522"/>
    <mergeCell ref="W522:Z522"/>
    <mergeCell ref="B521:D521"/>
    <mergeCell ref="E521:H521"/>
    <mergeCell ref="J521:L521"/>
    <mergeCell ref="M521:O521"/>
    <mergeCell ref="P521:R521"/>
    <mergeCell ref="S521:V521"/>
    <mergeCell ref="AG519:AK519"/>
    <mergeCell ref="B520:D520"/>
    <mergeCell ref="E520:H520"/>
    <mergeCell ref="J520:L520"/>
    <mergeCell ref="M520:O520"/>
    <mergeCell ref="P520:R520"/>
    <mergeCell ref="S520:V520"/>
    <mergeCell ref="W520:Z520"/>
    <mergeCell ref="AA520:AF520"/>
    <mergeCell ref="AG520:AK520"/>
    <mergeCell ref="AA518:AF518"/>
    <mergeCell ref="AG518:AK518"/>
    <mergeCell ref="B519:D519"/>
    <mergeCell ref="E519:H519"/>
    <mergeCell ref="J519:L519"/>
    <mergeCell ref="M519:O519"/>
    <mergeCell ref="P519:R519"/>
    <mergeCell ref="S519:V519"/>
    <mergeCell ref="W519:Z519"/>
    <mergeCell ref="AA519:AF519"/>
    <mergeCell ref="W525:Z525"/>
    <mergeCell ref="AA525:AF525"/>
    <mergeCell ref="AG525:AK525"/>
    <mergeCell ref="B526:D526"/>
    <mergeCell ref="E526:H526"/>
    <mergeCell ref="J526:L526"/>
    <mergeCell ref="M526:O526"/>
    <mergeCell ref="P526:R526"/>
    <mergeCell ref="S526:V526"/>
    <mergeCell ref="W526:Z526"/>
    <mergeCell ref="B525:D525"/>
    <mergeCell ref="E525:H525"/>
    <mergeCell ref="J525:L525"/>
    <mergeCell ref="M525:O525"/>
    <mergeCell ref="P525:R525"/>
    <mergeCell ref="S525:V525"/>
    <mergeCell ref="AG523:AK523"/>
    <mergeCell ref="B524:D524"/>
    <mergeCell ref="E524:H524"/>
    <mergeCell ref="J524:L524"/>
    <mergeCell ref="M524:O524"/>
    <mergeCell ref="P524:R524"/>
    <mergeCell ref="S524:V524"/>
    <mergeCell ref="W524:Z524"/>
    <mergeCell ref="AA524:AF524"/>
    <mergeCell ref="AG524:AK524"/>
    <mergeCell ref="AA522:AF522"/>
    <mergeCell ref="AG522:AK522"/>
    <mergeCell ref="B523:D523"/>
    <mergeCell ref="E523:H523"/>
    <mergeCell ref="J523:L523"/>
    <mergeCell ref="M523:O523"/>
    <mergeCell ref="P523:R523"/>
    <mergeCell ref="S523:V523"/>
    <mergeCell ref="W523:Z523"/>
    <mergeCell ref="AA523:AF523"/>
    <mergeCell ref="W529:Z529"/>
    <mergeCell ref="AA529:AF529"/>
    <mergeCell ref="AG529:AK529"/>
    <mergeCell ref="B530:D530"/>
    <mergeCell ref="E530:H530"/>
    <mergeCell ref="J530:L530"/>
    <mergeCell ref="M530:O530"/>
    <mergeCell ref="P530:R530"/>
    <mergeCell ref="S530:V530"/>
    <mergeCell ref="W530:Z530"/>
    <mergeCell ref="B529:D529"/>
    <mergeCell ref="E529:H529"/>
    <mergeCell ref="J529:L529"/>
    <mergeCell ref="M529:O529"/>
    <mergeCell ref="P529:R529"/>
    <mergeCell ref="S529:V529"/>
    <mergeCell ref="AG527:AK527"/>
    <mergeCell ref="B528:D528"/>
    <mergeCell ref="E528:H528"/>
    <mergeCell ref="J528:L528"/>
    <mergeCell ref="M528:O528"/>
    <mergeCell ref="P528:R528"/>
    <mergeCell ref="S528:V528"/>
    <mergeCell ref="W528:Z528"/>
    <mergeCell ref="AA528:AF528"/>
    <mergeCell ref="AG528:AK528"/>
    <mergeCell ref="AA526:AF526"/>
    <mergeCell ref="AG526:AK526"/>
    <mergeCell ref="B527:D527"/>
    <mergeCell ref="E527:H527"/>
    <mergeCell ref="J527:L527"/>
    <mergeCell ref="M527:O527"/>
    <mergeCell ref="P527:R527"/>
    <mergeCell ref="S527:V527"/>
    <mergeCell ref="W527:Z527"/>
    <mergeCell ref="AA527:AF527"/>
    <mergeCell ref="W533:Z533"/>
    <mergeCell ref="AA533:AF533"/>
    <mergeCell ref="AG533:AK533"/>
    <mergeCell ref="B534:D534"/>
    <mergeCell ref="E534:H534"/>
    <mergeCell ref="J534:L534"/>
    <mergeCell ref="M534:O534"/>
    <mergeCell ref="P534:R534"/>
    <mergeCell ref="S534:V534"/>
    <mergeCell ref="W534:Z534"/>
    <mergeCell ref="B533:D533"/>
    <mergeCell ref="E533:H533"/>
    <mergeCell ref="J533:L533"/>
    <mergeCell ref="M533:O533"/>
    <mergeCell ref="P533:R533"/>
    <mergeCell ref="S533:V533"/>
    <mergeCell ref="AG531:AK531"/>
    <mergeCell ref="B532:D532"/>
    <mergeCell ref="E532:H532"/>
    <mergeCell ref="J532:L532"/>
    <mergeCell ref="M532:O532"/>
    <mergeCell ref="P532:R532"/>
    <mergeCell ref="S532:V532"/>
    <mergeCell ref="W532:Z532"/>
    <mergeCell ref="AA532:AF532"/>
    <mergeCell ref="AG532:AK532"/>
    <mergeCell ref="AA530:AF530"/>
    <mergeCell ref="AG530:AK530"/>
    <mergeCell ref="B531:D531"/>
    <mergeCell ref="E531:H531"/>
    <mergeCell ref="J531:L531"/>
    <mergeCell ref="M531:O531"/>
    <mergeCell ref="P531:R531"/>
    <mergeCell ref="S531:V531"/>
    <mergeCell ref="W531:Z531"/>
    <mergeCell ref="AA531:AF531"/>
    <mergeCell ref="C543:J544"/>
    <mergeCell ref="K543:X543"/>
    <mergeCell ref="Y543:AG544"/>
    <mergeCell ref="AH543:AL544"/>
    <mergeCell ref="K544:X544"/>
    <mergeCell ref="C545:F545"/>
    <mergeCell ref="G545:AE546"/>
    <mergeCell ref="AF545:AG546"/>
    <mergeCell ref="AH545:AI546"/>
    <mergeCell ref="AG538:AL538"/>
    <mergeCell ref="D539:AH539"/>
    <mergeCell ref="A540:I542"/>
    <mergeCell ref="J540:AH540"/>
    <mergeCell ref="J541:AF541"/>
    <mergeCell ref="J542:AE542"/>
    <mergeCell ref="AG535:AK535"/>
    <mergeCell ref="B536:D536"/>
    <mergeCell ref="E536:H536"/>
    <mergeCell ref="J536:L536"/>
    <mergeCell ref="M536:O536"/>
    <mergeCell ref="P536:R536"/>
    <mergeCell ref="S536:V536"/>
    <mergeCell ref="W536:Z536"/>
    <mergeCell ref="AA536:AF536"/>
    <mergeCell ref="AG536:AK536"/>
    <mergeCell ref="AA534:AF534"/>
    <mergeCell ref="AG534:AK534"/>
    <mergeCell ref="B535:D535"/>
    <mergeCell ref="E535:H535"/>
    <mergeCell ref="J535:L535"/>
    <mergeCell ref="M535:O535"/>
    <mergeCell ref="P535:R535"/>
    <mergeCell ref="S535:V535"/>
    <mergeCell ref="W535:Z535"/>
    <mergeCell ref="AA535:AF535"/>
    <mergeCell ref="W551:Z551"/>
    <mergeCell ref="AA551:AF551"/>
    <mergeCell ref="AG551:AK551"/>
    <mergeCell ref="B552:D552"/>
    <mergeCell ref="E552:H552"/>
    <mergeCell ref="J552:L552"/>
    <mergeCell ref="M552:O552"/>
    <mergeCell ref="P552:R552"/>
    <mergeCell ref="S552:V552"/>
    <mergeCell ref="W552:Z552"/>
    <mergeCell ref="B551:D551"/>
    <mergeCell ref="E551:H551"/>
    <mergeCell ref="J551:L551"/>
    <mergeCell ref="M551:O551"/>
    <mergeCell ref="P551:R551"/>
    <mergeCell ref="S551:V551"/>
    <mergeCell ref="AH548:AK548"/>
    <mergeCell ref="B549:D549"/>
    <mergeCell ref="E549:H549"/>
    <mergeCell ref="J549:L550"/>
    <mergeCell ref="M549:O549"/>
    <mergeCell ref="P549:R549"/>
    <mergeCell ref="S549:V549"/>
    <mergeCell ref="W549:Z549"/>
    <mergeCell ref="AA549:AF549"/>
    <mergeCell ref="AG549:AK549"/>
    <mergeCell ref="O547:Q547"/>
    <mergeCell ref="V547:Y547"/>
    <mergeCell ref="AD547:AJ547"/>
    <mergeCell ref="B548:D548"/>
    <mergeCell ref="E548:G548"/>
    <mergeCell ref="J548:N548"/>
    <mergeCell ref="Q548:R548"/>
    <mergeCell ref="U548:V548"/>
    <mergeCell ref="X548:Z548"/>
    <mergeCell ref="AC548:AF548"/>
    <mergeCell ref="W555:Z555"/>
    <mergeCell ref="AA555:AF555"/>
    <mergeCell ref="AG555:AK555"/>
    <mergeCell ref="B557:D557"/>
    <mergeCell ref="E557:H557"/>
    <mergeCell ref="J557:L557"/>
    <mergeCell ref="M557:O557"/>
    <mergeCell ref="P557:R557"/>
    <mergeCell ref="S557:V557"/>
    <mergeCell ref="W557:Z557"/>
    <mergeCell ref="B555:D555"/>
    <mergeCell ref="E555:H555"/>
    <mergeCell ref="J555:L556"/>
    <mergeCell ref="M555:O555"/>
    <mergeCell ref="P555:R555"/>
    <mergeCell ref="S555:V555"/>
    <mergeCell ref="AG553:AK553"/>
    <mergeCell ref="B554:D554"/>
    <mergeCell ref="E554:H554"/>
    <mergeCell ref="J554:L554"/>
    <mergeCell ref="M554:O554"/>
    <mergeCell ref="P554:R554"/>
    <mergeCell ref="S554:V554"/>
    <mergeCell ref="W554:Z554"/>
    <mergeCell ref="AA554:AF554"/>
    <mergeCell ref="AG554:AK554"/>
    <mergeCell ref="AA552:AF552"/>
    <mergeCell ref="AG552:AK552"/>
    <mergeCell ref="B553:D553"/>
    <mergeCell ref="E553:H553"/>
    <mergeCell ref="J553:L553"/>
    <mergeCell ref="M553:O553"/>
    <mergeCell ref="P553:R553"/>
    <mergeCell ref="S553:V553"/>
    <mergeCell ref="W553:Z553"/>
    <mergeCell ref="AA553:AF553"/>
    <mergeCell ref="W560:Z560"/>
    <mergeCell ref="AA560:AF560"/>
    <mergeCell ref="AG560:AK560"/>
    <mergeCell ref="B561:D561"/>
    <mergeCell ref="E561:H561"/>
    <mergeCell ref="J561:L562"/>
    <mergeCell ref="M561:O561"/>
    <mergeCell ref="P561:R561"/>
    <mergeCell ref="S561:V561"/>
    <mergeCell ref="W561:Z561"/>
    <mergeCell ref="B560:D560"/>
    <mergeCell ref="E560:H560"/>
    <mergeCell ref="J560:L560"/>
    <mergeCell ref="M560:O560"/>
    <mergeCell ref="P560:R560"/>
    <mergeCell ref="S560:V560"/>
    <mergeCell ref="AG558:AK558"/>
    <mergeCell ref="B559:D559"/>
    <mergeCell ref="E559:H559"/>
    <mergeCell ref="J559:L559"/>
    <mergeCell ref="M559:O559"/>
    <mergeCell ref="P559:R559"/>
    <mergeCell ref="S559:V559"/>
    <mergeCell ref="W559:Z559"/>
    <mergeCell ref="AA559:AF559"/>
    <mergeCell ref="AG559:AK559"/>
    <mergeCell ref="AA557:AF557"/>
    <mergeCell ref="AG557:AK557"/>
    <mergeCell ref="B558:D558"/>
    <mergeCell ref="E558:H558"/>
    <mergeCell ref="J558:L558"/>
    <mergeCell ref="M558:O558"/>
    <mergeCell ref="P558:R558"/>
    <mergeCell ref="S558:V558"/>
    <mergeCell ref="W558:Z558"/>
    <mergeCell ref="AA558:AF558"/>
    <mergeCell ref="W565:Z565"/>
    <mergeCell ref="AA565:AF565"/>
    <mergeCell ref="AG565:AK565"/>
    <mergeCell ref="B567:D567"/>
    <mergeCell ref="E567:H567"/>
    <mergeCell ref="J567:L567"/>
    <mergeCell ref="M567:O567"/>
    <mergeCell ref="P567:R567"/>
    <mergeCell ref="S567:V567"/>
    <mergeCell ref="W567:Z567"/>
    <mergeCell ref="B565:D565"/>
    <mergeCell ref="E565:H565"/>
    <mergeCell ref="J565:L566"/>
    <mergeCell ref="M565:O565"/>
    <mergeCell ref="P565:R565"/>
    <mergeCell ref="S565:V565"/>
    <mergeCell ref="AG563:AK563"/>
    <mergeCell ref="B564:D564"/>
    <mergeCell ref="E564:H564"/>
    <mergeCell ref="J564:L564"/>
    <mergeCell ref="M564:O564"/>
    <mergeCell ref="P564:R564"/>
    <mergeCell ref="S564:V564"/>
    <mergeCell ref="W564:Z564"/>
    <mergeCell ref="AA564:AF564"/>
    <mergeCell ref="AG564:AK564"/>
    <mergeCell ref="AA561:AF561"/>
    <mergeCell ref="AG561:AK561"/>
    <mergeCell ref="B563:D563"/>
    <mergeCell ref="E563:H563"/>
    <mergeCell ref="J563:L563"/>
    <mergeCell ref="M563:O563"/>
    <mergeCell ref="P563:R563"/>
    <mergeCell ref="S563:V563"/>
    <mergeCell ref="W563:Z563"/>
    <mergeCell ref="AA563:AF563"/>
    <mergeCell ref="W570:Z570"/>
    <mergeCell ref="AA570:AF570"/>
    <mergeCell ref="AG570:AK570"/>
    <mergeCell ref="B571:D571"/>
    <mergeCell ref="E571:H571"/>
    <mergeCell ref="J571:L571"/>
    <mergeCell ref="M571:O571"/>
    <mergeCell ref="P571:R571"/>
    <mergeCell ref="S571:V571"/>
    <mergeCell ref="W571:Z571"/>
    <mergeCell ref="B570:D570"/>
    <mergeCell ref="E570:H570"/>
    <mergeCell ref="J570:L570"/>
    <mergeCell ref="M570:O570"/>
    <mergeCell ref="P570:R570"/>
    <mergeCell ref="S570:V570"/>
    <mergeCell ref="AG568:AK568"/>
    <mergeCell ref="B569:D569"/>
    <mergeCell ref="E569:H569"/>
    <mergeCell ref="J569:L569"/>
    <mergeCell ref="M569:O569"/>
    <mergeCell ref="P569:R569"/>
    <mergeCell ref="S569:V569"/>
    <mergeCell ref="W569:Z569"/>
    <mergeCell ref="AA569:AF569"/>
    <mergeCell ref="AG569:AK569"/>
    <mergeCell ref="AA567:AF567"/>
    <mergeCell ref="AG567:AK567"/>
    <mergeCell ref="B568:D568"/>
    <mergeCell ref="E568:H568"/>
    <mergeCell ref="J568:L568"/>
    <mergeCell ref="M568:O568"/>
    <mergeCell ref="P568:R568"/>
    <mergeCell ref="S568:V568"/>
    <mergeCell ref="W568:Z568"/>
    <mergeCell ref="AA568:AF568"/>
    <mergeCell ref="W574:Z574"/>
    <mergeCell ref="AA574:AF574"/>
    <mergeCell ref="AG574:AK574"/>
    <mergeCell ref="B575:D575"/>
    <mergeCell ref="E575:H575"/>
    <mergeCell ref="J575:L575"/>
    <mergeCell ref="M575:O575"/>
    <mergeCell ref="P575:R575"/>
    <mergeCell ref="S575:V575"/>
    <mergeCell ref="W575:Z575"/>
    <mergeCell ref="B574:D574"/>
    <mergeCell ref="E574:H574"/>
    <mergeCell ref="J574:L574"/>
    <mergeCell ref="M574:O574"/>
    <mergeCell ref="P574:R574"/>
    <mergeCell ref="S574:V574"/>
    <mergeCell ref="AG572:AK572"/>
    <mergeCell ref="B573:D573"/>
    <mergeCell ref="E573:H573"/>
    <mergeCell ref="J573:L573"/>
    <mergeCell ref="M573:O573"/>
    <mergeCell ref="P573:R573"/>
    <mergeCell ref="S573:V573"/>
    <mergeCell ref="W573:Z573"/>
    <mergeCell ref="AA573:AF573"/>
    <mergeCell ref="AG573:AK573"/>
    <mergeCell ref="AA571:AF571"/>
    <mergeCell ref="AG571:AK571"/>
    <mergeCell ref="B572:D572"/>
    <mergeCell ref="E572:H572"/>
    <mergeCell ref="J572:L572"/>
    <mergeCell ref="M572:O572"/>
    <mergeCell ref="P572:R572"/>
    <mergeCell ref="S572:V572"/>
    <mergeCell ref="W572:Z572"/>
    <mergeCell ref="AA572:AF572"/>
    <mergeCell ref="W579:Z579"/>
    <mergeCell ref="AA579:AF579"/>
    <mergeCell ref="AG579:AK579"/>
    <mergeCell ref="B580:D580"/>
    <mergeCell ref="E580:H580"/>
    <mergeCell ref="J580:L580"/>
    <mergeCell ref="M580:O580"/>
    <mergeCell ref="P580:R580"/>
    <mergeCell ref="S580:V580"/>
    <mergeCell ref="W580:Z580"/>
    <mergeCell ref="B579:D579"/>
    <mergeCell ref="E579:H579"/>
    <mergeCell ref="J579:L579"/>
    <mergeCell ref="M579:O579"/>
    <mergeCell ref="P579:R579"/>
    <mergeCell ref="S579:V579"/>
    <mergeCell ref="AG576:AK576"/>
    <mergeCell ref="B577:D577"/>
    <mergeCell ref="E577:H577"/>
    <mergeCell ref="J577:L578"/>
    <mergeCell ref="M577:O577"/>
    <mergeCell ref="P577:R577"/>
    <mergeCell ref="S577:V577"/>
    <mergeCell ref="W577:Z577"/>
    <mergeCell ref="AA577:AF577"/>
    <mergeCell ref="AG577:AK577"/>
    <mergeCell ref="AA575:AF575"/>
    <mergeCell ref="AG575:AK575"/>
    <mergeCell ref="B576:D576"/>
    <mergeCell ref="E576:H576"/>
    <mergeCell ref="J576:L576"/>
    <mergeCell ref="M576:O576"/>
    <mergeCell ref="P576:R576"/>
    <mergeCell ref="S576:V576"/>
    <mergeCell ref="W576:Z576"/>
    <mergeCell ref="AA576:AF576"/>
    <mergeCell ref="W583:Z583"/>
    <mergeCell ref="AA583:AF583"/>
    <mergeCell ref="AG583:AK583"/>
    <mergeCell ref="B584:D584"/>
    <mergeCell ref="E584:H584"/>
    <mergeCell ref="J584:L584"/>
    <mergeCell ref="M584:O584"/>
    <mergeCell ref="P584:R584"/>
    <mergeCell ref="S584:V584"/>
    <mergeCell ref="W584:Z584"/>
    <mergeCell ref="B583:D583"/>
    <mergeCell ref="E583:H583"/>
    <mergeCell ref="J583:L583"/>
    <mergeCell ref="M583:O583"/>
    <mergeCell ref="P583:R583"/>
    <mergeCell ref="S583:V583"/>
    <mergeCell ref="AG581:AK581"/>
    <mergeCell ref="B582:D582"/>
    <mergeCell ref="E582:H582"/>
    <mergeCell ref="J582:L582"/>
    <mergeCell ref="M582:O582"/>
    <mergeCell ref="P582:R582"/>
    <mergeCell ref="S582:V582"/>
    <mergeCell ref="W582:Z582"/>
    <mergeCell ref="AA582:AF582"/>
    <mergeCell ref="AG582:AK582"/>
    <mergeCell ref="AA580:AF580"/>
    <mergeCell ref="AG580:AK580"/>
    <mergeCell ref="B581:D581"/>
    <mergeCell ref="E581:H581"/>
    <mergeCell ref="J581:L581"/>
    <mergeCell ref="M581:O581"/>
    <mergeCell ref="P581:R581"/>
    <mergeCell ref="S581:V581"/>
    <mergeCell ref="W581:Z581"/>
    <mergeCell ref="AA581:AF581"/>
    <mergeCell ref="W587:Z587"/>
    <mergeCell ref="AA587:AF587"/>
    <mergeCell ref="AG587:AK587"/>
    <mergeCell ref="B588:D588"/>
    <mergeCell ref="E588:H588"/>
    <mergeCell ref="J588:L588"/>
    <mergeCell ref="M588:O588"/>
    <mergeCell ref="P588:R588"/>
    <mergeCell ref="S588:V588"/>
    <mergeCell ref="W588:Z588"/>
    <mergeCell ref="B587:D587"/>
    <mergeCell ref="E587:H587"/>
    <mergeCell ref="J587:L587"/>
    <mergeCell ref="M587:O587"/>
    <mergeCell ref="P587:R587"/>
    <mergeCell ref="S587:V587"/>
    <mergeCell ref="AG585:AK585"/>
    <mergeCell ref="B586:D586"/>
    <mergeCell ref="E586:H586"/>
    <mergeCell ref="J586:L586"/>
    <mergeCell ref="M586:O586"/>
    <mergeCell ref="P586:R586"/>
    <mergeCell ref="S586:V586"/>
    <mergeCell ref="W586:Z586"/>
    <mergeCell ref="AA586:AF586"/>
    <mergeCell ref="AG586:AK586"/>
    <mergeCell ref="AA584:AF584"/>
    <mergeCell ref="AG584:AK584"/>
    <mergeCell ref="B585:D585"/>
    <mergeCell ref="E585:H585"/>
    <mergeCell ref="J585:L585"/>
    <mergeCell ref="M585:O585"/>
    <mergeCell ref="P585:R585"/>
    <mergeCell ref="S585:V585"/>
    <mergeCell ref="W585:Z585"/>
    <mergeCell ref="AA585:AF585"/>
    <mergeCell ref="W591:Z591"/>
    <mergeCell ref="AA591:AF591"/>
    <mergeCell ref="AG591:AK591"/>
    <mergeCell ref="B592:D592"/>
    <mergeCell ref="E592:H592"/>
    <mergeCell ref="J592:L592"/>
    <mergeCell ref="M592:O592"/>
    <mergeCell ref="P592:R592"/>
    <mergeCell ref="S592:V592"/>
    <mergeCell ref="W592:Z592"/>
    <mergeCell ref="B591:D591"/>
    <mergeCell ref="E591:H591"/>
    <mergeCell ref="J591:L591"/>
    <mergeCell ref="M591:O591"/>
    <mergeCell ref="P591:R591"/>
    <mergeCell ref="S591:V591"/>
    <mergeCell ref="AG589:AK589"/>
    <mergeCell ref="B590:D590"/>
    <mergeCell ref="E590:H590"/>
    <mergeCell ref="J590:L590"/>
    <mergeCell ref="M590:O590"/>
    <mergeCell ref="P590:R590"/>
    <mergeCell ref="S590:V590"/>
    <mergeCell ref="W590:Z590"/>
    <mergeCell ref="AA590:AF590"/>
    <mergeCell ref="AG590:AK590"/>
    <mergeCell ref="AA588:AF588"/>
    <mergeCell ref="AG588:AK588"/>
    <mergeCell ref="B589:D589"/>
    <mergeCell ref="E589:H589"/>
    <mergeCell ref="J589:L589"/>
    <mergeCell ref="M589:O589"/>
    <mergeCell ref="P589:R589"/>
    <mergeCell ref="S589:V589"/>
    <mergeCell ref="W589:Z589"/>
    <mergeCell ref="AA589:AF589"/>
    <mergeCell ref="W595:Z595"/>
    <mergeCell ref="AA595:AF595"/>
    <mergeCell ref="AG595:AK595"/>
    <mergeCell ref="B596:D596"/>
    <mergeCell ref="E596:H596"/>
    <mergeCell ref="J596:L596"/>
    <mergeCell ref="M596:O596"/>
    <mergeCell ref="P596:R596"/>
    <mergeCell ref="S596:V596"/>
    <mergeCell ref="W596:Z596"/>
    <mergeCell ref="B595:D595"/>
    <mergeCell ref="E595:H595"/>
    <mergeCell ref="J595:L595"/>
    <mergeCell ref="M595:O595"/>
    <mergeCell ref="P595:R595"/>
    <mergeCell ref="S595:V595"/>
    <mergeCell ref="AG593:AK593"/>
    <mergeCell ref="B594:D594"/>
    <mergeCell ref="E594:H594"/>
    <mergeCell ref="J594:L594"/>
    <mergeCell ref="M594:O594"/>
    <mergeCell ref="P594:R594"/>
    <mergeCell ref="S594:V594"/>
    <mergeCell ref="W594:Z594"/>
    <mergeCell ref="AA594:AF594"/>
    <mergeCell ref="AG594:AK594"/>
    <mergeCell ref="AA592:AF592"/>
    <mergeCell ref="AG592:AK592"/>
    <mergeCell ref="B593:D593"/>
    <mergeCell ref="E593:H593"/>
    <mergeCell ref="J593:L593"/>
    <mergeCell ref="M593:O593"/>
    <mergeCell ref="P593:R593"/>
    <mergeCell ref="S593:V593"/>
    <mergeCell ref="W593:Z593"/>
    <mergeCell ref="AA593:AF593"/>
    <mergeCell ref="AH608:AK608"/>
    <mergeCell ref="B609:D609"/>
    <mergeCell ref="E609:H609"/>
    <mergeCell ref="J609:L609"/>
    <mergeCell ref="M609:O609"/>
    <mergeCell ref="P609:R609"/>
    <mergeCell ref="S609:V609"/>
    <mergeCell ref="W609:Z609"/>
    <mergeCell ref="AA609:AF609"/>
    <mergeCell ref="AG609:AK609"/>
    <mergeCell ref="O607:Q607"/>
    <mergeCell ref="V607:Y607"/>
    <mergeCell ref="AD607:AJ607"/>
    <mergeCell ref="B608:D608"/>
    <mergeCell ref="E608:G608"/>
    <mergeCell ref="J608:N608"/>
    <mergeCell ref="Q608:R608"/>
    <mergeCell ref="U608:V608"/>
    <mergeCell ref="X608:Z608"/>
    <mergeCell ref="AC608:AF608"/>
    <mergeCell ref="C603:J604"/>
    <mergeCell ref="K603:X603"/>
    <mergeCell ref="Y603:AG604"/>
    <mergeCell ref="AH603:AL604"/>
    <mergeCell ref="K604:X604"/>
    <mergeCell ref="C605:F605"/>
    <mergeCell ref="G605:AE606"/>
    <mergeCell ref="AF605:AG606"/>
    <mergeCell ref="AH605:AI606"/>
    <mergeCell ref="AA596:AF596"/>
    <mergeCell ref="AG596:AK596"/>
    <mergeCell ref="AG598:AL598"/>
    <mergeCell ref="D599:AH599"/>
    <mergeCell ref="A600:I602"/>
    <mergeCell ref="J600:AH600"/>
    <mergeCell ref="J601:AF601"/>
    <mergeCell ref="J602:AE602"/>
    <mergeCell ref="AG612:AK612"/>
    <mergeCell ref="B613:D613"/>
    <mergeCell ref="E613:H613"/>
    <mergeCell ref="J613:L613"/>
    <mergeCell ref="M613:O613"/>
    <mergeCell ref="P613:R613"/>
    <mergeCell ref="S613:V613"/>
    <mergeCell ref="W613:Z613"/>
    <mergeCell ref="AA613:AF613"/>
    <mergeCell ref="AG613:AK613"/>
    <mergeCell ref="AA611:AF611"/>
    <mergeCell ref="AG611:AK611"/>
    <mergeCell ref="B612:D612"/>
    <mergeCell ref="E612:H612"/>
    <mergeCell ref="J612:L612"/>
    <mergeCell ref="M612:O612"/>
    <mergeCell ref="P612:R612"/>
    <mergeCell ref="S612:V612"/>
    <mergeCell ref="W612:Z612"/>
    <mergeCell ref="AA612:AF612"/>
    <mergeCell ref="W610:Z610"/>
    <mergeCell ref="AA610:AF610"/>
    <mergeCell ref="AG610:AK610"/>
    <mergeCell ref="B611:D611"/>
    <mergeCell ref="E611:H611"/>
    <mergeCell ref="J611:L611"/>
    <mergeCell ref="M611:O611"/>
    <mergeCell ref="P611:R611"/>
    <mergeCell ref="S611:V611"/>
    <mergeCell ref="W611:Z611"/>
    <mergeCell ref="B610:D610"/>
    <mergeCell ref="E610:H610"/>
    <mergeCell ref="J610:L610"/>
    <mergeCell ref="M610:O610"/>
    <mergeCell ref="P610:R610"/>
    <mergeCell ref="S610:V610"/>
    <mergeCell ref="AG616:AK616"/>
    <mergeCell ref="B617:D617"/>
    <mergeCell ref="E617:H617"/>
    <mergeCell ref="J617:L617"/>
    <mergeCell ref="M617:O617"/>
    <mergeCell ref="P617:R617"/>
    <mergeCell ref="S617:V617"/>
    <mergeCell ref="W617:Z617"/>
    <mergeCell ref="AA617:AF617"/>
    <mergeCell ref="AG617:AK617"/>
    <mergeCell ref="AA615:AF615"/>
    <mergeCell ref="AG615:AK615"/>
    <mergeCell ref="B616:D616"/>
    <mergeCell ref="E616:H616"/>
    <mergeCell ref="J616:L616"/>
    <mergeCell ref="M616:O616"/>
    <mergeCell ref="P616:R616"/>
    <mergeCell ref="S616:V616"/>
    <mergeCell ref="W616:Z616"/>
    <mergeCell ref="AA616:AF616"/>
    <mergeCell ref="W614:Z614"/>
    <mergeCell ref="AA614:AF614"/>
    <mergeCell ref="AG614:AK614"/>
    <mergeCell ref="B615:D615"/>
    <mergeCell ref="E615:H615"/>
    <mergeCell ref="J615:L615"/>
    <mergeCell ref="M615:O615"/>
    <mergeCell ref="P615:R615"/>
    <mergeCell ref="S615:V615"/>
    <mergeCell ref="W615:Z615"/>
    <mergeCell ref="B614:D614"/>
    <mergeCell ref="E614:H614"/>
    <mergeCell ref="J614:L614"/>
    <mergeCell ref="M614:O614"/>
    <mergeCell ref="P614:R614"/>
    <mergeCell ref="S614:V614"/>
    <mergeCell ref="AG620:AK620"/>
    <mergeCell ref="B621:D621"/>
    <mergeCell ref="E621:H621"/>
    <mergeCell ref="J621:L621"/>
    <mergeCell ref="M621:O621"/>
    <mergeCell ref="P621:R621"/>
    <mergeCell ref="S621:V621"/>
    <mergeCell ref="W621:Z621"/>
    <mergeCell ref="AA621:AF621"/>
    <mergeCell ref="AG621:AK621"/>
    <mergeCell ref="AA619:AF619"/>
    <mergeCell ref="AG619:AK619"/>
    <mergeCell ref="B620:D620"/>
    <mergeCell ref="E620:H620"/>
    <mergeCell ref="J620:L620"/>
    <mergeCell ref="M620:O620"/>
    <mergeCell ref="P620:R620"/>
    <mergeCell ref="S620:V620"/>
    <mergeCell ref="W620:Z620"/>
    <mergeCell ref="AA620:AF620"/>
    <mergeCell ref="W618:Z618"/>
    <mergeCell ref="AA618:AF618"/>
    <mergeCell ref="AG618:AK618"/>
    <mergeCell ref="B619:D619"/>
    <mergeCell ref="E619:H619"/>
    <mergeCell ref="J619:L619"/>
    <mergeCell ref="M619:O619"/>
    <mergeCell ref="P619:R619"/>
    <mergeCell ref="S619:V619"/>
    <mergeCell ref="W619:Z619"/>
    <mergeCell ref="B618:D618"/>
    <mergeCell ref="E618:H618"/>
    <mergeCell ref="J618:L618"/>
    <mergeCell ref="M618:O618"/>
    <mergeCell ref="P618:R618"/>
    <mergeCell ref="S618:V618"/>
    <mergeCell ref="AG624:AK624"/>
    <mergeCell ref="B625:D625"/>
    <mergeCell ref="E625:H625"/>
    <mergeCell ref="J625:L625"/>
    <mergeCell ref="M625:O625"/>
    <mergeCell ref="P625:R625"/>
    <mergeCell ref="S625:V625"/>
    <mergeCell ref="W625:Z625"/>
    <mergeCell ref="AA625:AF625"/>
    <mergeCell ref="AG625:AK625"/>
    <mergeCell ref="AA623:AF623"/>
    <mergeCell ref="AG623:AK623"/>
    <mergeCell ref="B624:D624"/>
    <mergeCell ref="E624:H624"/>
    <mergeCell ref="J624:L624"/>
    <mergeCell ref="M624:O624"/>
    <mergeCell ref="P624:R624"/>
    <mergeCell ref="S624:V624"/>
    <mergeCell ref="W624:Z624"/>
    <mergeCell ref="AA624:AF624"/>
    <mergeCell ref="W622:Z622"/>
    <mergeCell ref="AA622:AF622"/>
    <mergeCell ref="AG622:AK622"/>
    <mergeCell ref="B623:D623"/>
    <mergeCell ref="E623:H623"/>
    <mergeCell ref="J623:L623"/>
    <mergeCell ref="M623:O623"/>
    <mergeCell ref="P623:R623"/>
    <mergeCell ref="S623:V623"/>
    <mergeCell ref="W623:Z623"/>
    <mergeCell ref="B622:D622"/>
    <mergeCell ref="E622:H622"/>
    <mergeCell ref="J622:L622"/>
    <mergeCell ref="M622:O622"/>
    <mergeCell ref="P622:R622"/>
    <mergeCell ref="S622:V622"/>
    <mergeCell ref="AG629:AK629"/>
    <mergeCell ref="B630:D630"/>
    <mergeCell ref="E630:H630"/>
    <mergeCell ref="J630:L630"/>
    <mergeCell ref="M630:O630"/>
    <mergeCell ref="P630:R630"/>
    <mergeCell ref="S630:V630"/>
    <mergeCell ref="W630:Z630"/>
    <mergeCell ref="AA630:AF630"/>
    <mergeCell ref="AG630:AK630"/>
    <mergeCell ref="AA627:AF627"/>
    <mergeCell ref="AG627:AK627"/>
    <mergeCell ref="B629:D629"/>
    <mergeCell ref="E629:H629"/>
    <mergeCell ref="J629:L629"/>
    <mergeCell ref="M629:O629"/>
    <mergeCell ref="P629:R629"/>
    <mergeCell ref="S629:V629"/>
    <mergeCell ref="W629:Z629"/>
    <mergeCell ref="AA629:AF629"/>
    <mergeCell ref="W626:Z626"/>
    <mergeCell ref="AA626:AF626"/>
    <mergeCell ref="AG626:AK626"/>
    <mergeCell ref="B627:D627"/>
    <mergeCell ref="E627:H627"/>
    <mergeCell ref="J627:L628"/>
    <mergeCell ref="M627:O627"/>
    <mergeCell ref="P627:R627"/>
    <mergeCell ref="S627:V627"/>
    <mergeCell ref="W627:Z627"/>
    <mergeCell ref="B626:D626"/>
    <mergeCell ref="E626:H626"/>
    <mergeCell ref="J626:L626"/>
    <mergeCell ref="M626:O626"/>
    <mergeCell ref="P626:R626"/>
    <mergeCell ref="S626:V626"/>
    <mergeCell ref="AG633:AK633"/>
    <mergeCell ref="B634:D634"/>
    <mergeCell ref="E634:H634"/>
    <mergeCell ref="J634:L634"/>
    <mergeCell ref="M634:O634"/>
    <mergeCell ref="P634:R634"/>
    <mergeCell ref="S634:V634"/>
    <mergeCell ref="W634:Z634"/>
    <mergeCell ref="AA634:AF634"/>
    <mergeCell ref="AG634:AK634"/>
    <mergeCell ref="AA632:AF632"/>
    <mergeCell ref="AG632:AK632"/>
    <mergeCell ref="B633:D633"/>
    <mergeCell ref="E633:H633"/>
    <mergeCell ref="J633:L633"/>
    <mergeCell ref="M633:O633"/>
    <mergeCell ref="P633:R633"/>
    <mergeCell ref="S633:V633"/>
    <mergeCell ref="W633:Z633"/>
    <mergeCell ref="AA633:AF633"/>
    <mergeCell ref="W631:Z631"/>
    <mergeCell ref="AA631:AF631"/>
    <mergeCell ref="AG631:AK631"/>
    <mergeCell ref="B632:D632"/>
    <mergeCell ref="E632:H632"/>
    <mergeCell ref="J632:L632"/>
    <mergeCell ref="M632:O632"/>
    <mergeCell ref="P632:R632"/>
    <mergeCell ref="S632:V632"/>
    <mergeCell ref="W632:Z632"/>
    <mergeCell ref="B631:D631"/>
    <mergeCell ref="E631:H631"/>
    <mergeCell ref="J631:L631"/>
    <mergeCell ref="M631:O631"/>
    <mergeCell ref="P631:R631"/>
    <mergeCell ref="S631:V631"/>
    <mergeCell ref="AG637:AK637"/>
    <mergeCell ref="B638:D638"/>
    <mergeCell ref="E638:H638"/>
    <mergeCell ref="J638:L638"/>
    <mergeCell ref="M638:O638"/>
    <mergeCell ref="P638:R638"/>
    <mergeCell ref="S638:V638"/>
    <mergeCell ref="W638:Z638"/>
    <mergeCell ref="AA638:AF638"/>
    <mergeCell ref="AG638:AK638"/>
    <mergeCell ref="AA636:AF636"/>
    <mergeCell ref="AG636:AK636"/>
    <mergeCell ref="B637:D637"/>
    <mergeCell ref="E637:H637"/>
    <mergeCell ref="J637:L637"/>
    <mergeCell ref="M637:O637"/>
    <mergeCell ref="P637:R637"/>
    <mergeCell ref="S637:V637"/>
    <mergeCell ref="W637:Z637"/>
    <mergeCell ref="AA637:AF637"/>
    <mergeCell ref="W635:Z635"/>
    <mergeCell ref="AA635:AF635"/>
    <mergeCell ref="AG635:AK635"/>
    <mergeCell ref="B636:D636"/>
    <mergeCell ref="E636:H636"/>
    <mergeCell ref="J636:L636"/>
    <mergeCell ref="M636:O636"/>
    <mergeCell ref="P636:R636"/>
    <mergeCell ref="S636:V636"/>
    <mergeCell ref="W636:Z636"/>
    <mergeCell ref="B635:D635"/>
    <mergeCell ref="E635:H635"/>
    <mergeCell ref="J635:L635"/>
    <mergeCell ref="M635:O635"/>
    <mergeCell ref="P635:R635"/>
    <mergeCell ref="S635:V635"/>
    <mergeCell ref="AG642:AK642"/>
    <mergeCell ref="B643:D643"/>
    <mergeCell ref="E643:H643"/>
    <mergeCell ref="J643:L643"/>
    <mergeCell ref="M643:O643"/>
    <mergeCell ref="P643:R643"/>
    <mergeCell ref="S643:V643"/>
    <mergeCell ref="W643:Z643"/>
    <mergeCell ref="AA643:AF643"/>
    <mergeCell ref="AG643:AK643"/>
    <mergeCell ref="AA640:AF640"/>
    <mergeCell ref="AG640:AK640"/>
    <mergeCell ref="B642:D642"/>
    <mergeCell ref="E642:H642"/>
    <mergeCell ref="J642:L642"/>
    <mergeCell ref="M642:O642"/>
    <mergeCell ref="P642:R642"/>
    <mergeCell ref="S642:V642"/>
    <mergeCell ref="W642:Z642"/>
    <mergeCell ref="AA642:AF642"/>
    <mergeCell ref="W639:Z639"/>
    <mergeCell ref="AA639:AF639"/>
    <mergeCell ref="AG639:AK639"/>
    <mergeCell ref="B640:D640"/>
    <mergeCell ref="E640:H640"/>
    <mergeCell ref="J640:L641"/>
    <mergeCell ref="M640:O640"/>
    <mergeCell ref="P640:R640"/>
    <mergeCell ref="S640:V640"/>
    <mergeCell ref="W640:Z640"/>
    <mergeCell ref="B639:D639"/>
    <mergeCell ref="E639:H639"/>
    <mergeCell ref="J639:L639"/>
    <mergeCell ref="M639:O639"/>
    <mergeCell ref="P639:R639"/>
    <mergeCell ref="S639:V639"/>
    <mergeCell ref="AG646:AK646"/>
    <mergeCell ref="B647:D647"/>
    <mergeCell ref="E647:H647"/>
    <mergeCell ref="J647:L647"/>
    <mergeCell ref="M647:O647"/>
    <mergeCell ref="P647:R647"/>
    <mergeCell ref="S647:V647"/>
    <mergeCell ref="W647:Z647"/>
    <mergeCell ref="AA647:AF647"/>
    <mergeCell ref="AG647:AK647"/>
    <mergeCell ref="AA645:AF645"/>
    <mergeCell ref="AG645:AK645"/>
    <mergeCell ref="B646:D646"/>
    <mergeCell ref="E646:H646"/>
    <mergeCell ref="J646:L646"/>
    <mergeCell ref="M646:O646"/>
    <mergeCell ref="P646:R646"/>
    <mergeCell ref="S646:V646"/>
    <mergeCell ref="W646:Z646"/>
    <mergeCell ref="AA646:AF646"/>
    <mergeCell ref="W644:Z644"/>
    <mergeCell ref="AA644:AF644"/>
    <mergeCell ref="AG644:AK644"/>
    <mergeCell ref="B645:D645"/>
    <mergeCell ref="E645:H645"/>
    <mergeCell ref="J645:L645"/>
    <mergeCell ref="M645:O645"/>
    <mergeCell ref="P645:R645"/>
    <mergeCell ref="S645:V645"/>
    <mergeCell ref="W645:Z645"/>
    <mergeCell ref="B644:D644"/>
    <mergeCell ref="E644:H644"/>
    <mergeCell ref="J644:L644"/>
    <mergeCell ref="M644:O644"/>
    <mergeCell ref="P644:R644"/>
    <mergeCell ref="S644:V644"/>
    <mergeCell ref="AG650:AK650"/>
    <mergeCell ref="B651:D651"/>
    <mergeCell ref="E651:H651"/>
    <mergeCell ref="J651:L651"/>
    <mergeCell ref="M651:O651"/>
    <mergeCell ref="P651:R651"/>
    <mergeCell ref="S651:V651"/>
    <mergeCell ref="W651:Z651"/>
    <mergeCell ref="AA651:AF651"/>
    <mergeCell ref="AG651:AK651"/>
    <mergeCell ref="AA649:AF649"/>
    <mergeCell ref="AG649:AK649"/>
    <mergeCell ref="B650:D650"/>
    <mergeCell ref="E650:H650"/>
    <mergeCell ref="J650:L650"/>
    <mergeCell ref="M650:O650"/>
    <mergeCell ref="P650:R650"/>
    <mergeCell ref="S650:V650"/>
    <mergeCell ref="W650:Z650"/>
    <mergeCell ref="AA650:AF650"/>
    <mergeCell ref="W648:Z648"/>
    <mergeCell ref="AA648:AF648"/>
    <mergeCell ref="AG648:AK648"/>
    <mergeCell ref="B649:D649"/>
    <mergeCell ref="E649:H649"/>
    <mergeCell ref="J649:L649"/>
    <mergeCell ref="M649:O649"/>
    <mergeCell ref="P649:R649"/>
    <mergeCell ref="S649:V649"/>
    <mergeCell ref="W649:Z649"/>
    <mergeCell ref="B648:D648"/>
    <mergeCell ref="E648:H648"/>
    <mergeCell ref="J648:L648"/>
    <mergeCell ref="M648:O648"/>
    <mergeCell ref="P648:R648"/>
    <mergeCell ref="S648:V648"/>
    <mergeCell ref="AG655:AK655"/>
    <mergeCell ref="B656:D656"/>
    <mergeCell ref="E656:H656"/>
    <mergeCell ref="J656:L656"/>
    <mergeCell ref="M656:O656"/>
    <mergeCell ref="P656:R656"/>
    <mergeCell ref="S656:V656"/>
    <mergeCell ref="W656:Z656"/>
    <mergeCell ref="AA656:AF656"/>
    <mergeCell ref="AG656:AK656"/>
    <mergeCell ref="AA654:AF654"/>
    <mergeCell ref="AG654:AK654"/>
    <mergeCell ref="B655:D655"/>
    <mergeCell ref="E655:H655"/>
    <mergeCell ref="J655:L655"/>
    <mergeCell ref="M655:O655"/>
    <mergeCell ref="P655:R655"/>
    <mergeCell ref="S655:V655"/>
    <mergeCell ref="W655:Z655"/>
    <mergeCell ref="AA655:AF655"/>
    <mergeCell ref="W652:Z652"/>
    <mergeCell ref="AA652:AF652"/>
    <mergeCell ref="AG652:AK652"/>
    <mergeCell ref="B654:D654"/>
    <mergeCell ref="E654:H654"/>
    <mergeCell ref="J654:L654"/>
    <mergeCell ref="M654:O654"/>
    <mergeCell ref="P654:R654"/>
    <mergeCell ref="S654:V654"/>
    <mergeCell ref="W654:Z654"/>
    <mergeCell ref="B652:D652"/>
    <mergeCell ref="E652:H652"/>
    <mergeCell ref="J652:L653"/>
    <mergeCell ref="M652:O652"/>
    <mergeCell ref="P652:R652"/>
    <mergeCell ref="S652:V652"/>
    <mergeCell ref="AH668:AK668"/>
    <mergeCell ref="B669:D669"/>
    <mergeCell ref="E669:H669"/>
    <mergeCell ref="J669:L669"/>
    <mergeCell ref="M669:O669"/>
    <mergeCell ref="P669:R669"/>
    <mergeCell ref="S669:V669"/>
    <mergeCell ref="W669:Z669"/>
    <mergeCell ref="AA669:AF669"/>
    <mergeCell ref="AG669:AK669"/>
    <mergeCell ref="O667:Q667"/>
    <mergeCell ref="V667:Y667"/>
    <mergeCell ref="AD667:AJ667"/>
    <mergeCell ref="B668:D668"/>
    <mergeCell ref="E668:G668"/>
    <mergeCell ref="J668:N668"/>
    <mergeCell ref="Q668:R668"/>
    <mergeCell ref="U668:V668"/>
    <mergeCell ref="X668:Z668"/>
    <mergeCell ref="AC668:AF668"/>
    <mergeCell ref="C663:J664"/>
    <mergeCell ref="K663:X663"/>
    <mergeCell ref="Y663:AG664"/>
    <mergeCell ref="AH663:AL664"/>
    <mergeCell ref="K664:X664"/>
    <mergeCell ref="C665:F665"/>
    <mergeCell ref="G665:AE666"/>
    <mergeCell ref="AF665:AG666"/>
    <mergeCell ref="AH665:AI666"/>
    <mergeCell ref="AG658:AL658"/>
    <mergeCell ref="D659:AH659"/>
    <mergeCell ref="A660:I662"/>
    <mergeCell ref="J660:AH660"/>
    <mergeCell ref="J661:AF661"/>
    <mergeCell ref="J662:AE662"/>
    <mergeCell ref="AG672:AK672"/>
    <mergeCell ref="B673:D673"/>
    <mergeCell ref="E673:H673"/>
    <mergeCell ref="J673:L673"/>
    <mergeCell ref="M673:O673"/>
    <mergeCell ref="P673:R673"/>
    <mergeCell ref="S673:V673"/>
    <mergeCell ref="W673:Z673"/>
    <mergeCell ref="AA673:AF673"/>
    <mergeCell ref="AG673:AK673"/>
    <mergeCell ref="AA671:AF671"/>
    <mergeCell ref="AG671:AK671"/>
    <mergeCell ref="B672:D672"/>
    <mergeCell ref="E672:H672"/>
    <mergeCell ref="J672:L672"/>
    <mergeCell ref="M672:O672"/>
    <mergeCell ref="P672:R672"/>
    <mergeCell ref="S672:V672"/>
    <mergeCell ref="W672:Z672"/>
    <mergeCell ref="AA672:AF672"/>
    <mergeCell ref="W670:Z670"/>
    <mergeCell ref="AA670:AF670"/>
    <mergeCell ref="AG670:AK670"/>
    <mergeCell ref="B671:D671"/>
    <mergeCell ref="E671:H671"/>
    <mergeCell ref="J671:L671"/>
    <mergeCell ref="M671:O671"/>
    <mergeCell ref="P671:R671"/>
    <mergeCell ref="S671:V671"/>
    <mergeCell ref="W671:Z671"/>
    <mergeCell ref="B670:D670"/>
    <mergeCell ref="E670:H670"/>
    <mergeCell ref="J670:L670"/>
    <mergeCell ref="M670:O670"/>
    <mergeCell ref="P670:R670"/>
    <mergeCell ref="S670:V670"/>
    <mergeCell ref="AG676:AK676"/>
    <mergeCell ref="B677:D677"/>
    <mergeCell ref="E677:H677"/>
    <mergeCell ref="J677:L677"/>
    <mergeCell ref="M677:O677"/>
    <mergeCell ref="P677:R677"/>
    <mergeCell ref="S677:V677"/>
    <mergeCell ref="W677:Z677"/>
    <mergeCell ref="AA677:AF677"/>
    <mergeCell ref="AG677:AK677"/>
    <mergeCell ref="AA675:AF675"/>
    <mergeCell ref="AG675:AK675"/>
    <mergeCell ref="B676:D676"/>
    <mergeCell ref="E676:H676"/>
    <mergeCell ref="J676:L676"/>
    <mergeCell ref="M676:O676"/>
    <mergeCell ref="P676:R676"/>
    <mergeCell ref="S676:V676"/>
    <mergeCell ref="W676:Z676"/>
    <mergeCell ref="AA676:AF676"/>
    <mergeCell ref="W674:Z674"/>
    <mergeCell ref="AA674:AF674"/>
    <mergeCell ref="AG674:AK674"/>
    <mergeCell ref="B675:D675"/>
    <mergeCell ref="E675:H675"/>
    <mergeCell ref="J675:L675"/>
    <mergeCell ref="M675:O675"/>
    <mergeCell ref="P675:R675"/>
    <mergeCell ref="S675:V675"/>
    <mergeCell ref="W675:Z675"/>
    <mergeCell ref="B674:D674"/>
    <mergeCell ref="E674:H674"/>
    <mergeCell ref="J674:L674"/>
    <mergeCell ref="M674:O674"/>
    <mergeCell ref="P674:R674"/>
    <mergeCell ref="S674:V674"/>
    <mergeCell ref="AG680:AK680"/>
    <mergeCell ref="B681:D681"/>
    <mergeCell ref="E681:H681"/>
    <mergeCell ref="J681:L681"/>
    <mergeCell ref="M681:O681"/>
    <mergeCell ref="P681:R681"/>
    <mergeCell ref="S681:V681"/>
    <mergeCell ref="W681:Z681"/>
    <mergeCell ref="AA681:AF681"/>
    <mergeCell ref="AG681:AK681"/>
    <mergeCell ref="AA679:AF679"/>
    <mergeCell ref="AG679:AK679"/>
    <mergeCell ref="B680:D680"/>
    <mergeCell ref="E680:H680"/>
    <mergeCell ref="J680:L680"/>
    <mergeCell ref="M680:O680"/>
    <mergeCell ref="P680:R680"/>
    <mergeCell ref="S680:V680"/>
    <mergeCell ref="W680:Z680"/>
    <mergeCell ref="AA680:AF680"/>
    <mergeCell ref="W678:Z678"/>
    <mergeCell ref="AA678:AF678"/>
    <mergeCell ref="AG678:AK678"/>
    <mergeCell ref="B679:D679"/>
    <mergeCell ref="E679:H679"/>
    <mergeCell ref="J679:L679"/>
    <mergeCell ref="M679:O679"/>
    <mergeCell ref="P679:R679"/>
    <mergeCell ref="S679:V679"/>
    <mergeCell ref="W679:Z679"/>
    <mergeCell ref="B678:D678"/>
    <mergeCell ref="E678:H678"/>
    <mergeCell ref="J678:L678"/>
    <mergeCell ref="M678:O678"/>
    <mergeCell ref="P678:R678"/>
    <mergeCell ref="S678:V678"/>
    <mergeCell ref="AG684:AK684"/>
    <mergeCell ref="B685:D685"/>
    <mergeCell ref="E685:H685"/>
    <mergeCell ref="J685:L685"/>
    <mergeCell ref="M685:O685"/>
    <mergeCell ref="P685:R685"/>
    <mergeCell ref="S685:V685"/>
    <mergeCell ref="W685:Z685"/>
    <mergeCell ref="AA685:AF685"/>
    <mergeCell ref="AG685:AK685"/>
    <mergeCell ref="AA683:AF683"/>
    <mergeCell ref="AG683:AK683"/>
    <mergeCell ref="B684:D684"/>
    <mergeCell ref="E684:H684"/>
    <mergeCell ref="J684:L684"/>
    <mergeCell ref="M684:O684"/>
    <mergeCell ref="P684:R684"/>
    <mergeCell ref="S684:V684"/>
    <mergeCell ref="W684:Z684"/>
    <mergeCell ref="AA684:AF684"/>
    <mergeCell ref="W682:Z682"/>
    <mergeCell ref="AA682:AF682"/>
    <mergeCell ref="AG682:AK682"/>
    <mergeCell ref="B683:D683"/>
    <mergeCell ref="E683:H683"/>
    <mergeCell ref="J683:L683"/>
    <mergeCell ref="M683:O683"/>
    <mergeCell ref="P683:R683"/>
    <mergeCell ref="S683:V683"/>
    <mergeCell ref="W683:Z683"/>
    <mergeCell ref="B682:D682"/>
    <mergeCell ref="E682:H682"/>
    <mergeCell ref="J682:L682"/>
    <mergeCell ref="M682:O682"/>
    <mergeCell ref="P682:R682"/>
    <mergeCell ref="S682:V682"/>
    <mergeCell ref="AG688:AK688"/>
    <mergeCell ref="B689:D689"/>
    <mergeCell ref="E689:H689"/>
    <mergeCell ref="J689:L689"/>
    <mergeCell ref="M689:O689"/>
    <mergeCell ref="P689:R689"/>
    <mergeCell ref="S689:V689"/>
    <mergeCell ref="W689:Z689"/>
    <mergeCell ref="AA689:AF689"/>
    <mergeCell ref="AG689:AK689"/>
    <mergeCell ref="AA687:AF687"/>
    <mergeCell ref="AG687:AK687"/>
    <mergeCell ref="B688:D688"/>
    <mergeCell ref="E688:H688"/>
    <mergeCell ref="J688:L688"/>
    <mergeCell ref="M688:O688"/>
    <mergeCell ref="P688:R688"/>
    <mergeCell ref="S688:V688"/>
    <mergeCell ref="W688:Z688"/>
    <mergeCell ref="AA688:AF688"/>
    <mergeCell ref="W686:Z686"/>
    <mergeCell ref="AA686:AF686"/>
    <mergeCell ref="AG686:AK686"/>
    <mergeCell ref="B687:D687"/>
    <mergeCell ref="E687:H687"/>
    <mergeCell ref="J687:L687"/>
    <mergeCell ref="M687:O687"/>
    <mergeCell ref="P687:R687"/>
    <mergeCell ref="S687:V687"/>
    <mergeCell ref="W687:Z687"/>
    <mergeCell ref="B686:D686"/>
    <mergeCell ref="E686:H686"/>
    <mergeCell ref="J686:L686"/>
    <mergeCell ref="M686:O686"/>
    <mergeCell ref="P686:R686"/>
    <mergeCell ref="S686:V686"/>
    <mergeCell ref="AG692:AK692"/>
    <mergeCell ref="B693:D693"/>
    <mergeCell ref="E693:H693"/>
    <mergeCell ref="J693:L694"/>
    <mergeCell ref="M693:O693"/>
    <mergeCell ref="P693:R693"/>
    <mergeCell ref="S693:V693"/>
    <mergeCell ref="W693:Z693"/>
    <mergeCell ref="AA693:AF693"/>
    <mergeCell ref="AG693:AK693"/>
    <mergeCell ref="AA691:AF691"/>
    <mergeCell ref="AG691:AK691"/>
    <mergeCell ref="B692:D692"/>
    <mergeCell ref="E692:H692"/>
    <mergeCell ref="J692:L692"/>
    <mergeCell ref="M692:O692"/>
    <mergeCell ref="P692:R692"/>
    <mergeCell ref="S692:V692"/>
    <mergeCell ref="W692:Z692"/>
    <mergeCell ref="AA692:AF692"/>
    <mergeCell ref="W690:Z690"/>
    <mergeCell ref="AA690:AF690"/>
    <mergeCell ref="AG690:AK690"/>
    <mergeCell ref="B691:D691"/>
    <mergeCell ref="E691:H691"/>
    <mergeCell ref="J691:L691"/>
    <mergeCell ref="M691:O691"/>
    <mergeCell ref="P691:R691"/>
    <mergeCell ref="S691:V691"/>
    <mergeCell ref="W691:Z691"/>
    <mergeCell ref="B690:D690"/>
    <mergeCell ref="E690:H690"/>
    <mergeCell ref="J690:L690"/>
    <mergeCell ref="M690:O690"/>
    <mergeCell ref="P690:R690"/>
    <mergeCell ref="S690:V690"/>
    <mergeCell ref="AG697:AK697"/>
    <mergeCell ref="B698:D698"/>
    <mergeCell ref="E698:H698"/>
    <mergeCell ref="J698:L699"/>
    <mergeCell ref="M698:O698"/>
    <mergeCell ref="P698:R698"/>
    <mergeCell ref="S698:V698"/>
    <mergeCell ref="W698:Z698"/>
    <mergeCell ref="AA698:AF698"/>
    <mergeCell ref="AG698:AK698"/>
    <mergeCell ref="AA696:AF696"/>
    <mergeCell ref="AG696:AK696"/>
    <mergeCell ref="B697:D697"/>
    <mergeCell ref="E697:H697"/>
    <mergeCell ref="J697:L697"/>
    <mergeCell ref="M697:O697"/>
    <mergeCell ref="P697:R697"/>
    <mergeCell ref="S697:V697"/>
    <mergeCell ref="W697:Z697"/>
    <mergeCell ref="AA697:AF697"/>
    <mergeCell ref="W695:Z695"/>
    <mergeCell ref="AA695:AF695"/>
    <mergeCell ref="AG695:AK695"/>
    <mergeCell ref="B696:D696"/>
    <mergeCell ref="E696:H696"/>
    <mergeCell ref="J696:L696"/>
    <mergeCell ref="M696:O696"/>
    <mergeCell ref="P696:R696"/>
    <mergeCell ref="S696:V696"/>
    <mergeCell ref="W696:Z696"/>
    <mergeCell ref="B695:D695"/>
    <mergeCell ref="E695:H695"/>
    <mergeCell ref="J695:L695"/>
    <mergeCell ref="M695:O695"/>
    <mergeCell ref="P695:R695"/>
    <mergeCell ref="S695:V695"/>
    <mergeCell ref="AG702:AK702"/>
    <mergeCell ref="B703:D703"/>
    <mergeCell ref="E703:H703"/>
    <mergeCell ref="J703:L703"/>
    <mergeCell ref="M703:O703"/>
    <mergeCell ref="P703:R703"/>
    <mergeCell ref="S703:V703"/>
    <mergeCell ref="W703:Z703"/>
    <mergeCell ref="AA703:AF703"/>
    <mergeCell ref="AG703:AK703"/>
    <mergeCell ref="AA701:AF701"/>
    <mergeCell ref="AG701:AK701"/>
    <mergeCell ref="B702:D702"/>
    <mergeCell ref="E702:H702"/>
    <mergeCell ref="J702:L702"/>
    <mergeCell ref="M702:O702"/>
    <mergeCell ref="P702:R702"/>
    <mergeCell ref="S702:V702"/>
    <mergeCell ref="W702:Z702"/>
    <mergeCell ref="AA702:AF702"/>
    <mergeCell ref="W700:Z700"/>
    <mergeCell ref="AA700:AF700"/>
    <mergeCell ref="AG700:AK700"/>
    <mergeCell ref="B701:D701"/>
    <mergeCell ref="E701:H701"/>
    <mergeCell ref="J701:L701"/>
    <mergeCell ref="M701:O701"/>
    <mergeCell ref="P701:R701"/>
    <mergeCell ref="S701:V701"/>
    <mergeCell ref="W701:Z701"/>
    <mergeCell ref="B700:D700"/>
    <mergeCell ref="E700:H700"/>
    <mergeCell ref="J700:L700"/>
    <mergeCell ref="M700:O700"/>
    <mergeCell ref="P700:R700"/>
    <mergeCell ref="S700:V700"/>
    <mergeCell ref="AG706:AK706"/>
    <mergeCell ref="B707:D707"/>
    <mergeCell ref="E707:H707"/>
    <mergeCell ref="J707:L707"/>
    <mergeCell ref="M707:O707"/>
    <mergeCell ref="P707:R707"/>
    <mergeCell ref="S707:V707"/>
    <mergeCell ref="W707:Z707"/>
    <mergeCell ref="AA707:AF707"/>
    <mergeCell ref="AG707:AK707"/>
    <mergeCell ref="AA705:AF705"/>
    <mergeCell ref="AG705:AK705"/>
    <mergeCell ref="B706:D706"/>
    <mergeCell ref="E706:H706"/>
    <mergeCell ref="J706:L706"/>
    <mergeCell ref="M706:O706"/>
    <mergeCell ref="P706:R706"/>
    <mergeCell ref="S706:V706"/>
    <mergeCell ref="W706:Z706"/>
    <mergeCell ref="AA706:AF706"/>
    <mergeCell ref="W704:Z704"/>
    <mergeCell ref="AA704:AF704"/>
    <mergeCell ref="AG704:AK704"/>
    <mergeCell ref="B705:D705"/>
    <mergeCell ref="E705:H705"/>
    <mergeCell ref="J705:L705"/>
    <mergeCell ref="M705:O705"/>
    <mergeCell ref="P705:R705"/>
    <mergeCell ref="S705:V705"/>
    <mergeCell ref="W705:Z705"/>
    <mergeCell ref="B704:D704"/>
    <mergeCell ref="E704:H704"/>
    <mergeCell ref="J704:L704"/>
    <mergeCell ref="M704:O704"/>
    <mergeCell ref="P704:R704"/>
    <mergeCell ref="S704:V704"/>
    <mergeCell ref="AG710:AK710"/>
    <mergeCell ref="B711:D711"/>
    <mergeCell ref="E711:H711"/>
    <mergeCell ref="J711:L711"/>
    <mergeCell ref="M711:O711"/>
    <mergeCell ref="P711:R711"/>
    <mergeCell ref="S711:V711"/>
    <mergeCell ref="W711:Z711"/>
    <mergeCell ref="AA711:AF711"/>
    <mergeCell ref="AG711:AK711"/>
    <mergeCell ref="AA709:AF709"/>
    <mergeCell ref="AG709:AK709"/>
    <mergeCell ref="B710:D710"/>
    <mergeCell ref="E710:H710"/>
    <mergeCell ref="J710:L710"/>
    <mergeCell ref="M710:O710"/>
    <mergeCell ref="P710:R710"/>
    <mergeCell ref="S710:V710"/>
    <mergeCell ref="W710:Z710"/>
    <mergeCell ref="AA710:AF710"/>
    <mergeCell ref="W708:Z708"/>
    <mergeCell ref="AA708:AF708"/>
    <mergeCell ref="AG708:AK708"/>
    <mergeCell ref="B709:D709"/>
    <mergeCell ref="E709:H709"/>
    <mergeCell ref="J709:L709"/>
    <mergeCell ref="M709:O709"/>
    <mergeCell ref="P709:R709"/>
    <mergeCell ref="S709:V709"/>
    <mergeCell ref="W709:Z709"/>
    <mergeCell ref="B708:D708"/>
    <mergeCell ref="E708:H708"/>
    <mergeCell ref="J708:L708"/>
    <mergeCell ref="M708:O708"/>
    <mergeCell ref="P708:R708"/>
    <mergeCell ref="S708:V708"/>
    <mergeCell ref="AG714:AK714"/>
    <mergeCell ref="B715:D715"/>
    <mergeCell ref="E715:H715"/>
    <mergeCell ref="J715:L715"/>
    <mergeCell ref="M715:O715"/>
    <mergeCell ref="P715:R715"/>
    <mergeCell ref="S715:V715"/>
    <mergeCell ref="W715:Z715"/>
    <mergeCell ref="AA715:AF715"/>
    <mergeCell ref="AG715:AK715"/>
    <mergeCell ref="AA713:AF713"/>
    <mergeCell ref="AG713:AK713"/>
    <mergeCell ref="B714:D714"/>
    <mergeCell ref="E714:H714"/>
    <mergeCell ref="J714:L714"/>
    <mergeCell ref="M714:O714"/>
    <mergeCell ref="P714:R714"/>
    <mergeCell ref="S714:V714"/>
    <mergeCell ref="W714:Z714"/>
    <mergeCell ref="AA714:AF714"/>
    <mergeCell ref="W712:Z712"/>
    <mergeCell ref="AA712:AF712"/>
    <mergeCell ref="AG712:AK712"/>
    <mergeCell ref="B713:D713"/>
    <mergeCell ref="E713:H713"/>
    <mergeCell ref="J713:L713"/>
    <mergeCell ref="M713:O713"/>
    <mergeCell ref="P713:R713"/>
    <mergeCell ref="S713:V713"/>
    <mergeCell ref="W713:Z713"/>
    <mergeCell ref="B712:D712"/>
    <mergeCell ref="E712:H712"/>
    <mergeCell ref="J712:L712"/>
    <mergeCell ref="M712:O712"/>
    <mergeCell ref="P712:R712"/>
    <mergeCell ref="S712:V712"/>
    <mergeCell ref="O727:Q727"/>
    <mergeCell ref="V727:Y727"/>
    <mergeCell ref="AD727:AJ727"/>
    <mergeCell ref="B728:D728"/>
    <mergeCell ref="E728:G728"/>
    <mergeCell ref="J728:N728"/>
    <mergeCell ref="Q728:R728"/>
    <mergeCell ref="U728:V728"/>
    <mergeCell ref="X728:Z728"/>
    <mergeCell ref="AC728:AF728"/>
    <mergeCell ref="C723:J724"/>
    <mergeCell ref="K723:X723"/>
    <mergeCell ref="Y723:AG724"/>
    <mergeCell ref="AH723:AL724"/>
    <mergeCell ref="K724:X724"/>
    <mergeCell ref="C725:F725"/>
    <mergeCell ref="G725:AE726"/>
    <mergeCell ref="AF725:AG726"/>
    <mergeCell ref="AH725:AI726"/>
    <mergeCell ref="W716:Z716"/>
    <mergeCell ref="AA716:AF716"/>
    <mergeCell ref="AG716:AK716"/>
    <mergeCell ref="AG718:AL718"/>
    <mergeCell ref="D719:AH719"/>
    <mergeCell ref="A720:I722"/>
    <mergeCell ref="J720:AH720"/>
    <mergeCell ref="J721:AF721"/>
    <mergeCell ref="J722:AE722"/>
    <mergeCell ref="B716:D716"/>
    <mergeCell ref="E716:H716"/>
    <mergeCell ref="J716:L716"/>
    <mergeCell ref="M716:O716"/>
    <mergeCell ref="P716:R716"/>
    <mergeCell ref="S716:V716"/>
    <mergeCell ref="AA731:AF731"/>
    <mergeCell ref="AG731:AK731"/>
    <mergeCell ref="B732:D732"/>
    <mergeCell ref="E732:H732"/>
    <mergeCell ref="J732:L732"/>
    <mergeCell ref="M732:O732"/>
    <mergeCell ref="P732:R732"/>
    <mergeCell ref="S732:V732"/>
    <mergeCell ref="W732:Z732"/>
    <mergeCell ref="AA732:AF732"/>
    <mergeCell ref="W730:Z730"/>
    <mergeCell ref="AA730:AF730"/>
    <mergeCell ref="AG730:AK730"/>
    <mergeCell ref="B731:D731"/>
    <mergeCell ref="E731:H731"/>
    <mergeCell ref="J731:L731"/>
    <mergeCell ref="M731:O731"/>
    <mergeCell ref="P731:R731"/>
    <mergeCell ref="S731:V731"/>
    <mergeCell ref="W731:Z731"/>
    <mergeCell ref="B730:D730"/>
    <mergeCell ref="E730:H730"/>
    <mergeCell ref="J730:L730"/>
    <mergeCell ref="M730:O730"/>
    <mergeCell ref="P730:R730"/>
    <mergeCell ref="S730:V730"/>
    <mergeCell ref="AH728:AK728"/>
    <mergeCell ref="B729:D729"/>
    <mergeCell ref="E729:H729"/>
    <mergeCell ref="J729:L729"/>
    <mergeCell ref="M729:O729"/>
    <mergeCell ref="P729:R729"/>
    <mergeCell ref="S729:V729"/>
    <mergeCell ref="W729:Z729"/>
    <mergeCell ref="AA729:AF729"/>
    <mergeCell ref="AG729:AK729"/>
    <mergeCell ref="AA735:AF735"/>
    <mergeCell ref="AG735:AK735"/>
    <mergeCell ref="B736:D736"/>
    <mergeCell ref="E736:H736"/>
    <mergeCell ref="J736:L736"/>
    <mergeCell ref="M736:O736"/>
    <mergeCell ref="P736:R736"/>
    <mergeCell ref="S736:V736"/>
    <mergeCell ref="W736:Z736"/>
    <mergeCell ref="AA736:AF736"/>
    <mergeCell ref="W734:Z734"/>
    <mergeCell ref="AA734:AF734"/>
    <mergeCell ref="AG734:AK734"/>
    <mergeCell ref="B735:D735"/>
    <mergeCell ref="E735:H735"/>
    <mergeCell ref="J735:L735"/>
    <mergeCell ref="M735:O735"/>
    <mergeCell ref="P735:R735"/>
    <mergeCell ref="S735:V735"/>
    <mergeCell ref="W735:Z735"/>
    <mergeCell ref="B734:D734"/>
    <mergeCell ref="E734:H734"/>
    <mergeCell ref="J734:L734"/>
    <mergeCell ref="M734:O734"/>
    <mergeCell ref="P734:R734"/>
    <mergeCell ref="S734:V734"/>
    <mergeCell ref="AG732:AK732"/>
    <mergeCell ref="B733:D733"/>
    <mergeCell ref="E733:H733"/>
    <mergeCell ref="J733:L733"/>
    <mergeCell ref="M733:O733"/>
    <mergeCell ref="P733:R733"/>
    <mergeCell ref="S733:V733"/>
    <mergeCell ref="W733:Z733"/>
    <mergeCell ref="AA733:AF733"/>
    <mergeCell ref="AG733:AK733"/>
    <mergeCell ref="AA739:AF739"/>
    <mergeCell ref="AG739:AK739"/>
    <mergeCell ref="B740:D740"/>
    <mergeCell ref="E740:H740"/>
    <mergeCell ref="J740:L740"/>
    <mergeCell ref="M740:O740"/>
    <mergeCell ref="P740:R740"/>
    <mergeCell ref="S740:V740"/>
    <mergeCell ref="W740:Z740"/>
    <mergeCell ref="AA740:AF740"/>
    <mergeCell ref="W738:Z738"/>
    <mergeCell ref="AA738:AF738"/>
    <mergeCell ref="AG738:AK738"/>
    <mergeCell ref="B739:D739"/>
    <mergeCell ref="E739:H739"/>
    <mergeCell ref="J739:L739"/>
    <mergeCell ref="M739:O739"/>
    <mergeCell ref="P739:R739"/>
    <mergeCell ref="S739:V739"/>
    <mergeCell ref="W739:Z739"/>
    <mergeCell ref="B738:D738"/>
    <mergeCell ref="E738:H738"/>
    <mergeCell ref="J738:L738"/>
    <mergeCell ref="M738:O738"/>
    <mergeCell ref="P738:R738"/>
    <mergeCell ref="S738:V738"/>
    <mergeCell ref="AG736:AK736"/>
    <mergeCell ref="B737:D737"/>
    <mergeCell ref="E737:H737"/>
    <mergeCell ref="J737:L737"/>
    <mergeCell ref="M737:O737"/>
    <mergeCell ref="P737:R737"/>
    <mergeCell ref="S737:V737"/>
    <mergeCell ref="W737:Z737"/>
    <mergeCell ref="AA737:AF737"/>
    <mergeCell ref="AG737:AK737"/>
    <mergeCell ref="AA743:AF743"/>
    <mergeCell ref="AG743:AK743"/>
    <mergeCell ref="B744:D744"/>
    <mergeCell ref="E744:H744"/>
    <mergeCell ref="J744:L744"/>
    <mergeCell ref="M744:O744"/>
    <mergeCell ref="P744:R744"/>
    <mergeCell ref="S744:V744"/>
    <mergeCell ref="W744:Z744"/>
    <mergeCell ref="AA744:AF744"/>
    <mergeCell ref="W742:Z742"/>
    <mergeCell ref="AA742:AF742"/>
    <mergeCell ref="AG742:AK742"/>
    <mergeCell ref="B743:D743"/>
    <mergeCell ref="E743:H743"/>
    <mergeCell ref="J743:L743"/>
    <mergeCell ref="M743:O743"/>
    <mergeCell ref="P743:R743"/>
    <mergeCell ref="S743:V743"/>
    <mergeCell ref="W743:Z743"/>
    <mergeCell ref="B742:D742"/>
    <mergeCell ref="E742:H742"/>
    <mergeCell ref="J742:L742"/>
    <mergeCell ref="M742:O742"/>
    <mergeCell ref="P742:R742"/>
    <mergeCell ref="S742:V742"/>
    <mergeCell ref="AG740:AK740"/>
    <mergeCell ref="B741:D741"/>
    <mergeCell ref="E741:H741"/>
    <mergeCell ref="J741:L741"/>
    <mergeCell ref="M741:O741"/>
    <mergeCell ref="P741:R741"/>
    <mergeCell ref="S741:V741"/>
    <mergeCell ref="W741:Z741"/>
    <mergeCell ref="AA741:AF741"/>
    <mergeCell ref="AG741:AK741"/>
    <mergeCell ref="AA747:AF747"/>
    <mergeCell ref="AG747:AK747"/>
    <mergeCell ref="B748:D748"/>
    <mergeCell ref="E748:H748"/>
    <mergeCell ref="J748:L748"/>
    <mergeCell ref="M748:O748"/>
    <mergeCell ref="P748:R748"/>
    <mergeCell ref="S748:V748"/>
    <mergeCell ref="W748:Z748"/>
    <mergeCell ref="AA748:AF748"/>
    <mergeCell ref="W746:Z746"/>
    <mergeCell ref="AA746:AF746"/>
    <mergeCell ref="AG746:AK746"/>
    <mergeCell ref="B747:D747"/>
    <mergeCell ref="E747:H747"/>
    <mergeCell ref="J747:L747"/>
    <mergeCell ref="M747:O747"/>
    <mergeCell ref="P747:R747"/>
    <mergeCell ref="S747:V747"/>
    <mergeCell ref="W747:Z747"/>
    <mergeCell ref="B746:D746"/>
    <mergeCell ref="E746:H746"/>
    <mergeCell ref="J746:L746"/>
    <mergeCell ref="M746:O746"/>
    <mergeCell ref="P746:R746"/>
    <mergeCell ref="S746:V746"/>
    <mergeCell ref="AG744:AK744"/>
    <mergeCell ref="B745:D745"/>
    <mergeCell ref="E745:H745"/>
    <mergeCell ref="J745:L745"/>
    <mergeCell ref="M745:O745"/>
    <mergeCell ref="P745:R745"/>
    <mergeCell ref="S745:V745"/>
    <mergeCell ref="W745:Z745"/>
    <mergeCell ref="AA745:AF745"/>
    <mergeCell ref="AG745:AK745"/>
    <mergeCell ref="AA751:AF751"/>
    <mergeCell ref="AG751:AK751"/>
    <mergeCell ref="B752:D752"/>
    <mergeCell ref="E752:H752"/>
    <mergeCell ref="J752:L752"/>
    <mergeCell ref="M752:O752"/>
    <mergeCell ref="P752:R752"/>
    <mergeCell ref="S752:V752"/>
    <mergeCell ref="W752:Z752"/>
    <mergeCell ref="AA752:AF752"/>
    <mergeCell ref="W750:Z750"/>
    <mergeCell ref="AA750:AF750"/>
    <mergeCell ref="AG750:AK750"/>
    <mergeCell ref="B751:D751"/>
    <mergeCell ref="E751:H751"/>
    <mergeCell ref="J751:L751"/>
    <mergeCell ref="M751:O751"/>
    <mergeCell ref="P751:R751"/>
    <mergeCell ref="S751:V751"/>
    <mergeCell ref="W751:Z751"/>
    <mergeCell ref="B750:D750"/>
    <mergeCell ref="E750:H750"/>
    <mergeCell ref="J750:L750"/>
    <mergeCell ref="M750:O750"/>
    <mergeCell ref="P750:R750"/>
    <mergeCell ref="S750:V750"/>
    <mergeCell ref="AG748:AK748"/>
    <mergeCell ref="B749:D749"/>
    <mergeCell ref="E749:H749"/>
    <mergeCell ref="J749:L749"/>
    <mergeCell ref="M749:O749"/>
    <mergeCell ref="P749:R749"/>
    <mergeCell ref="S749:V749"/>
    <mergeCell ref="W749:Z749"/>
    <mergeCell ref="AA749:AF749"/>
    <mergeCell ref="AG749:AK749"/>
    <mergeCell ref="AA755:AF755"/>
    <mergeCell ref="AG755:AK755"/>
    <mergeCell ref="B756:D756"/>
    <mergeCell ref="E756:H756"/>
    <mergeCell ref="J756:L756"/>
    <mergeCell ref="M756:O756"/>
    <mergeCell ref="P756:R756"/>
    <mergeCell ref="S756:V756"/>
    <mergeCell ref="W756:Z756"/>
    <mergeCell ref="AA756:AF756"/>
    <mergeCell ref="W754:Z754"/>
    <mergeCell ref="AA754:AF754"/>
    <mergeCell ref="AG754:AK754"/>
    <mergeCell ref="B755:D755"/>
    <mergeCell ref="E755:H755"/>
    <mergeCell ref="J755:L755"/>
    <mergeCell ref="M755:O755"/>
    <mergeCell ref="P755:R755"/>
    <mergeCell ref="S755:V755"/>
    <mergeCell ref="W755:Z755"/>
    <mergeCell ref="B754:D754"/>
    <mergeCell ref="E754:H754"/>
    <mergeCell ref="J754:L754"/>
    <mergeCell ref="M754:O754"/>
    <mergeCell ref="P754:R754"/>
    <mergeCell ref="S754:V754"/>
    <mergeCell ref="AG752:AK752"/>
    <mergeCell ref="B753:D753"/>
    <mergeCell ref="E753:H753"/>
    <mergeCell ref="J753:L753"/>
    <mergeCell ref="M753:O753"/>
    <mergeCell ref="P753:R753"/>
    <mergeCell ref="S753:V753"/>
    <mergeCell ref="W753:Z753"/>
    <mergeCell ref="AA753:AF753"/>
    <mergeCell ref="AG753:AK753"/>
    <mergeCell ref="AA759:AF759"/>
    <mergeCell ref="AG759:AK759"/>
    <mergeCell ref="B760:D760"/>
    <mergeCell ref="E760:H760"/>
    <mergeCell ref="J760:L760"/>
    <mergeCell ref="M760:O760"/>
    <mergeCell ref="P760:R760"/>
    <mergeCell ref="S760:V760"/>
    <mergeCell ref="W760:Z760"/>
    <mergeCell ref="AA760:AF760"/>
    <mergeCell ref="W758:Z758"/>
    <mergeCell ref="AA758:AF758"/>
    <mergeCell ref="AG758:AK758"/>
    <mergeCell ref="B759:D759"/>
    <mergeCell ref="E759:H759"/>
    <mergeCell ref="J759:L759"/>
    <mergeCell ref="M759:O759"/>
    <mergeCell ref="P759:R759"/>
    <mergeCell ref="S759:V759"/>
    <mergeCell ref="W759:Z759"/>
    <mergeCell ref="B758:D758"/>
    <mergeCell ref="E758:H758"/>
    <mergeCell ref="J758:L758"/>
    <mergeCell ref="M758:O758"/>
    <mergeCell ref="P758:R758"/>
    <mergeCell ref="S758:V758"/>
    <mergeCell ref="AG756:AK756"/>
    <mergeCell ref="B757:D757"/>
    <mergeCell ref="E757:H757"/>
    <mergeCell ref="J757:L757"/>
    <mergeCell ref="M757:O757"/>
    <mergeCell ref="P757:R757"/>
    <mergeCell ref="S757:V757"/>
    <mergeCell ref="W757:Z757"/>
    <mergeCell ref="AA757:AF757"/>
    <mergeCell ref="AG757:AK757"/>
    <mergeCell ref="AA763:AF763"/>
    <mergeCell ref="AG763:AK763"/>
    <mergeCell ref="B764:D764"/>
    <mergeCell ref="E764:H764"/>
    <mergeCell ref="J764:L764"/>
    <mergeCell ref="M764:O764"/>
    <mergeCell ref="P764:R764"/>
    <mergeCell ref="S764:V764"/>
    <mergeCell ref="W764:Z764"/>
    <mergeCell ref="AA764:AF764"/>
    <mergeCell ref="W762:Z762"/>
    <mergeCell ref="AA762:AF762"/>
    <mergeCell ref="AG762:AK762"/>
    <mergeCell ref="B763:D763"/>
    <mergeCell ref="E763:H763"/>
    <mergeCell ref="J763:L763"/>
    <mergeCell ref="M763:O763"/>
    <mergeCell ref="P763:R763"/>
    <mergeCell ref="S763:V763"/>
    <mergeCell ref="W763:Z763"/>
    <mergeCell ref="B762:D762"/>
    <mergeCell ref="E762:H762"/>
    <mergeCell ref="J762:L762"/>
    <mergeCell ref="M762:O762"/>
    <mergeCell ref="P762:R762"/>
    <mergeCell ref="S762:V762"/>
    <mergeCell ref="AG760:AK760"/>
    <mergeCell ref="B761:D761"/>
    <mergeCell ref="E761:H761"/>
    <mergeCell ref="J761:L761"/>
    <mergeCell ref="M761:O761"/>
    <mergeCell ref="P761:R761"/>
    <mergeCell ref="S761:V761"/>
    <mergeCell ref="W761:Z761"/>
    <mergeCell ref="AA761:AF761"/>
    <mergeCell ref="AG761:AK761"/>
    <mergeCell ref="AA767:AF767"/>
    <mergeCell ref="AG767:AK767"/>
    <mergeCell ref="B768:D768"/>
    <mergeCell ref="E768:H768"/>
    <mergeCell ref="J768:L768"/>
    <mergeCell ref="M768:O768"/>
    <mergeCell ref="P768:R768"/>
    <mergeCell ref="S768:V768"/>
    <mergeCell ref="W768:Z768"/>
    <mergeCell ref="AA768:AF768"/>
    <mergeCell ref="W766:Z766"/>
    <mergeCell ref="AA766:AF766"/>
    <mergeCell ref="AG766:AK766"/>
    <mergeCell ref="B767:D767"/>
    <mergeCell ref="E767:H767"/>
    <mergeCell ref="J767:L767"/>
    <mergeCell ref="M767:O767"/>
    <mergeCell ref="P767:R767"/>
    <mergeCell ref="S767:V767"/>
    <mergeCell ref="W767:Z767"/>
    <mergeCell ref="B766:D766"/>
    <mergeCell ref="E766:H766"/>
    <mergeCell ref="J766:L766"/>
    <mergeCell ref="M766:O766"/>
    <mergeCell ref="P766:R766"/>
    <mergeCell ref="S766:V766"/>
    <mergeCell ref="AG764:AK764"/>
    <mergeCell ref="B765:D765"/>
    <mergeCell ref="E765:H765"/>
    <mergeCell ref="J765:L765"/>
    <mergeCell ref="M765:O765"/>
    <mergeCell ref="P765:R765"/>
    <mergeCell ref="S765:V765"/>
    <mergeCell ref="W765:Z765"/>
    <mergeCell ref="AA765:AF765"/>
    <mergeCell ref="AG765:AK765"/>
    <mergeCell ref="AA771:AF771"/>
    <mergeCell ref="AG771:AK771"/>
    <mergeCell ref="B772:D772"/>
    <mergeCell ref="E772:H772"/>
    <mergeCell ref="J772:L772"/>
    <mergeCell ref="M772:O772"/>
    <mergeCell ref="P772:R772"/>
    <mergeCell ref="S772:V772"/>
    <mergeCell ref="W772:Z772"/>
    <mergeCell ref="AA772:AF772"/>
    <mergeCell ref="W770:Z770"/>
    <mergeCell ref="AA770:AF770"/>
    <mergeCell ref="AG770:AK770"/>
    <mergeCell ref="B771:D771"/>
    <mergeCell ref="E771:H771"/>
    <mergeCell ref="J771:L771"/>
    <mergeCell ref="M771:O771"/>
    <mergeCell ref="P771:R771"/>
    <mergeCell ref="S771:V771"/>
    <mergeCell ref="W771:Z771"/>
    <mergeCell ref="B770:D770"/>
    <mergeCell ref="E770:H770"/>
    <mergeCell ref="J770:L770"/>
    <mergeCell ref="M770:O770"/>
    <mergeCell ref="P770:R770"/>
    <mergeCell ref="S770:V770"/>
    <mergeCell ref="AG768:AK768"/>
    <mergeCell ref="B769:D769"/>
    <mergeCell ref="E769:H769"/>
    <mergeCell ref="J769:L769"/>
    <mergeCell ref="M769:O769"/>
    <mergeCell ref="P769:R769"/>
    <mergeCell ref="S769:V769"/>
    <mergeCell ref="W769:Z769"/>
    <mergeCell ref="AA769:AF769"/>
    <mergeCell ref="AG769:AK769"/>
    <mergeCell ref="AA775:AF775"/>
    <mergeCell ref="AG775:AK775"/>
    <mergeCell ref="B776:D776"/>
    <mergeCell ref="E776:H776"/>
    <mergeCell ref="J776:L776"/>
    <mergeCell ref="M776:O776"/>
    <mergeCell ref="P776:R776"/>
    <mergeCell ref="S776:V776"/>
    <mergeCell ref="W776:Z776"/>
    <mergeCell ref="AA776:AF776"/>
    <mergeCell ref="W774:Z774"/>
    <mergeCell ref="AA774:AF774"/>
    <mergeCell ref="AG774:AK774"/>
    <mergeCell ref="B775:D775"/>
    <mergeCell ref="E775:H775"/>
    <mergeCell ref="J775:L775"/>
    <mergeCell ref="M775:O775"/>
    <mergeCell ref="P775:R775"/>
    <mergeCell ref="S775:V775"/>
    <mergeCell ref="W775:Z775"/>
    <mergeCell ref="B774:D774"/>
    <mergeCell ref="E774:H774"/>
    <mergeCell ref="J774:L774"/>
    <mergeCell ref="M774:O774"/>
    <mergeCell ref="P774:R774"/>
    <mergeCell ref="S774:V774"/>
    <mergeCell ref="AG772:AK772"/>
    <mergeCell ref="B773:D773"/>
    <mergeCell ref="E773:H773"/>
    <mergeCell ref="J773:L773"/>
    <mergeCell ref="M773:O773"/>
    <mergeCell ref="P773:R773"/>
    <mergeCell ref="S773:V773"/>
    <mergeCell ref="W773:Z773"/>
    <mergeCell ref="AA773:AF773"/>
    <mergeCell ref="AG773:AK773"/>
    <mergeCell ref="AH788:AK788"/>
    <mergeCell ref="B789:D789"/>
    <mergeCell ref="E789:H789"/>
    <mergeCell ref="J789:L789"/>
    <mergeCell ref="M789:O789"/>
    <mergeCell ref="P789:R789"/>
    <mergeCell ref="S789:V789"/>
    <mergeCell ref="W789:Z789"/>
    <mergeCell ref="AA789:AF789"/>
    <mergeCell ref="AG789:AK789"/>
    <mergeCell ref="O787:Q787"/>
    <mergeCell ref="V787:Y787"/>
    <mergeCell ref="AD787:AJ787"/>
    <mergeCell ref="B788:D788"/>
    <mergeCell ref="E788:G788"/>
    <mergeCell ref="J788:N788"/>
    <mergeCell ref="Q788:R788"/>
    <mergeCell ref="U788:V788"/>
    <mergeCell ref="X788:Z788"/>
    <mergeCell ref="AC788:AF788"/>
    <mergeCell ref="C783:J784"/>
    <mergeCell ref="K783:X783"/>
    <mergeCell ref="Y783:AG784"/>
    <mergeCell ref="AH783:AL784"/>
    <mergeCell ref="K784:X784"/>
    <mergeCell ref="C785:F785"/>
    <mergeCell ref="G785:AE786"/>
    <mergeCell ref="AF785:AG786"/>
    <mergeCell ref="AH785:AI786"/>
    <mergeCell ref="AG776:AK776"/>
    <mergeCell ref="AG778:AL778"/>
    <mergeCell ref="D779:AH779"/>
    <mergeCell ref="A780:I782"/>
    <mergeCell ref="J780:AH780"/>
    <mergeCell ref="J781:AF781"/>
    <mergeCell ref="J782:AE782"/>
    <mergeCell ref="AG792:AK792"/>
    <mergeCell ref="B793:D793"/>
    <mergeCell ref="E793:H793"/>
    <mergeCell ref="J793:L794"/>
    <mergeCell ref="M793:O793"/>
    <mergeCell ref="P793:R793"/>
    <mergeCell ref="S793:V793"/>
    <mergeCell ref="W793:Z793"/>
    <mergeCell ref="AA793:AF793"/>
    <mergeCell ref="AG793:AK793"/>
    <mergeCell ref="AA791:AF791"/>
    <mergeCell ref="AG791:AK791"/>
    <mergeCell ref="B792:D792"/>
    <mergeCell ref="E792:H792"/>
    <mergeCell ref="J792:L792"/>
    <mergeCell ref="M792:O792"/>
    <mergeCell ref="P792:R792"/>
    <mergeCell ref="S792:V792"/>
    <mergeCell ref="W792:Z792"/>
    <mergeCell ref="AA792:AF792"/>
    <mergeCell ref="W790:Z790"/>
    <mergeCell ref="AA790:AF790"/>
    <mergeCell ref="AG790:AK790"/>
    <mergeCell ref="B791:D791"/>
    <mergeCell ref="E791:H791"/>
    <mergeCell ref="J791:L791"/>
    <mergeCell ref="M791:O791"/>
    <mergeCell ref="P791:R791"/>
    <mergeCell ref="S791:V791"/>
    <mergeCell ref="W791:Z791"/>
    <mergeCell ref="B790:D790"/>
    <mergeCell ref="E790:H790"/>
    <mergeCell ref="J790:L790"/>
    <mergeCell ref="M790:O790"/>
    <mergeCell ref="P790:R790"/>
    <mergeCell ref="S790:V790"/>
    <mergeCell ref="AG797:AK797"/>
    <mergeCell ref="B798:D798"/>
    <mergeCell ref="E798:H798"/>
    <mergeCell ref="J798:L798"/>
    <mergeCell ref="M798:O798"/>
    <mergeCell ref="P798:R798"/>
    <mergeCell ref="S798:V798"/>
    <mergeCell ref="W798:Z798"/>
    <mergeCell ref="AA798:AF798"/>
    <mergeCell ref="AG798:AK798"/>
    <mergeCell ref="AA796:AF796"/>
    <mergeCell ref="AG796:AK796"/>
    <mergeCell ref="B797:D797"/>
    <mergeCell ref="E797:H797"/>
    <mergeCell ref="J797:L797"/>
    <mergeCell ref="M797:O797"/>
    <mergeCell ref="P797:R797"/>
    <mergeCell ref="S797:V797"/>
    <mergeCell ref="W797:Z797"/>
    <mergeCell ref="AA797:AF797"/>
    <mergeCell ref="W795:Z795"/>
    <mergeCell ref="AA795:AF795"/>
    <mergeCell ref="AG795:AK795"/>
    <mergeCell ref="B796:D796"/>
    <mergeCell ref="E796:H796"/>
    <mergeCell ref="J796:L796"/>
    <mergeCell ref="M796:O796"/>
    <mergeCell ref="P796:R796"/>
    <mergeCell ref="S796:V796"/>
    <mergeCell ref="W796:Z796"/>
    <mergeCell ref="B795:D795"/>
    <mergeCell ref="E795:H795"/>
    <mergeCell ref="J795:L795"/>
    <mergeCell ref="M795:O795"/>
    <mergeCell ref="P795:R795"/>
    <mergeCell ref="S795:V795"/>
    <mergeCell ref="AG801:AK801"/>
    <mergeCell ref="B803:D803"/>
    <mergeCell ref="E803:H803"/>
    <mergeCell ref="J803:L804"/>
    <mergeCell ref="M803:O803"/>
    <mergeCell ref="P803:R803"/>
    <mergeCell ref="S803:V803"/>
    <mergeCell ref="W803:Z803"/>
    <mergeCell ref="AA803:AF803"/>
    <mergeCell ref="AG803:AK803"/>
    <mergeCell ref="AA800:AF800"/>
    <mergeCell ref="AG800:AK800"/>
    <mergeCell ref="B801:D801"/>
    <mergeCell ref="E801:H801"/>
    <mergeCell ref="J801:L802"/>
    <mergeCell ref="M801:O801"/>
    <mergeCell ref="P801:R801"/>
    <mergeCell ref="S801:V801"/>
    <mergeCell ref="W801:Z801"/>
    <mergeCell ref="AA801:AF801"/>
    <mergeCell ref="W799:Z799"/>
    <mergeCell ref="AA799:AF799"/>
    <mergeCell ref="AG799:AK799"/>
    <mergeCell ref="B800:D800"/>
    <mergeCell ref="E800:H800"/>
    <mergeCell ref="J800:L800"/>
    <mergeCell ref="M800:O800"/>
    <mergeCell ref="P800:R800"/>
    <mergeCell ref="S800:V800"/>
    <mergeCell ref="W800:Z800"/>
    <mergeCell ref="B799:D799"/>
    <mergeCell ref="E799:H799"/>
    <mergeCell ref="J799:L799"/>
    <mergeCell ref="M799:O799"/>
    <mergeCell ref="P799:R799"/>
    <mergeCell ref="S799:V799"/>
    <mergeCell ref="AG808:AK808"/>
    <mergeCell ref="B809:D809"/>
    <mergeCell ref="E809:H809"/>
    <mergeCell ref="J809:L809"/>
    <mergeCell ref="M809:O809"/>
    <mergeCell ref="P809:R809"/>
    <mergeCell ref="S809:V809"/>
    <mergeCell ref="W809:Z809"/>
    <mergeCell ref="AA809:AF809"/>
    <mergeCell ref="AG809:AK809"/>
    <mergeCell ref="AA807:AF807"/>
    <mergeCell ref="AG807:AK807"/>
    <mergeCell ref="B808:D808"/>
    <mergeCell ref="E808:H808"/>
    <mergeCell ref="J808:L808"/>
    <mergeCell ref="M808:O808"/>
    <mergeCell ref="P808:R808"/>
    <mergeCell ref="S808:V808"/>
    <mergeCell ref="W808:Z808"/>
    <mergeCell ref="AA808:AF808"/>
    <mergeCell ref="W805:Z805"/>
    <mergeCell ref="AA805:AF805"/>
    <mergeCell ref="AG805:AK805"/>
    <mergeCell ref="B807:D807"/>
    <mergeCell ref="E807:H807"/>
    <mergeCell ref="J807:L807"/>
    <mergeCell ref="M807:O807"/>
    <mergeCell ref="P807:R807"/>
    <mergeCell ref="S807:V807"/>
    <mergeCell ref="W807:Z807"/>
    <mergeCell ref="B805:D805"/>
    <mergeCell ref="E805:H805"/>
    <mergeCell ref="J805:L806"/>
    <mergeCell ref="M805:O805"/>
    <mergeCell ref="P805:R805"/>
    <mergeCell ref="S805:V805"/>
    <mergeCell ref="AG812:AK812"/>
    <mergeCell ref="B813:D813"/>
    <mergeCell ref="E813:H813"/>
    <mergeCell ref="J813:L813"/>
    <mergeCell ref="M813:O813"/>
    <mergeCell ref="P813:R813"/>
    <mergeCell ref="S813:V813"/>
    <mergeCell ref="W813:Z813"/>
    <mergeCell ref="AA813:AF813"/>
    <mergeCell ref="AG813:AK813"/>
    <mergeCell ref="AA811:AF811"/>
    <mergeCell ref="AG811:AK811"/>
    <mergeCell ref="B812:D812"/>
    <mergeCell ref="E812:H812"/>
    <mergeCell ref="J812:L812"/>
    <mergeCell ref="M812:O812"/>
    <mergeCell ref="P812:R812"/>
    <mergeCell ref="S812:V812"/>
    <mergeCell ref="W812:Z812"/>
    <mergeCell ref="AA812:AF812"/>
    <mergeCell ref="W810:Z810"/>
    <mergeCell ref="AA810:AF810"/>
    <mergeCell ref="AG810:AK810"/>
    <mergeCell ref="B811:D811"/>
    <mergeCell ref="E811:H811"/>
    <mergeCell ref="J811:L811"/>
    <mergeCell ref="M811:O811"/>
    <mergeCell ref="P811:R811"/>
    <mergeCell ref="S811:V811"/>
    <mergeCell ref="W811:Z811"/>
    <mergeCell ref="B810:D810"/>
    <mergeCell ref="E810:H810"/>
    <mergeCell ref="J810:L810"/>
    <mergeCell ref="M810:O810"/>
    <mergeCell ref="P810:R810"/>
    <mergeCell ref="S810:V810"/>
    <mergeCell ref="AG816:AK816"/>
    <mergeCell ref="B817:D817"/>
    <mergeCell ref="E817:H817"/>
    <mergeCell ref="J817:L817"/>
    <mergeCell ref="M817:O817"/>
    <mergeCell ref="P817:R817"/>
    <mergeCell ref="S817:V817"/>
    <mergeCell ref="W817:Z817"/>
    <mergeCell ref="AA817:AF817"/>
    <mergeCell ref="AG817:AK817"/>
    <mergeCell ref="AA815:AF815"/>
    <mergeCell ref="AG815:AK815"/>
    <mergeCell ref="B816:D816"/>
    <mergeCell ref="E816:H816"/>
    <mergeCell ref="J816:L816"/>
    <mergeCell ref="M816:O816"/>
    <mergeCell ref="P816:R816"/>
    <mergeCell ref="S816:V816"/>
    <mergeCell ref="W816:Z816"/>
    <mergeCell ref="AA816:AF816"/>
    <mergeCell ref="W814:Z814"/>
    <mergeCell ref="AA814:AF814"/>
    <mergeCell ref="AG814:AK814"/>
    <mergeCell ref="B815:D815"/>
    <mergeCell ref="E815:H815"/>
    <mergeCell ref="J815:L815"/>
    <mergeCell ref="M815:O815"/>
    <mergeCell ref="P815:R815"/>
    <mergeCell ref="S815:V815"/>
    <mergeCell ref="W815:Z815"/>
    <mergeCell ref="B814:D814"/>
    <mergeCell ref="E814:H814"/>
    <mergeCell ref="J814:L814"/>
    <mergeCell ref="M814:O814"/>
    <mergeCell ref="P814:R814"/>
    <mergeCell ref="S814:V814"/>
    <mergeCell ref="AG820:AK820"/>
    <mergeCell ref="B821:D821"/>
    <mergeCell ref="E821:H821"/>
    <mergeCell ref="J821:L821"/>
    <mergeCell ref="M821:O821"/>
    <mergeCell ref="P821:R821"/>
    <mergeCell ref="S821:V821"/>
    <mergeCell ref="W821:Z821"/>
    <mergeCell ref="AA821:AF821"/>
    <mergeCell ref="AG821:AK821"/>
    <mergeCell ref="AA819:AF819"/>
    <mergeCell ref="AG819:AK819"/>
    <mergeCell ref="B820:D820"/>
    <mergeCell ref="E820:H820"/>
    <mergeCell ref="J820:L820"/>
    <mergeCell ref="M820:O820"/>
    <mergeCell ref="P820:R820"/>
    <mergeCell ref="S820:V820"/>
    <mergeCell ref="W820:Z820"/>
    <mergeCell ref="AA820:AF820"/>
    <mergeCell ref="W818:Z818"/>
    <mergeCell ref="AA818:AF818"/>
    <mergeCell ref="AG818:AK818"/>
    <mergeCell ref="B819:D819"/>
    <mergeCell ref="E819:H819"/>
    <mergeCell ref="J819:L819"/>
    <mergeCell ref="M819:O819"/>
    <mergeCell ref="P819:R819"/>
    <mergeCell ref="S819:V819"/>
    <mergeCell ref="W819:Z819"/>
    <mergeCell ref="B818:D818"/>
    <mergeCell ref="E818:H818"/>
    <mergeCell ref="J818:L818"/>
    <mergeCell ref="M818:O818"/>
    <mergeCell ref="P818:R818"/>
    <mergeCell ref="S818:V818"/>
    <mergeCell ref="AG825:AK825"/>
    <mergeCell ref="B826:D826"/>
    <mergeCell ref="E826:H826"/>
    <mergeCell ref="J826:L826"/>
    <mergeCell ref="M826:O826"/>
    <mergeCell ref="P826:R826"/>
    <mergeCell ref="S826:V826"/>
    <mergeCell ref="W826:Z826"/>
    <mergeCell ref="AA826:AF826"/>
    <mergeCell ref="AG826:AK826"/>
    <mergeCell ref="AA823:AF823"/>
    <mergeCell ref="AG823:AK823"/>
    <mergeCell ref="B825:D825"/>
    <mergeCell ref="E825:H825"/>
    <mergeCell ref="J825:L825"/>
    <mergeCell ref="M825:O825"/>
    <mergeCell ref="P825:R825"/>
    <mergeCell ref="S825:V825"/>
    <mergeCell ref="W825:Z825"/>
    <mergeCell ref="AA825:AF825"/>
    <mergeCell ref="W822:Z822"/>
    <mergeCell ref="AA822:AF822"/>
    <mergeCell ref="AG822:AK822"/>
    <mergeCell ref="B823:D823"/>
    <mergeCell ref="E823:H823"/>
    <mergeCell ref="J823:L824"/>
    <mergeCell ref="M823:O823"/>
    <mergeCell ref="P823:R823"/>
    <mergeCell ref="S823:V823"/>
    <mergeCell ref="W823:Z823"/>
    <mergeCell ref="B822:D822"/>
    <mergeCell ref="E822:H822"/>
    <mergeCell ref="J822:L822"/>
    <mergeCell ref="M822:O822"/>
    <mergeCell ref="P822:R822"/>
    <mergeCell ref="S822:V822"/>
    <mergeCell ref="AG829:AK829"/>
    <mergeCell ref="B831:D831"/>
    <mergeCell ref="E831:H831"/>
    <mergeCell ref="J831:L831"/>
    <mergeCell ref="M831:O831"/>
    <mergeCell ref="P831:R831"/>
    <mergeCell ref="S831:V831"/>
    <mergeCell ref="W831:Z831"/>
    <mergeCell ref="AA831:AF831"/>
    <mergeCell ref="AG831:AK831"/>
    <mergeCell ref="AA828:AF828"/>
    <mergeCell ref="AG828:AK828"/>
    <mergeCell ref="B829:D829"/>
    <mergeCell ref="E829:H829"/>
    <mergeCell ref="J829:L830"/>
    <mergeCell ref="M829:O829"/>
    <mergeCell ref="P829:R829"/>
    <mergeCell ref="S829:V829"/>
    <mergeCell ref="W829:Z829"/>
    <mergeCell ref="AA829:AF829"/>
    <mergeCell ref="W827:Z827"/>
    <mergeCell ref="AA827:AF827"/>
    <mergeCell ref="AG827:AK827"/>
    <mergeCell ref="B828:D828"/>
    <mergeCell ref="E828:H828"/>
    <mergeCell ref="J828:L828"/>
    <mergeCell ref="M828:O828"/>
    <mergeCell ref="P828:R828"/>
    <mergeCell ref="S828:V828"/>
    <mergeCell ref="W828:Z828"/>
    <mergeCell ref="B827:D827"/>
    <mergeCell ref="E827:H827"/>
    <mergeCell ref="J827:L827"/>
    <mergeCell ref="M827:O827"/>
    <mergeCell ref="P827:R827"/>
    <mergeCell ref="S827:V827"/>
    <mergeCell ref="AG834:AK834"/>
    <mergeCell ref="B835:D835"/>
    <mergeCell ref="E835:H835"/>
    <mergeCell ref="J835:L835"/>
    <mergeCell ref="M835:O835"/>
    <mergeCell ref="P835:R835"/>
    <mergeCell ref="S835:V835"/>
    <mergeCell ref="W835:Z835"/>
    <mergeCell ref="AA835:AF835"/>
    <mergeCell ref="AG835:AK835"/>
    <mergeCell ref="AA833:AF833"/>
    <mergeCell ref="AG833:AK833"/>
    <mergeCell ref="B834:D834"/>
    <mergeCell ref="E834:H834"/>
    <mergeCell ref="J834:L834"/>
    <mergeCell ref="M834:O834"/>
    <mergeCell ref="P834:R834"/>
    <mergeCell ref="S834:V834"/>
    <mergeCell ref="W834:Z834"/>
    <mergeCell ref="AA834:AF834"/>
    <mergeCell ref="W832:Z832"/>
    <mergeCell ref="AA832:AF832"/>
    <mergeCell ref="AG832:AK832"/>
    <mergeCell ref="B833:D833"/>
    <mergeCell ref="E833:H833"/>
    <mergeCell ref="J833:L833"/>
    <mergeCell ref="M833:O833"/>
    <mergeCell ref="P833:R833"/>
    <mergeCell ref="S833:V833"/>
    <mergeCell ref="W833:Z833"/>
    <mergeCell ref="B832:D832"/>
    <mergeCell ref="E832:H832"/>
    <mergeCell ref="J832:L832"/>
    <mergeCell ref="M832:O832"/>
    <mergeCell ref="P832:R832"/>
    <mergeCell ref="S832:V832"/>
    <mergeCell ref="AH847:AK847"/>
    <mergeCell ref="B848:D848"/>
    <mergeCell ref="E848:H848"/>
    <mergeCell ref="J848:L848"/>
    <mergeCell ref="M848:O848"/>
    <mergeCell ref="P848:R848"/>
    <mergeCell ref="S848:V848"/>
    <mergeCell ref="W848:Z848"/>
    <mergeCell ref="AA848:AF848"/>
    <mergeCell ref="AG848:AK848"/>
    <mergeCell ref="O846:Q846"/>
    <mergeCell ref="V846:Y846"/>
    <mergeCell ref="AD846:AJ846"/>
    <mergeCell ref="B847:D847"/>
    <mergeCell ref="E847:G847"/>
    <mergeCell ref="J847:N847"/>
    <mergeCell ref="Q847:R847"/>
    <mergeCell ref="U847:V847"/>
    <mergeCell ref="X847:Z847"/>
    <mergeCell ref="AC847:AF847"/>
    <mergeCell ref="C842:J843"/>
    <mergeCell ref="K842:X842"/>
    <mergeCell ref="Y842:AG843"/>
    <mergeCell ref="AH842:AL843"/>
    <mergeCell ref="K843:X843"/>
    <mergeCell ref="C844:F844"/>
    <mergeCell ref="G844:AE845"/>
    <mergeCell ref="AF844:AG845"/>
    <mergeCell ref="AH844:AI845"/>
    <mergeCell ref="W836:Z836"/>
    <mergeCell ref="AA836:AF836"/>
    <mergeCell ref="AG836:AK836"/>
    <mergeCell ref="AG837:AL837"/>
    <mergeCell ref="D838:AH838"/>
    <mergeCell ref="A839:I841"/>
    <mergeCell ref="J839:AH839"/>
    <mergeCell ref="J840:AF840"/>
    <mergeCell ref="J841:AE841"/>
    <mergeCell ref="B836:D836"/>
    <mergeCell ref="E836:H836"/>
    <mergeCell ref="J836:L836"/>
    <mergeCell ref="M836:O836"/>
    <mergeCell ref="P836:R836"/>
    <mergeCell ref="S836:V836"/>
    <mergeCell ref="AG851:AK851"/>
    <mergeCell ref="B852:D852"/>
    <mergeCell ref="E852:H852"/>
    <mergeCell ref="J852:L853"/>
    <mergeCell ref="M852:O852"/>
    <mergeCell ref="P852:R852"/>
    <mergeCell ref="S852:V852"/>
    <mergeCell ref="W852:Z852"/>
    <mergeCell ref="AA852:AF852"/>
    <mergeCell ref="AG852:AK852"/>
    <mergeCell ref="AA850:AF850"/>
    <mergeCell ref="AG850:AK850"/>
    <mergeCell ref="B851:D851"/>
    <mergeCell ref="E851:H851"/>
    <mergeCell ref="J851:L851"/>
    <mergeCell ref="M851:O851"/>
    <mergeCell ref="P851:R851"/>
    <mergeCell ref="S851:V851"/>
    <mergeCell ref="W851:Z851"/>
    <mergeCell ref="AA851:AF851"/>
    <mergeCell ref="W849:Z849"/>
    <mergeCell ref="AA849:AF849"/>
    <mergeCell ref="AG849:AK849"/>
    <mergeCell ref="B850:D850"/>
    <mergeCell ref="E850:H850"/>
    <mergeCell ref="J850:L850"/>
    <mergeCell ref="M850:O850"/>
    <mergeCell ref="P850:R850"/>
    <mergeCell ref="S850:V850"/>
    <mergeCell ref="W850:Z850"/>
    <mergeCell ref="B849:D849"/>
    <mergeCell ref="E849:H849"/>
    <mergeCell ref="J849:L849"/>
    <mergeCell ref="M849:O849"/>
    <mergeCell ref="P849:R849"/>
    <mergeCell ref="S849:V849"/>
    <mergeCell ref="AG856:AK856"/>
    <mergeCell ref="B857:D857"/>
    <mergeCell ref="E857:H857"/>
    <mergeCell ref="J857:L857"/>
    <mergeCell ref="M857:O857"/>
    <mergeCell ref="P857:R857"/>
    <mergeCell ref="S857:V857"/>
    <mergeCell ref="W857:Z857"/>
    <mergeCell ref="AA857:AF857"/>
    <mergeCell ref="AG857:AK857"/>
    <mergeCell ref="AA855:AF855"/>
    <mergeCell ref="AG855:AK855"/>
    <mergeCell ref="B856:D856"/>
    <mergeCell ref="E856:H856"/>
    <mergeCell ref="J856:L856"/>
    <mergeCell ref="M856:O856"/>
    <mergeCell ref="P856:R856"/>
    <mergeCell ref="S856:V856"/>
    <mergeCell ref="W856:Z856"/>
    <mergeCell ref="AA856:AF856"/>
    <mergeCell ref="W854:Z854"/>
    <mergeCell ref="AA854:AF854"/>
    <mergeCell ref="AG854:AK854"/>
    <mergeCell ref="B855:D855"/>
    <mergeCell ref="E855:H855"/>
    <mergeCell ref="J855:L855"/>
    <mergeCell ref="M855:O855"/>
    <mergeCell ref="P855:R855"/>
    <mergeCell ref="S855:V855"/>
    <mergeCell ref="W855:Z855"/>
    <mergeCell ref="B854:D854"/>
    <mergeCell ref="E854:H854"/>
    <mergeCell ref="J854:L854"/>
    <mergeCell ref="M854:O854"/>
    <mergeCell ref="P854:R854"/>
    <mergeCell ref="S854:V854"/>
    <mergeCell ref="AG860:AK860"/>
    <mergeCell ref="B861:D861"/>
    <mergeCell ref="E861:H861"/>
    <mergeCell ref="J861:L861"/>
    <mergeCell ref="M861:O861"/>
    <mergeCell ref="P861:R861"/>
    <mergeCell ref="S861:V861"/>
    <mergeCell ref="W861:Z861"/>
    <mergeCell ref="AA861:AF861"/>
    <mergeCell ref="AG861:AK861"/>
    <mergeCell ref="AA859:AF859"/>
    <mergeCell ref="AG859:AK859"/>
    <mergeCell ref="B860:D860"/>
    <mergeCell ref="E860:H860"/>
    <mergeCell ref="J860:L860"/>
    <mergeCell ref="M860:O860"/>
    <mergeCell ref="P860:R860"/>
    <mergeCell ref="S860:V860"/>
    <mergeCell ref="W860:Z860"/>
    <mergeCell ref="AA860:AF860"/>
    <mergeCell ref="W858:Z858"/>
    <mergeCell ref="AA858:AF858"/>
    <mergeCell ref="AG858:AK858"/>
    <mergeCell ref="B859:D859"/>
    <mergeCell ref="E859:H859"/>
    <mergeCell ref="J859:L859"/>
    <mergeCell ref="M859:O859"/>
    <mergeCell ref="P859:R859"/>
    <mergeCell ref="S859:V859"/>
    <mergeCell ref="W859:Z859"/>
    <mergeCell ref="B858:D858"/>
    <mergeCell ref="E858:H858"/>
    <mergeCell ref="J858:L858"/>
    <mergeCell ref="M858:O858"/>
    <mergeCell ref="P858:R858"/>
    <mergeCell ref="S858:V858"/>
    <mergeCell ref="AG864:AK864"/>
    <mergeCell ref="B866:D866"/>
    <mergeCell ref="E866:H866"/>
    <mergeCell ref="J866:L866"/>
    <mergeCell ref="M866:O866"/>
    <mergeCell ref="P866:R866"/>
    <mergeCell ref="S866:V866"/>
    <mergeCell ref="W866:Z866"/>
    <mergeCell ref="AA866:AF866"/>
    <mergeCell ref="AG866:AK866"/>
    <mergeCell ref="AA863:AF863"/>
    <mergeCell ref="AG863:AK863"/>
    <mergeCell ref="B864:D864"/>
    <mergeCell ref="E864:H864"/>
    <mergeCell ref="J864:L865"/>
    <mergeCell ref="M864:O864"/>
    <mergeCell ref="P864:R864"/>
    <mergeCell ref="S864:V864"/>
    <mergeCell ref="W864:Z864"/>
    <mergeCell ref="AA864:AF864"/>
    <mergeCell ref="W862:Z862"/>
    <mergeCell ref="AA862:AF862"/>
    <mergeCell ref="AG862:AK862"/>
    <mergeCell ref="B863:D863"/>
    <mergeCell ref="E863:H863"/>
    <mergeCell ref="J863:L863"/>
    <mergeCell ref="M863:O863"/>
    <mergeCell ref="P863:R863"/>
    <mergeCell ref="S863:V863"/>
    <mergeCell ref="W863:Z863"/>
    <mergeCell ref="B862:D862"/>
    <mergeCell ref="E862:H862"/>
    <mergeCell ref="J862:L862"/>
    <mergeCell ref="M862:O862"/>
    <mergeCell ref="P862:R862"/>
    <mergeCell ref="S862:V862"/>
    <mergeCell ref="AG869:AK869"/>
    <mergeCell ref="B870:D870"/>
    <mergeCell ref="E870:H870"/>
    <mergeCell ref="J870:L870"/>
    <mergeCell ref="M870:O870"/>
    <mergeCell ref="P870:R870"/>
    <mergeCell ref="S870:V870"/>
    <mergeCell ref="W870:Z870"/>
    <mergeCell ref="AA870:AF870"/>
    <mergeCell ref="AG870:AK870"/>
    <mergeCell ref="AA868:AF868"/>
    <mergeCell ref="AG868:AK868"/>
    <mergeCell ref="B869:D869"/>
    <mergeCell ref="E869:H869"/>
    <mergeCell ref="J869:L869"/>
    <mergeCell ref="M869:O869"/>
    <mergeCell ref="P869:R869"/>
    <mergeCell ref="S869:V869"/>
    <mergeCell ref="W869:Z869"/>
    <mergeCell ref="AA869:AF869"/>
    <mergeCell ref="W867:Z867"/>
    <mergeCell ref="AA867:AF867"/>
    <mergeCell ref="AG867:AK867"/>
    <mergeCell ref="B868:D868"/>
    <mergeCell ref="E868:H868"/>
    <mergeCell ref="J868:L868"/>
    <mergeCell ref="M868:O868"/>
    <mergeCell ref="P868:R868"/>
    <mergeCell ref="S868:V868"/>
    <mergeCell ref="W868:Z868"/>
    <mergeCell ref="B867:D867"/>
    <mergeCell ref="E867:H867"/>
    <mergeCell ref="J867:L867"/>
    <mergeCell ref="M867:O867"/>
    <mergeCell ref="P867:R867"/>
    <mergeCell ref="S867:V867"/>
    <mergeCell ref="AG873:AK873"/>
    <mergeCell ref="B874:D874"/>
    <mergeCell ref="E874:H874"/>
    <mergeCell ref="J874:L874"/>
    <mergeCell ref="M874:O874"/>
    <mergeCell ref="P874:R874"/>
    <mergeCell ref="S874:V874"/>
    <mergeCell ref="W874:Z874"/>
    <mergeCell ref="AA874:AF874"/>
    <mergeCell ref="AG874:AK874"/>
    <mergeCell ref="AA872:AF872"/>
    <mergeCell ref="AG872:AK872"/>
    <mergeCell ref="B873:D873"/>
    <mergeCell ref="E873:H873"/>
    <mergeCell ref="J873:L873"/>
    <mergeCell ref="M873:O873"/>
    <mergeCell ref="P873:R873"/>
    <mergeCell ref="S873:V873"/>
    <mergeCell ref="W873:Z873"/>
    <mergeCell ref="AA873:AF873"/>
    <mergeCell ref="W871:Z871"/>
    <mergeCell ref="AA871:AF871"/>
    <mergeCell ref="AG871:AK871"/>
    <mergeCell ref="B872:D872"/>
    <mergeCell ref="E872:H872"/>
    <mergeCell ref="J872:L872"/>
    <mergeCell ref="M872:O872"/>
    <mergeCell ref="P872:R872"/>
    <mergeCell ref="S872:V872"/>
    <mergeCell ref="W872:Z872"/>
    <mergeCell ref="B871:D871"/>
    <mergeCell ref="E871:H871"/>
    <mergeCell ref="J871:L871"/>
    <mergeCell ref="M871:O871"/>
    <mergeCell ref="P871:R871"/>
    <mergeCell ref="S871:V871"/>
    <mergeCell ref="AG877:AK877"/>
    <mergeCell ref="B878:D878"/>
    <mergeCell ref="E878:H878"/>
    <mergeCell ref="J878:L878"/>
    <mergeCell ref="M878:O878"/>
    <mergeCell ref="P878:R878"/>
    <mergeCell ref="S878:V878"/>
    <mergeCell ref="W878:Z878"/>
    <mergeCell ref="AA878:AF878"/>
    <mergeCell ref="AG878:AK878"/>
    <mergeCell ref="AA876:AF876"/>
    <mergeCell ref="AG876:AK876"/>
    <mergeCell ref="B877:D877"/>
    <mergeCell ref="E877:H877"/>
    <mergeCell ref="J877:L877"/>
    <mergeCell ref="M877:O877"/>
    <mergeCell ref="P877:R877"/>
    <mergeCell ref="S877:V877"/>
    <mergeCell ref="W877:Z877"/>
    <mergeCell ref="AA877:AF877"/>
    <mergeCell ref="W875:Z875"/>
    <mergeCell ref="AA875:AF875"/>
    <mergeCell ref="AG875:AK875"/>
    <mergeCell ref="B876:D876"/>
    <mergeCell ref="E876:H876"/>
    <mergeCell ref="J876:L876"/>
    <mergeCell ref="M876:O876"/>
    <mergeCell ref="P876:R876"/>
    <mergeCell ref="S876:V876"/>
    <mergeCell ref="W876:Z876"/>
    <mergeCell ref="B875:D875"/>
    <mergeCell ref="E875:H875"/>
    <mergeCell ref="J875:L875"/>
    <mergeCell ref="M875:O875"/>
    <mergeCell ref="P875:R875"/>
    <mergeCell ref="S875:V875"/>
    <mergeCell ref="AG881:AK881"/>
    <mergeCell ref="B882:D882"/>
    <mergeCell ref="E882:H882"/>
    <mergeCell ref="J882:L883"/>
    <mergeCell ref="M882:O882"/>
    <mergeCell ref="P882:R882"/>
    <mergeCell ref="S882:V882"/>
    <mergeCell ref="W882:Z882"/>
    <mergeCell ref="AA882:AF882"/>
    <mergeCell ref="AG882:AK882"/>
    <mergeCell ref="AA880:AF880"/>
    <mergeCell ref="AG880:AK880"/>
    <mergeCell ref="B881:D881"/>
    <mergeCell ref="E881:H881"/>
    <mergeCell ref="J881:L881"/>
    <mergeCell ref="M881:O881"/>
    <mergeCell ref="P881:R881"/>
    <mergeCell ref="S881:V881"/>
    <mergeCell ref="W881:Z881"/>
    <mergeCell ref="AA881:AF881"/>
    <mergeCell ref="W879:Z879"/>
    <mergeCell ref="AA879:AF879"/>
    <mergeCell ref="AG879:AK879"/>
    <mergeCell ref="B880:D880"/>
    <mergeCell ref="E880:H880"/>
    <mergeCell ref="J880:L880"/>
    <mergeCell ref="M880:O880"/>
    <mergeCell ref="P880:R880"/>
    <mergeCell ref="S880:V880"/>
    <mergeCell ref="W880:Z880"/>
    <mergeCell ref="B879:D879"/>
    <mergeCell ref="E879:H879"/>
    <mergeCell ref="J879:L879"/>
    <mergeCell ref="M879:O879"/>
    <mergeCell ref="P879:R879"/>
    <mergeCell ref="S879:V879"/>
    <mergeCell ref="AG886:AK886"/>
    <mergeCell ref="B887:D887"/>
    <mergeCell ref="E887:H887"/>
    <mergeCell ref="J887:L887"/>
    <mergeCell ref="M887:O887"/>
    <mergeCell ref="P887:R887"/>
    <mergeCell ref="S887:V887"/>
    <mergeCell ref="W887:Z887"/>
    <mergeCell ref="AA887:AF887"/>
    <mergeCell ref="AG887:AK887"/>
    <mergeCell ref="AA885:AF885"/>
    <mergeCell ref="AG885:AK885"/>
    <mergeCell ref="B886:D886"/>
    <mergeCell ref="E886:H886"/>
    <mergeCell ref="J886:L886"/>
    <mergeCell ref="M886:O886"/>
    <mergeCell ref="P886:R886"/>
    <mergeCell ref="S886:V886"/>
    <mergeCell ref="W886:Z886"/>
    <mergeCell ref="AA886:AF886"/>
    <mergeCell ref="W884:Z884"/>
    <mergeCell ref="AA884:AF884"/>
    <mergeCell ref="AG884:AK884"/>
    <mergeCell ref="B885:D885"/>
    <mergeCell ref="E885:H885"/>
    <mergeCell ref="J885:L885"/>
    <mergeCell ref="M885:O885"/>
    <mergeCell ref="P885:R885"/>
    <mergeCell ref="S885:V885"/>
    <mergeCell ref="W885:Z885"/>
    <mergeCell ref="B884:D884"/>
    <mergeCell ref="E884:H884"/>
    <mergeCell ref="J884:L884"/>
    <mergeCell ref="M884:O884"/>
    <mergeCell ref="P884:R884"/>
    <mergeCell ref="S884:V884"/>
    <mergeCell ref="AG890:AK890"/>
    <mergeCell ref="B891:D891"/>
    <mergeCell ref="E891:H891"/>
    <mergeCell ref="J891:L891"/>
    <mergeCell ref="M891:O891"/>
    <mergeCell ref="P891:R891"/>
    <mergeCell ref="S891:V891"/>
    <mergeCell ref="W891:Z891"/>
    <mergeCell ref="AA891:AF891"/>
    <mergeCell ref="AG891:AK891"/>
    <mergeCell ref="AA889:AF889"/>
    <mergeCell ref="AG889:AK889"/>
    <mergeCell ref="B890:D890"/>
    <mergeCell ref="E890:H890"/>
    <mergeCell ref="J890:L890"/>
    <mergeCell ref="M890:O890"/>
    <mergeCell ref="P890:R890"/>
    <mergeCell ref="S890:V890"/>
    <mergeCell ref="W890:Z890"/>
    <mergeCell ref="AA890:AF890"/>
    <mergeCell ref="W888:Z888"/>
    <mergeCell ref="AA888:AF888"/>
    <mergeCell ref="AG888:AK888"/>
    <mergeCell ref="B889:D889"/>
    <mergeCell ref="E889:H889"/>
    <mergeCell ref="J889:L889"/>
    <mergeCell ref="M889:O889"/>
    <mergeCell ref="P889:R889"/>
    <mergeCell ref="S889:V889"/>
    <mergeCell ref="W889:Z889"/>
    <mergeCell ref="B888:D888"/>
    <mergeCell ref="E888:H888"/>
    <mergeCell ref="J888:L888"/>
    <mergeCell ref="M888:O888"/>
    <mergeCell ref="P888:R888"/>
    <mergeCell ref="S888:V888"/>
    <mergeCell ref="C902:J903"/>
    <mergeCell ref="K902:X902"/>
    <mergeCell ref="Y902:AG903"/>
    <mergeCell ref="AH902:AL903"/>
    <mergeCell ref="K903:X903"/>
    <mergeCell ref="C904:F904"/>
    <mergeCell ref="G904:AE905"/>
    <mergeCell ref="AF904:AG905"/>
    <mergeCell ref="AH904:AI905"/>
    <mergeCell ref="AG895:AK895"/>
    <mergeCell ref="AG897:AL897"/>
    <mergeCell ref="D898:AH898"/>
    <mergeCell ref="A899:I901"/>
    <mergeCell ref="J899:AH899"/>
    <mergeCell ref="J900:AF900"/>
    <mergeCell ref="J901:AE901"/>
    <mergeCell ref="AA894:AF894"/>
    <mergeCell ref="AG894:AK894"/>
    <mergeCell ref="B895:D895"/>
    <mergeCell ref="E895:H895"/>
    <mergeCell ref="J895:L895"/>
    <mergeCell ref="M895:O895"/>
    <mergeCell ref="P895:R895"/>
    <mergeCell ref="S895:V895"/>
    <mergeCell ref="W895:Z895"/>
    <mergeCell ref="AA895:AF895"/>
    <mergeCell ref="W892:Z892"/>
    <mergeCell ref="AA892:AF892"/>
    <mergeCell ref="AG892:AK892"/>
    <mergeCell ref="B894:D894"/>
    <mergeCell ref="E894:H894"/>
    <mergeCell ref="J894:L894"/>
    <mergeCell ref="M894:O894"/>
    <mergeCell ref="P894:R894"/>
    <mergeCell ref="S894:V894"/>
    <mergeCell ref="W894:Z894"/>
    <mergeCell ref="B892:D892"/>
    <mergeCell ref="E892:H892"/>
    <mergeCell ref="J892:L893"/>
    <mergeCell ref="M892:O892"/>
    <mergeCell ref="P892:R892"/>
    <mergeCell ref="S892:V892"/>
    <mergeCell ref="W909:Z909"/>
    <mergeCell ref="AA909:AF909"/>
    <mergeCell ref="AG909:AK909"/>
    <mergeCell ref="B910:D910"/>
    <mergeCell ref="E910:H910"/>
    <mergeCell ref="J910:L910"/>
    <mergeCell ref="M910:O910"/>
    <mergeCell ref="P910:R910"/>
    <mergeCell ref="S910:V910"/>
    <mergeCell ref="W910:Z910"/>
    <mergeCell ref="B909:D909"/>
    <mergeCell ref="E909:H909"/>
    <mergeCell ref="J909:L909"/>
    <mergeCell ref="M909:O909"/>
    <mergeCell ref="P909:R909"/>
    <mergeCell ref="S909:V909"/>
    <mergeCell ref="AH907:AK907"/>
    <mergeCell ref="B908:D908"/>
    <mergeCell ref="E908:H908"/>
    <mergeCell ref="J908:L908"/>
    <mergeCell ref="M908:O908"/>
    <mergeCell ref="P908:R908"/>
    <mergeCell ref="S908:V908"/>
    <mergeCell ref="W908:Z908"/>
    <mergeCell ref="AA908:AF908"/>
    <mergeCell ref="AG908:AK908"/>
    <mergeCell ref="O906:Q906"/>
    <mergeCell ref="V906:Y906"/>
    <mergeCell ref="AD906:AJ906"/>
    <mergeCell ref="B907:D907"/>
    <mergeCell ref="E907:G907"/>
    <mergeCell ref="J907:N907"/>
    <mergeCell ref="Q907:R907"/>
    <mergeCell ref="U907:V907"/>
    <mergeCell ref="X907:Z907"/>
    <mergeCell ref="AC907:AF907"/>
    <mergeCell ref="W913:Z913"/>
    <mergeCell ref="AA913:AF913"/>
    <mergeCell ref="AG913:AK913"/>
    <mergeCell ref="B914:D914"/>
    <mergeCell ref="E914:H914"/>
    <mergeCell ref="J914:L914"/>
    <mergeCell ref="M914:O914"/>
    <mergeCell ref="P914:R914"/>
    <mergeCell ref="S914:V914"/>
    <mergeCell ref="W914:Z914"/>
    <mergeCell ref="B913:D913"/>
    <mergeCell ref="E913:H913"/>
    <mergeCell ref="J913:L913"/>
    <mergeCell ref="M913:O913"/>
    <mergeCell ref="P913:R913"/>
    <mergeCell ref="S913:V913"/>
    <mergeCell ref="AG911:AK911"/>
    <mergeCell ref="B912:D912"/>
    <mergeCell ref="E912:H912"/>
    <mergeCell ref="J912:L912"/>
    <mergeCell ref="M912:O912"/>
    <mergeCell ref="P912:R912"/>
    <mergeCell ref="S912:V912"/>
    <mergeCell ref="W912:Z912"/>
    <mergeCell ref="AA912:AF912"/>
    <mergeCell ref="AG912:AK912"/>
    <mergeCell ref="AA910:AF910"/>
    <mergeCell ref="AG910:AK910"/>
    <mergeCell ref="B911:D911"/>
    <mergeCell ref="E911:H911"/>
    <mergeCell ref="J911:L911"/>
    <mergeCell ref="M911:O911"/>
    <mergeCell ref="P911:R911"/>
    <mergeCell ref="S911:V911"/>
    <mergeCell ref="W911:Z911"/>
    <mergeCell ref="AA911:AF911"/>
    <mergeCell ref="W917:Z917"/>
    <mergeCell ref="AA917:AF917"/>
    <mergeCell ref="AG917:AK917"/>
    <mergeCell ref="B919:D919"/>
    <mergeCell ref="E919:H919"/>
    <mergeCell ref="J919:L920"/>
    <mergeCell ref="M919:O919"/>
    <mergeCell ref="P919:R919"/>
    <mergeCell ref="S919:V919"/>
    <mergeCell ref="W919:Z919"/>
    <mergeCell ref="B917:D917"/>
    <mergeCell ref="E917:H917"/>
    <mergeCell ref="J917:L918"/>
    <mergeCell ref="M917:O917"/>
    <mergeCell ref="P917:R917"/>
    <mergeCell ref="S917:V917"/>
    <mergeCell ref="AG915:AK915"/>
    <mergeCell ref="B916:D916"/>
    <mergeCell ref="E916:H916"/>
    <mergeCell ref="J916:L916"/>
    <mergeCell ref="M916:O916"/>
    <mergeCell ref="P916:R916"/>
    <mergeCell ref="S916:V916"/>
    <mergeCell ref="W916:Z916"/>
    <mergeCell ref="AA916:AF916"/>
    <mergeCell ref="AG916:AK916"/>
    <mergeCell ref="AA914:AF914"/>
    <mergeCell ref="AG914:AK914"/>
    <mergeCell ref="B915:D915"/>
    <mergeCell ref="E915:H915"/>
    <mergeCell ref="J915:L915"/>
    <mergeCell ref="M915:O915"/>
    <mergeCell ref="P915:R915"/>
    <mergeCell ref="S915:V915"/>
    <mergeCell ref="W915:Z915"/>
    <mergeCell ref="AA915:AF915"/>
    <mergeCell ref="W923:Z923"/>
    <mergeCell ref="AA923:AF923"/>
    <mergeCell ref="AG923:AK923"/>
    <mergeCell ref="B924:D924"/>
    <mergeCell ref="E924:H924"/>
    <mergeCell ref="J924:L924"/>
    <mergeCell ref="M924:O924"/>
    <mergeCell ref="P924:R924"/>
    <mergeCell ref="S924:V924"/>
    <mergeCell ref="W924:Z924"/>
    <mergeCell ref="B923:D923"/>
    <mergeCell ref="E923:H923"/>
    <mergeCell ref="J923:L923"/>
    <mergeCell ref="M923:O923"/>
    <mergeCell ref="P923:R923"/>
    <mergeCell ref="S923:V923"/>
    <mergeCell ref="AG921:AK921"/>
    <mergeCell ref="B922:D922"/>
    <mergeCell ref="E922:H922"/>
    <mergeCell ref="J922:L922"/>
    <mergeCell ref="M922:O922"/>
    <mergeCell ref="P922:R922"/>
    <mergeCell ref="S922:V922"/>
    <mergeCell ref="W922:Z922"/>
    <mergeCell ref="AA922:AF922"/>
    <mergeCell ref="AG922:AK922"/>
    <mergeCell ref="AA919:AF919"/>
    <mergeCell ref="AG919:AK919"/>
    <mergeCell ref="B921:D921"/>
    <mergeCell ref="E921:H921"/>
    <mergeCell ref="J921:L921"/>
    <mergeCell ref="M921:O921"/>
    <mergeCell ref="P921:R921"/>
    <mergeCell ref="S921:V921"/>
    <mergeCell ref="W921:Z921"/>
    <mergeCell ref="AA921:AF921"/>
    <mergeCell ref="W927:Z927"/>
    <mergeCell ref="AA927:AF927"/>
    <mergeCell ref="AG927:AK927"/>
    <mergeCell ref="B928:D928"/>
    <mergeCell ref="E928:H928"/>
    <mergeCell ref="J928:L928"/>
    <mergeCell ref="M928:O928"/>
    <mergeCell ref="P928:R928"/>
    <mergeCell ref="S928:V928"/>
    <mergeCell ref="W928:Z928"/>
    <mergeCell ref="B927:D927"/>
    <mergeCell ref="E927:H927"/>
    <mergeCell ref="J927:L927"/>
    <mergeCell ref="M927:O927"/>
    <mergeCell ref="P927:R927"/>
    <mergeCell ref="S927:V927"/>
    <mergeCell ref="AG925:AK925"/>
    <mergeCell ref="B926:D926"/>
    <mergeCell ref="E926:H926"/>
    <mergeCell ref="J926:L926"/>
    <mergeCell ref="M926:O926"/>
    <mergeCell ref="P926:R926"/>
    <mergeCell ref="S926:V926"/>
    <mergeCell ref="W926:Z926"/>
    <mergeCell ref="AA926:AF926"/>
    <mergeCell ref="AG926:AK926"/>
    <mergeCell ref="AA924:AF924"/>
    <mergeCell ref="AG924:AK924"/>
    <mergeCell ref="B925:D925"/>
    <mergeCell ref="E925:H925"/>
    <mergeCell ref="J925:L925"/>
    <mergeCell ref="M925:O925"/>
    <mergeCell ref="P925:R925"/>
    <mergeCell ref="S925:V925"/>
    <mergeCell ref="W925:Z925"/>
    <mergeCell ref="AA925:AF925"/>
    <mergeCell ref="W932:Z932"/>
    <mergeCell ref="AA932:AF932"/>
    <mergeCell ref="AG932:AK932"/>
    <mergeCell ref="B933:D933"/>
    <mergeCell ref="E933:H933"/>
    <mergeCell ref="J933:L933"/>
    <mergeCell ref="M933:O933"/>
    <mergeCell ref="P933:R933"/>
    <mergeCell ref="S933:V933"/>
    <mergeCell ref="W933:Z933"/>
    <mergeCell ref="B932:D932"/>
    <mergeCell ref="E932:H932"/>
    <mergeCell ref="J932:L932"/>
    <mergeCell ref="M932:O932"/>
    <mergeCell ref="P932:R932"/>
    <mergeCell ref="S932:V932"/>
    <mergeCell ref="AG929:AK929"/>
    <mergeCell ref="B931:D931"/>
    <mergeCell ref="E931:H931"/>
    <mergeCell ref="J931:L931"/>
    <mergeCell ref="M931:O931"/>
    <mergeCell ref="P931:R931"/>
    <mergeCell ref="S931:V931"/>
    <mergeCell ref="W931:Z931"/>
    <mergeCell ref="AA931:AF931"/>
    <mergeCell ref="AG931:AK931"/>
    <mergeCell ref="AA928:AF928"/>
    <mergeCell ref="AG928:AK928"/>
    <mergeCell ref="B929:D929"/>
    <mergeCell ref="E929:H929"/>
    <mergeCell ref="J929:L930"/>
    <mergeCell ref="M929:O929"/>
    <mergeCell ref="P929:R929"/>
    <mergeCell ref="S929:V929"/>
    <mergeCell ref="W929:Z929"/>
    <mergeCell ref="AA929:AF929"/>
    <mergeCell ref="W936:Z936"/>
    <mergeCell ref="AA936:AF936"/>
    <mergeCell ref="AG936:AK936"/>
    <mergeCell ref="B937:D937"/>
    <mergeCell ref="E937:H937"/>
    <mergeCell ref="J937:L937"/>
    <mergeCell ref="M937:O937"/>
    <mergeCell ref="P937:R937"/>
    <mergeCell ref="S937:V937"/>
    <mergeCell ref="W937:Z937"/>
    <mergeCell ref="B936:D936"/>
    <mergeCell ref="E936:H936"/>
    <mergeCell ref="J936:L936"/>
    <mergeCell ref="M936:O936"/>
    <mergeCell ref="P936:R936"/>
    <mergeCell ref="S936:V936"/>
    <mergeCell ref="AG934:AK934"/>
    <mergeCell ref="B935:D935"/>
    <mergeCell ref="E935:H935"/>
    <mergeCell ref="J935:L935"/>
    <mergeCell ref="M935:O935"/>
    <mergeCell ref="P935:R935"/>
    <mergeCell ref="S935:V935"/>
    <mergeCell ref="W935:Z935"/>
    <mergeCell ref="AA935:AF935"/>
    <mergeCell ref="AG935:AK935"/>
    <mergeCell ref="AA933:AF933"/>
    <mergeCell ref="AG933:AK933"/>
    <mergeCell ref="B934:D934"/>
    <mergeCell ref="E934:H934"/>
    <mergeCell ref="J934:L934"/>
    <mergeCell ref="M934:O934"/>
    <mergeCell ref="P934:R934"/>
    <mergeCell ref="S934:V934"/>
    <mergeCell ref="W934:Z934"/>
    <mergeCell ref="AA934:AF934"/>
    <mergeCell ref="W940:Z940"/>
    <mergeCell ref="AA940:AF940"/>
    <mergeCell ref="AG940:AK940"/>
    <mergeCell ref="B941:D941"/>
    <mergeCell ref="E941:H941"/>
    <mergeCell ref="J941:L941"/>
    <mergeCell ref="M941:O941"/>
    <mergeCell ref="P941:R941"/>
    <mergeCell ref="S941:V941"/>
    <mergeCell ref="W941:Z941"/>
    <mergeCell ref="B940:D940"/>
    <mergeCell ref="E940:H940"/>
    <mergeCell ref="J940:L940"/>
    <mergeCell ref="M940:O940"/>
    <mergeCell ref="P940:R940"/>
    <mergeCell ref="S940:V940"/>
    <mergeCell ref="AG938:AK938"/>
    <mergeCell ref="B939:D939"/>
    <mergeCell ref="E939:H939"/>
    <mergeCell ref="J939:L939"/>
    <mergeCell ref="M939:O939"/>
    <mergeCell ref="P939:R939"/>
    <mergeCell ref="S939:V939"/>
    <mergeCell ref="W939:Z939"/>
    <mergeCell ref="AA939:AF939"/>
    <mergeCell ref="AG939:AK939"/>
    <mergeCell ref="AA937:AF937"/>
    <mergeCell ref="AG937:AK937"/>
    <mergeCell ref="B938:D938"/>
    <mergeCell ref="E938:H938"/>
    <mergeCell ref="J938:L938"/>
    <mergeCell ref="M938:O938"/>
    <mergeCell ref="P938:R938"/>
    <mergeCell ref="S938:V938"/>
    <mergeCell ref="W938:Z938"/>
    <mergeCell ref="AA938:AF938"/>
    <mergeCell ref="W944:Z944"/>
    <mergeCell ref="AA944:AF944"/>
    <mergeCell ref="AG944:AK944"/>
    <mergeCell ref="B945:D945"/>
    <mergeCell ref="E945:H945"/>
    <mergeCell ref="J945:L945"/>
    <mergeCell ref="M945:O945"/>
    <mergeCell ref="P945:R945"/>
    <mergeCell ref="S945:V945"/>
    <mergeCell ref="W945:Z945"/>
    <mergeCell ref="B944:D944"/>
    <mergeCell ref="E944:H944"/>
    <mergeCell ref="J944:L944"/>
    <mergeCell ref="M944:O944"/>
    <mergeCell ref="P944:R944"/>
    <mergeCell ref="S944:V944"/>
    <mergeCell ref="AG942:AK942"/>
    <mergeCell ref="B943:D943"/>
    <mergeCell ref="E943:H943"/>
    <mergeCell ref="J943:L943"/>
    <mergeCell ref="M943:O943"/>
    <mergeCell ref="P943:R943"/>
    <mergeCell ref="S943:V943"/>
    <mergeCell ref="W943:Z943"/>
    <mergeCell ref="AA943:AF943"/>
    <mergeCell ref="AG943:AK943"/>
    <mergeCell ref="AA941:AF941"/>
    <mergeCell ref="AG941:AK941"/>
    <mergeCell ref="B942:D942"/>
    <mergeCell ref="E942:H942"/>
    <mergeCell ref="J942:L942"/>
    <mergeCell ref="M942:O942"/>
    <mergeCell ref="P942:R942"/>
    <mergeCell ref="S942:V942"/>
    <mergeCell ref="W942:Z942"/>
    <mergeCell ref="AA942:AF942"/>
    <mergeCell ref="W948:Z948"/>
    <mergeCell ref="AA948:AF948"/>
    <mergeCell ref="AG948:AK948"/>
    <mergeCell ref="B950:D950"/>
    <mergeCell ref="E950:H950"/>
    <mergeCell ref="J950:L951"/>
    <mergeCell ref="M950:O950"/>
    <mergeCell ref="P950:R950"/>
    <mergeCell ref="S950:V950"/>
    <mergeCell ref="W950:Z950"/>
    <mergeCell ref="B948:D948"/>
    <mergeCell ref="E948:H948"/>
    <mergeCell ref="J948:L949"/>
    <mergeCell ref="M948:O948"/>
    <mergeCell ref="P948:R948"/>
    <mergeCell ref="S948:V948"/>
    <mergeCell ref="AG946:AK946"/>
    <mergeCell ref="B947:D947"/>
    <mergeCell ref="E947:H947"/>
    <mergeCell ref="J947:L947"/>
    <mergeCell ref="M947:O947"/>
    <mergeCell ref="P947:R947"/>
    <mergeCell ref="S947:V947"/>
    <mergeCell ref="W947:Z947"/>
    <mergeCell ref="AA947:AF947"/>
    <mergeCell ref="AG947:AK947"/>
    <mergeCell ref="AA945:AF945"/>
    <mergeCell ref="AG945:AK945"/>
    <mergeCell ref="B946:D946"/>
    <mergeCell ref="E946:H946"/>
    <mergeCell ref="J946:L946"/>
    <mergeCell ref="M946:O946"/>
    <mergeCell ref="P946:R946"/>
    <mergeCell ref="S946:V946"/>
    <mergeCell ref="W946:Z946"/>
    <mergeCell ref="AA946:AF946"/>
    <mergeCell ref="W954:Z954"/>
    <mergeCell ref="AA954:AF954"/>
    <mergeCell ref="AG954:AK954"/>
    <mergeCell ref="B955:D955"/>
    <mergeCell ref="E955:H955"/>
    <mergeCell ref="J955:L955"/>
    <mergeCell ref="M955:O955"/>
    <mergeCell ref="P955:R955"/>
    <mergeCell ref="S955:V955"/>
    <mergeCell ref="W955:Z955"/>
    <mergeCell ref="B954:D954"/>
    <mergeCell ref="E954:H954"/>
    <mergeCell ref="J954:L954"/>
    <mergeCell ref="M954:O954"/>
    <mergeCell ref="P954:R954"/>
    <mergeCell ref="S954:V954"/>
    <mergeCell ref="AG952:AK952"/>
    <mergeCell ref="B953:D953"/>
    <mergeCell ref="E953:H953"/>
    <mergeCell ref="J953:L953"/>
    <mergeCell ref="M953:O953"/>
    <mergeCell ref="P953:R953"/>
    <mergeCell ref="S953:V953"/>
    <mergeCell ref="W953:Z953"/>
    <mergeCell ref="AA953:AF953"/>
    <mergeCell ref="AG953:AK953"/>
    <mergeCell ref="AA950:AF950"/>
    <mergeCell ref="AG950:AK950"/>
    <mergeCell ref="B952:D952"/>
    <mergeCell ref="E952:H952"/>
    <mergeCell ref="J952:L952"/>
    <mergeCell ref="M952:O952"/>
    <mergeCell ref="P952:R952"/>
    <mergeCell ref="S952:V952"/>
    <mergeCell ref="W952:Z952"/>
    <mergeCell ref="AA952:AF952"/>
    <mergeCell ref="AH966:AK966"/>
    <mergeCell ref="B967:D967"/>
    <mergeCell ref="E967:H967"/>
    <mergeCell ref="J967:L967"/>
    <mergeCell ref="M967:O967"/>
    <mergeCell ref="P967:R967"/>
    <mergeCell ref="S967:V967"/>
    <mergeCell ref="W967:Z967"/>
    <mergeCell ref="AA967:AF967"/>
    <mergeCell ref="AG967:AK967"/>
    <mergeCell ref="O965:Q965"/>
    <mergeCell ref="V965:Y965"/>
    <mergeCell ref="AD965:AJ965"/>
    <mergeCell ref="B966:D966"/>
    <mergeCell ref="E966:G966"/>
    <mergeCell ref="J966:N966"/>
    <mergeCell ref="Q966:R966"/>
    <mergeCell ref="U966:V966"/>
    <mergeCell ref="X966:Z966"/>
    <mergeCell ref="AC966:AF966"/>
    <mergeCell ref="C961:J962"/>
    <mergeCell ref="K961:X961"/>
    <mergeCell ref="Y961:AG962"/>
    <mergeCell ref="AH961:AL962"/>
    <mergeCell ref="K962:X962"/>
    <mergeCell ref="C963:F963"/>
    <mergeCell ref="G963:AE964"/>
    <mergeCell ref="AF963:AG964"/>
    <mergeCell ref="AH963:AI964"/>
    <mergeCell ref="AA955:AF955"/>
    <mergeCell ref="AG955:AK955"/>
    <mergeCell ref="AG956:AL956"/>
    <mergeCell ref="D957:AH957"/>
    <mergeCell ref="A958:I960"/>
    <mergeCell ref="J958:AH958"/>
    <mergeCell ref="J959:AF959"/>
    <mergeCell ref="J960:AE960"/>
    <mergeCell ref="AG970:AK970"/>
    <mergeCell ref="B971:D971"/>
    <mergeCell ref="E971:H971"/>
    <mergeCell ref="J971:L971"/>
    <mergeCell ref="M971:O971"/>
    <mergeCell ref="P971:R971"/>
    <mergeCell ref="S971:V971"/>
    <mergeCell ref="W971:Z971"/>
    <mergeCell ref="AA971:AF971"/>
    <mergeCell ref="AG971:AK971"/>
    <mergeCell ref="AA969:AF969"/>
    <mergeCell ref="AG969:AK969"/>
    <mergeCell ref="B970:D970"/>
    <mergeCell ref="E970:H970"/>
    <mergeCell ref="J970:L970"/>
    <mergeCell ref="M970:O970"/>
    <mergeCell ref="P970:R970"/>
    <mergeCell ref="S970:V970"/>
    <mergeCell ref="W970:Z970"/>
    <mergeCell ref="AA970:AF970"/>
    <mergeCell ref="W968:Z968"/>
    <mergeCell ref="AA968:AF968"/>
    <mergeCell ref="AG968:AK968"/>
    <mergeCell ref="B969:D969"/>
    <mergeCell ref="E969:H969"/>
    <mergeCell ref="J969:L969"/>
    <mergeCell ref="M969:O969"/>
    <mergeCell ref="P969:R969"/>
    <mergeCell ref="S969:V969"/>
    <mergeCell ref="W969:Z969"/>
    <mergeCell ref="B968:D968"/>
    <mergeCell ref="E968:H968"/>
    <mergeCell ref="J968:L968"/>
    <mergeCell ref="M968:O968"/>
    <mergeCell ref="P968:R968"/>
    <mergeCell ref="S968:V968"/>
    <mergeCell ref="AG974:AK974"/>
    <mergeCell ref="B975:D975"/>
    <mergeCell ref="E975:H975"/>
    <mergeCell ref="J975:L976"/>
    <mergeCell ref="M975:O975"/>
    <mergeCell ref="P975:R975"/>
    <mergeCell ref="S975:V975"/>
    <mergeCell ref="W975:Z975"/>
    <mergeCell ref="AA975:AF975"/>
    <mergeCell ref="AG975:AK975"/>
    <mergeCell ref="AA973:AF973"/>
    <mergeCell ref="AG973:AK973"/>
    <mergeCell ref="B974:D974"/>
    <mergeCell ref="E974:H974"/>
    <mergeCell ref="J974:L974"/>
    <mergeCell ref="M974:O974"/>
    <mergeCell ref="P974:R974"/>
    <mergeCell ref="S974:V974"/>
    <mergeCell ref="W974:Z974"/>
    <mergeCell ref="AA974:AF974"/>
    <mergeCell ref="W972:Z972"/>
    <mergeCell ref="AA972:AF972"/>
    <mergeCell ref="AG972:AK972"/>
    <mergeCell ref="B973:D973"/>
    <mergeCell ref="E973:H973"/>
    <mergeCell ref="J973:L973"/>
    <mergeCell ref="M973:O973"/>
    <mergeCell ref="P973:R973"/>
    <mergeCell ref="S973:V973"/>
    <mergeCell ref="W973:Z973"/>
    <mergeCell ref="B972:D972"/>
    <mergeCell ref="E972:H972"/>
    <mergeCell ref="J972:L972"/>
    <mergeCell ref="M972:O972"/>
    <mergeCell ref="P972:R972"/>
    <mergeCell ref="S972:V972"/>
    <mergeCell ref="AG979:AK979"/>
    <mergeCell ref="B981:D981"/>
    <mergeCell ref="E981:H981"/>
    <mergeCell ref="J981:L981"/>
    <mergeCell ref="M981:O981"/>
    <mergeCell ref="P981:R981"/>
    <mergeCell ref="S981:V981"/>
    <mergeCell ref="W981:Z981"/>
    <mergeCell ref="AA981:AF981"/>
    <mergeCell ref="AG981:AK981"/>
    <mergeCell ref="AA978:AF978"/>
    <mergeCell ref="AG978:AK978"/>
    <mergeCell ref="B979:D979"/>
    <mergeCell ref="E979:H979"/>
    <mergeCell ref="J979:L980"/>
    <mergeCell ref="M979:O979"/>
    <mergeCell ref="P979:R979"/>
    <mergeCell ref="S979:V979"/>
    <mergeCell ref="W979:Z979"/>
    <mergeCell ref="AA979:AF979"/>
    <mergeCell ref="W977:Z977"/>
    <mergeCell ref="AA977:AF977"/>
    <mergeCell ref="AG977:AK977"/>
    <mergeCell ref="B978:D978"/>
    <mergeCell ref="E978:H978"/>
    <mergeCell ref="J978:L978"/>
    <mergeCell ref="M978:O978"/>
    <mergeCell ref="P978:R978"/>
    <mergeCell ref="S978:V978"/>
    <mergeCell ref="W978:Z978"/>
    <mergeCell ref="B977:D977"/>
    <mergeCell ref="E977:H977"/>
    <mergeCell ref="J977:L977"/>
    <mergeCell ref="M977:O977"/>
    <mergeCell ref="P977:R977"/>
    <mergeCell ref="S977:V977"/>
    <mergeCell ref="AG985:AK985"/>
    <mergeCell ref="B987:D987"/>
    <mergeCell ref="E987:H987"/>
    <mergeCell ref="J987:L987"/>
    <mergeCell ref="M987:O987"/>
    <mergeCell ref="P987:R987"/>
    <mergeCell ref="S987:V987"/>
    <mergeCell ref="W987:Z987"/>
    <mergeCell ref="AA987:AF987"/>
    <mergeCell ref="AG987:AK987"/>
    <mergeCell ref="AA983:AF983"/>
    <mergeCell ref="AG983:AK983"/>
    <mergeCell ref="B985:D985"/>
    <mergeCell ref="E985:H985"/>
    <mergeCell ref="J985:L986"/>
    <mergeCell ref="M985:O985"/>
    <mergeCell ref="P985:R985"/>
    <mergeCell ref="S985:V985"/>
    <mergeCell ref="W985:Z985"/>
    <mergeCell ref="AA985:AF985"/>
    <mergeCell ref="W982:Z982"/>
    <mergeCell ref="AA982:AF982"/>
    <mergeCell ref="AG982:AK982"/>
    <mergeCell ref="B983:D983"/>
    <mergeCell ref="E983:H983"/>
    <mergeCell ref="J983:L984"/>
    <mergeCell ref="M983:O983"/>
    <mergeCell ref="P983:R983"/>
    <mergeCell ref="S983:V983"/>
    <mergeCell ref="W983:Z983"/>
    <mergeCell ref="B982:D982"/>
    <mergeCell ref="E982:H982"/>
    <mergeCell ref="J982:L982"/>
    <mergeCell ref="M982:O982"/>
    <mergeCell ref="P982:R982"/>
    <mergeCell ref="S982:V982"/>
    <mergeCell ref="AG990:AK990"/>
    <mergeCell ref="B991:D991"/>
    <mergeCell ref="E991:H991"/>
    <mergeCell ref="J991:L991"/>
    <mergeCell ref="M991:O991"/>
    <mergeCell ref="P991:R991"/>
    <mergeCell ref="S991:V991"/>
    <mergeCell ref="W991:Z991"/>
    <mergeCell ref="AA991:AF991"/>
    <mergeCell ref="AG991:AK991"/>
    <mergeCell ref="AA989:AF989"/>
    <mergeCell ref="AG989:AK989"/>
    <mergeCell ref="B990:D990"/>
    <mergeCell ref="E990:H990"/>
    <mergeCell ref="J990:L990"/>
    <mergeCell ref="M990:O990"/>
    <mergeCell ref="P990:R990"/>
    <mergeCell ref="S990:V990"/>
    <mergeCell ref="W990:Z990"/>
    <mergeCell ref="AA990:AF990"/>
    <mergeCell ref="W988:Z988"/>
    <mergeCell ref="AA988:AF988"/>
    <mergeCell ref="AG988:AK988"/>
    <mergeCell ref="B989:D989"/>
    <mergeCell ref="E989:H989"/>
    <mergeCell ref="J989:L989"/>
    <mergeCell ref="M989:O989"/>
    <mergeCell ref="P989:R989"/>
    <mergeCell ref="S989:V989"/>
    <mergeCell ref="W989:Z989"/>
    <mergeCell ref="B988:D988"/>
    <mergeCell ref="E988:H988"/>
    <mergeCell ref="J988:L988"/>
    <mergeCell ref="M988:O988"/>
    <mergeCell ref="P988:R988"/>
    <mergeCell ref="S988:V988"/>
    <mergeCell ref="AG994:AK994"/>
    <mergeCell ref="B995:D995"/>
    <mergeCell ref="E995:H995"/>
    <mergeCell ref="J995:L995"/>
    <mergeCell ref="M995:O995"/>
    <mergeCell ref="P995:R995"/>
    <mergeCell ref="S995:V995"/>
    <mergeCell ref="W995:Z995"/>
    <mergeCell ref="AA995:AF995"/>
    <mergeCell ref="AG995:AK995"/>
    <mergeCell ref="AA993:AF993"/>
    <mergeCell ref="AG993:AK993"/>
    <mergeCell ref="B994:D994"/>
    <mergeCell ref="E994:H994"/>
    <mergeCell ref="J994:L994"/>
    <mergeCell ref="M994:O994"/>
    <mergeCell ref="P994:R994"/>
    <mergeCell ref="S994:V994"/>
    <mergeCell ref="W994:Z994"/>
    <mergeCell ref="AA994:AF994"/>
    <mergeCell ref="W992:Z992"/>
    <mergeCell ref="AA992:AF992"/>
    <mergeCell ref="AG992:AK992"/>
    <mergeCell ref="B993:D993"/>
    <mergeCell ref="E993:H993"/>
    <mergeCell ref="J993:L993"/>
    <mergeCell ref="M993:O993"/>
    <mergeCell ref="P993:R993"/>
    <mergeCell ref="S993:V993"/>
    <mergeCell ref="W993:Z993"/>
    <mergeCell ref="B992:D992"/>
    <mergeCell ref="E992:H992"/>
    <mergeCell ref="J992:L992"/>
    <mergeCell ref="M992:O992"/>
    <mergeCell ref="P992:R992"/>
    <mergeCell ref="S992:V992"/>
    <mergeCell ref="AG998:AK998"/>
    <mergeCell ref="B999:D999"/>
    <mergeCell ref="E999:H999"/>
    <mergeCell ref="J999:L999"/>
    <mergeCell ref="M999:O999"/>
    <mergeCell ref="P999:R999"/>
    <mergeCell ref="S999:V999"/>
    <mergeCell ref="W999:Z999"/>
    <mergeCell ref="AA999:AF999"/>
    <mergeCell ref="AG999:AK999"/>
    <mergeCell ref="AA997:AF997"/>
    <mergeCell ref="AG997:AK997"/>
    <mergeCell ref="B998:D998"/>
    <mergeCell ref="E998:H998"/>
    <mergeCell ref="J998:L998"/>
    <mergeCell ref="M998:O998"/>
    <mergeCell ref="P998:R998"/>
    <mergeCell ref="S998:V998"/>
    <mergeCell ref="W998:Z998"/>
    <mergeCell ref="AA998:AF998"/>
    <mergeCell ref="W996:Z996"/>
    <mergeCell ref="AA996:AF996"/>
    <mergeCell ref="AG996:AK996"/>
    <mergeCell ref="B997:D997"/>
    <mergeCell ref="E997:H997"/>
    <mergeCell ref="J997:L997"/>
    <mergeCell ref="M997:O997"/>
    <mergeCell ref="P997:R997"/>
    <mergeCell ref="S997:V997"/>
    <mergeCell ref="W997:Z997"/>
    <mergeCell ref="B996:D996"/>
    <mergeCell ref="E996:H996"/>
    <mergeCell ref="J996:L996"/>
    <mergeCell ref="M996:O996"/>
    <mergeCell ref="P996:R996"/>
    <mergeCell ref="S996:V996"/>
    <mergeCell ref="AG1002:AK1002"/>
    <mergeCell ref="B1003:D1003"/>
    <mergeCell ref="E1003:H1003"/>
    <mergeCell ref="J1003:L1004"/>
    <mergeCell ref="M1003:O1003"/>
    <mergeCell ref="P1003:R1003"/>
    <mergeCell ref="S1003:V1003"/>
    <mergeCell ref="W1003:Z1003"/>
    <mergeCell ref="AA1003:AF1003"/>
    <mergeCell ref="AG1003:AK1003"/>
    <mergeCell ref="AA1001:AF1001"/>
    <mergeCell ref="AG1001:AK1001"/>
    <mergeCell ref="B1002:D1002"/>
    <mergeCell ref="E1002:H1002"/>
    <mergeCell ref="J1002:L1002"/>
    <mergeCell ref="M1002:O1002"/>
    <mergeCell ref="P1002:R1002"/>
    <mergeCell ref="S1002:V1002"/>
    <mergeCell ref="W1002:Z1002"/>
    <mergeCell ref="AA1002:AF1002"/>
    <mergeCell ref="W1000:Z1000"/>
    <mergeCell ref="AA1000:AF1000"/>
    <mergeCell ref="AG1000:AK1000"/>
    <mergeCell ref="B1001:D1001"/>
    <mergeCell ref="E1001:H1001"/>
    <mergeCell ref="J1001:L1001"/>
    <mergeCell ref="M1001:O1001"/>
    <mergeCell ref="P1001:R1001"/>
    <mergeCell ref="S1001:V1001"/>
    <mergeCell ref="W1001:Z1001"/>
    <mergeCell ref="B1000:D1000"/>
    <mergeCell ref="E1000:H1000"/>
    <mergeCell ref="J1000:L1000"/>
    <mergeCell ref="M1000:O1000"/>
    <mergeCell ref="P1000:R1000"/>
    <mergeCell ref="S1000:V1000"/>
    <mergeCell ref="AG1007:AK1007"/>
    <mergeCell ref="B1009:D1009"/>
    <mergeCell ref="E1009:H1009"/>
    <mergeCell ref="J1009:L1009"/>
    <mergeCell ref="M1009:O1009"/>
    <mergeCell ref="P1009:R1009"/>
    <mergeCell ref="S1009:V1009"/>
    <mergeCell ref="W1009:Z1009"/>
    <mergeCell ref="AA1009:AF1009"/>
    <mergeCell ref="AG1009:AK1009"/>
    <mergeCell ref="AA1006:AF1006"/>
    <mergeCell ref="AG1006:AK1006"/>
    <mergeCell ref="B1007:D1007"/>
    <mergeCell ref="E1007:H1007"/>
    <mergeCell ref="J1007:L1008"/>
    <mergeCell ref="M1007:O1007"/>
    <mergeCell ref="P1007:R1007"/>
    <mergeCell ref="S1007:V1007"/>
    <mergeCell ref="W1007:Z1007"/>
    <mergeCell ref="AA1007:AF1007"/>
    <mergeCell ref="W1005:Z1005"/>
    <mergeCell ref="AA1005:AF1005"/>
    <mergeCell ref="AG1005:AK1005"/>
    <mergeCell ref="B1006:D1006"/>
    <mergeCell ref="E1006:H1006"/>
    <mergeCell ref="J1006:L1006"/>
    <mergeCell ref="M1006:O1006"/>
    <mergeCell ref="P1006:R1006"/>
    <mergeCell ref="S1006:V1006"/>
    <mergeCell ref="W1006:Z1006"/>
    <mergeCell ref="B1005:D1005"/>
    <mergeCell ref="E1005:H1005"/>
    <mergeCell ref="J1005:L1005"/>
    <mergeCell ref="M1005:O1005"/>
    <mergeCell ref="P1005:R1005"/>
    <mergeCell ref="S1005:V1005"/>
    <mergeCell ref="AG1012:AK1012"/>
    <mergeCell ref="B1013:D1013"/>
    <mergeCell ref="E1013:H1013"/>
    <mergeCell ref="J1013:L1013"/>
    <mergeCell ref="M1013:O1013"/>
    <mergeCell ref="P1013:R1013"/>
    <mergeCell ref="S1013:V1013"/>
    <mergeCell ref="W1013:Z1013"/>
    <mergeCell ref="AA1013:AF1013"/>
    <mergeCell ref="AG1013:AK1013"/>
    <mergeCell ref="AA1011:AF1011"/>
    <mergeCell ref="AG1011:AK1011"/>
    <mergeCell ref="B1012:D1012"/>
    <mergeCell ref="E1012:H1012"/>
    <mergeCell ref="J1012:L1012"/>
    <mergeCell ref="M1012:O1012"/>
    <mergeCell ref="P1012:R1012"/>
    <mergeCell ref="S1012:V1012"/>
    <mergeCell ref="W1012:Z1012"/>
    <mergeCell ref="AA1012:AF1012"/>
    <mergeCell ref="W1010:Z1010"/>
    <mergeCell ref="AA1010:AF1010"/>
    <mergeCell ref="AG1010:AK1010"/>
    <mergeCell ref="B1011:D1011"/>
    <mergeCell ref="E1011:H1011"/>
    <mergeCell ref="J1011:L1011"/>
    <mergeCell ref="M1011:O1011"/>
    <mergeCell ref="P1011:R1011"/>
    <mergeCell ref="S1011:V1011"/>
    <mergeCell ref="W1011:Z1011"/>
    <mergeCell ref="B1010:D1010"/>
    <mergeCell ref="E1010:H1010"/>
    <mergeCell ref="J1010:L1010"/>
    <mergeCell ref="M1010:O1010"/>
    <mergeCell ref="P1010:R1010"/>
    <mergeCell ref="S1010:V1010"/>
    <mergeCell ref="O1024:Q1024"/>
    <mergeCell ref="V1024:Y1024"/>
    <mergeCell ref="AD1024:AJ1024"/>
    <mergeCell ref="B1025:D1025"/>
    <mergeCell ref="E1025:G1025"/>
    <mergeCell ref="J1025:N1025"/>
    <mergeCell ref="Q1025:R1025"/>
    <mergeCell ref="U1025:V1025"/>
    <mergeCell ref="X1025:Z1025"/>
    <mergeCell ref="AC1025:AF1025"/>
    <mergeCell ref="C1020:J1021"/>
    <mergeCell ref="K1020:X1020"/>
    <mergeCell ref="Y1020:AG1021"/>
    <mergeCell ref="AH1020:AL1021"/>
    <mergeCell ref="K1021:X1021"/>
    <mergeCell ref="C1022:F1022"/>
    <mergeCell ref="G1022:AE1023"/>
    <mergeCell ref="AF1022:AG1023"/>
    <mergeCell ref="AH1022:AI1023"/>
    <mergeCell ref="W1014:Z1014"/>
    <mergeCell ref="AA1014:AF1014"/>
    <mergeCell ref="AG1014:AK1014"/>
    <mergeCell ref="AG1015:AL1015"/>
    <mergeCell ref="D1016:AH1016"/>
    <mergeCell ref="A1017:I1019"/>
    <mergeCell ref="J1017:AH1017"/>
    <mergeCell ref="J1018:AF1018"/>
    <mergeCell ref="J1019:AE1019"/>
    <mergeCell ref="B1014:D1014"/>
    <mergeCell ref="E1014:H1014"/>
    <mergeCell ref="J1014:L1014"/>
    <mergeCell ref="M1014:O1014"/>
    <mergeCell ref="P1014:R1014"/>
    <mergeCell ref="S1014:V1014"/>
    <mergeCell ref="AA1029:AF1029"/>
    <mergeCell ref="AG1029:AK1029"/>
    <mergeCell ref="B1031:D1031"/>
    <mergeCell ref="E1031:H1031"/>
    <mergeCell ref="J1031:L1031"/>
    <mergeCell ref="M1031:O1031"/>
    <mergeCell ref="P1031:R1031"/>
    <mergeCell ref="S1031:V1031"/>
    <mergeCell ref="W1031:Z1031"/>
    <mergeCell ref="AA1031:AF1031"/>
    <mergeCell ref="W1027:Z1027"/>
    <mergeCell ref="AA1027:AF1027"/>
    <mergeCell ref="AG1027:AK1027"/>
    <mergeCell ref="B1029:D1029"/>
    <mergeCell ref="E1029:H1029"/>
    <mergeCell ref="J1029:L1030"/>
    <mergeCell ref="M1029:O1029"/>
    <mergeCell ref="P1029:R1029"/>
    <mergeCell ref="S1029:V1029"/>
    <mergeCell ref="W1029:Z1029"/>
    <mergeCell ref="B1027:D1027"/>
    <mergeCell ref="E1027:H1027"/>
    <mergeCell ref="J1027:L1028"/>
    <mergeCell ref="M1027:O1027"/>
    <mergeCell ref="P1027:R1027"/>
    <mergeCell ref="S1027:V1027"/>
    <mergeCell ref="AH1025:AK1025"/>
    <mergeCell ref="B1026:D1026"/>
    <mergeCell ref="E1026:H1026"/>
    <mergeCell ref="J1026:L1026"/>
    <mergeCell ref="M1026:O1026"/>
    <mergeCell ref="P1026:R1026"/>
    <mergeCell ref="S1026:V1026"/>
    <mergeCell ref="W1026:Z1026"/>
    <mergeCell ref="AA1026:AF1026"/>
    <mergeCell ref="AG1026:AK1026"/>
    <mergeCell ref="AA1034:AF1034"/>
    <mergeCell ref="AG1034:AK1034"/>
    <mergeCell ref="B1035:D1035"/>
    <mergeCell ref="E1035:H1035"/>
    <mergeCell ref="J1035:L1035"/>
    <mergeCell ref="M1035:O1035"/>
    <mergeCell ref="P1035:R1035"/>
    <mergeCell ref="S1035:V1035"/>
    <mergeCell ref="W1035:Z1035"/>
    <mergeCell ref="AA1035:AF1035"/>
    <mergeCell ref="W1033:Z1033"/>
    <mergeCell ref="AA1033:AF1033"/>
    <mergeCell ref="AG1033:AK1033"/>
    <mergeCell ref="B1034:D1034"/>
    <mergeCell ref="E1034:H1034"/>
    <mergeCell ref="J1034:L1034"/>
    <mergeCell ref="M1034:O1034"/>
    <mergeCell ref="P1034:R1034"/>
    <mergeCell ref="S1034:V1034"/>
    <mergeCell ref="W1034:Z1034"/>
    <mergeCell ref="B1033:D1033"/>
    <mergeCell ref="E1033:H1033"/>
    <mergeCell ref="J1033:L1033"/>
    <mergeCell ref="M1033:O1033"/>
    <mergeCell ref="P1033:R1033"/>
    <mergeCell ref="S1033:V1033"/>
    <mergeCell ref="AG1031:AK1031"/>
    <mergeCell ref="B1032:D1032"/>
    <mergeCell ref="E1032:H1032"/>
    <mergeCell ref="J1032:L1032"/>
    <mergeCell ref="M1032:O1032"/>
    <mergeCell ref="P1032:R1032"/>
    <mergeCell ref="S1032:V1032"/>
    <mergeCell ref="W1032:Z1032"/>
    <mergeCell ref="AA1032:AF1032"/>
    <mergeCell ref="AG1032:AK1032"/>
    <mergeCell ref="AA1038:AF1038"/>
    <mergeCell ref="AG1038:AK1038"/>
    <mergeCell ref="B1039:D1039"/>
    <mergeCell ref="E1039:H1039"/>
    <mergeCell ref="J1039:L1039"/>
    <mergeCell ref="M1039:O1039"/>
    <mergeCell ref="P1039:R1039"/>
    <mergeCell ref="S1039:V1039"/>
    <mergeCell ref="W1039:Z1039"/>
    <mergeCell ref="AA1039:AF1039"/>
    <mergeCell ref="W1037:Z1037"/>
    <mergeCell ref="AA1037:AF1037"/>
    <mergeCell ref="AG1037:AK1037"/>
    <mergeCell ref="B1038:D1038"/>
    <mergeCell ref="E1038:H1038"/>
    <mergeCell ref="J1038:L1038"/>
    <mergeCell ref="M1038:O1038"/>
    <mergeCell ref="P1038:R1038"/>
    <mergeCell ref="S1038:V1038"/>
    <mergeCell ref="W1038:Z1038"/>
    <mergeCell ref="B1037:D1037"/>
    <mergeCell ref="E1037:H1037"/>
    <mergeCell ref="J1037:L1037"/>
    <mergeCell ref="M1037:O1037"/>
    <mergeCell ref="P1037:R1037"/>
    <mergeCell ref="S1037:V1037"/>
    <mergeCell ref="AG1035:AK1035"/>
    <mergeCell ref="B1036:D1036"/>
    <mergeCell ref="E1036:H1036"/>
    <mergeCell ref="J1036:L1036"/>
    <mergeCell ref="M1036:O1036"/>
    <mergeCell ref="P1036:R1036"/>
    <mergeCell ref="S1036:V1036"/>
    <mergeCell ref="W1036:Z1036"/>
    <mergeCell ref="AA1036:AF1036"/>
    <mergeCell ref="AG1036:AK1036"/>
    <mergeCell ref="AA1042:AF1042"/>
    <mergeCell ref="AG1042:AK1042"/>
    <mergeCell ref="B1043:D1043"/>
    <mergeCell ref="E1043:H1043"/>
    <mergeCell ref="J1043:L1043"/>
    <mergeCell ref="M1043:O1043"/>
    <mergeCell ref="P1043:R1043"/>
    <mergeCell ref="S1043:V1043"/>
    <mergeCell ref="W1043:Z1043"/>
    <mergeCell ref="AA1043:AF1043"/>
    <mergeCell ref="W1041:Z1041"/>
    <mergeCell ref="AA1041:AF1041"/>
    <mergeCell ref="AG1041:AK1041"/>
    <mergeCell ref="B1042:D1042"/>
    <mergeCell ref="E1042:H1042"/>
    <mergeCell ref="J1042:L1042"/>
    <mergeCell ref="M1042:O1042"/>
    <mergeCell ref="P1042:R1042"/>
    <mergeCell ref="S1042:V1042"/>
    <mergeCell ref="W1042:Z1042"/>
    <mergeCell ref="B1041:D1041"/>
    <mergeCell ref="E1041:H1041"/>
    <mergeCell ref="J1041:L1041"/>
    <mergeCell ref="M1041:O1041"/>
    <mergeCell ref="P1041:R1041"/>
    <mergeCell ref="S1041:V1041"/>
    <mergeCell ref="AG1039:AK1039"/>
    <mergeCell ref="B1040:D1040"/>
    <mergeCell ref="E1040:H1040"/>
    <mergeCell ref="J1040:L1040"/>
    <mergeCell ref="M1040:O1040"/>
    <mergeCell ref="P1040:R1040"/>
    <mergeCell ref="S1040:V1040"/>
    <mergeCell ref="W1040:Z1040"/>
    <mergeCell ref="AA1040:AF1040"/>
    <mergeCell ref="AG1040:AK1040"/>
    <mergeCell ref="AA1046:AF1046"/>
    <mergeCell ref="AG1046:AK1046"/>
    <mergeCell ref="B1047:D1047"/>
    <mergeCell ref="E1047:H1047"/>
    <mergeCell ref="J1047:L1048"/>
    <mergeCell ref="M1047:O1047"/>
    <mergeCell ref="P1047:R1047"/>
    <mergeCell ref="S1047:V1047"/>
    <mergeCell ref="W1047:Z1047"/>
    <mergeCell ref="AA1047:AF1047"/>
    <mergeCell ref="W1045:Z1045"/>
    <mergeCell ref="AA1045:AF1045"/>
    <mergeCell ref="AG1045:AK1045"/>
    <mergeCell ref="B1046:D1046"/>
    <mergeCell ref="E1046:H1046"/>
    <mergeCell ref="J1046:L1046"/>
    <mergeCell ref="M1046:O1046"/>
    <mergeCell ref="P1046:R1046"/>
    <mergeCell ref="S1046:V1046"/>
    <mergeCell ref="W1046:Z1046"/>
    <mergeCell ref="B1045:D1045"/>
    <mergeCell ref="E1045:H1045"/>
    <mergeCell ref="J1045:L1045"/>
    <mergeCell ref="M1045:O1045"/>
    <mergeCell ref="P1045:R1045"/>
    <mergeCell ref="S1045:V1045"/>
    <mergeCell ref="AG1043:AK1043"/>
    <mergeCell ref="B1044:D1044"/>
    <mergeCell ref="E1044:H1044"/>
    <mergeCell ref="J1044:L1044"/>
    <mergeCell ref="M1044:O1044"/>
    <mergeCell ref="P1044:R1044"/>
    <mergeCell ref="S1044:V1044"/>
    <mergeCell ref="W1044:Z1044"/>
    <mergeCell ref="AA1044:AF1044"/>
    <mergeCell ref="AG1044:AK1044"/>
    <mergeCell ref="AA1051:AF1051"/>
    <mergeCell ref="AG1051:AK1051"/>
    <mergeCell ref="B1053:D1053"/>
    <mergeCell ref="E1053:H1053"/>
    <mergeCell ref="J1053:L1053"/>
    <mergeCell ref="M1053:O1053"/>
    <mergeCell ref="P1053:R1053"/>
    <mergeCell ref="S1053:V1053"/>
    <mergeCell ref="W1053:Z1053"/>
    <mergeCell ref="AA1053:AF1053"/>
    <mergeCell ref="W1050:Z1050"/>
    <mergeCell ref="AA1050:AF1050"/>
    <mergeCell ref="AG1050:AK1050"/>
    <mergeCell ref="B1051:D1051"/>
    <mergeCell ref="E1051:H1051"/>
    <mergeCell ref="J1051:L1052"/>
    <mergeCell ref="M1051:O1051"/>
    <mergeCell ref="P1051:R1051"/>
    <mergeCell ref="S1051:V1051"/>
    <mergeCell ref="W1051:Z1051"/>
    <mergeCell ref="B1050:D1050"/>
    <mergeCell ref="E1050:H1050"/>
    <mergeCell ref="J1050:L1050"/>
    <mergeCell ref="M1050:O1050"/>
    <mergeCell ref="P1050:R1050"/>
    <mergeCell ref="S1050:V1050"/>
    <mergeCell ref="AG1047:AK1047"/>
    <mergeCell ref="B1049:D1049"/>
    <mergeCell ref="E1049:H1049"/>
    <mergeCell ref="J1049:L1049"/>
    <mergeCell ref="M1049:O1049"/>
    <mergeCell ref="P1049:R1049"/>
    <mergeCell ref="S1049:V1049"/>
    <mergeCell ref="W1049:Z1049"/>
    <mergeCell ref="AA1049:AF1049"/>
    <mergeCell ref="AG1049:AK1049"/>
    <mergeCell ref="AA1056:AF1056"/>
    <mergeCell ref="AG1056:AK1056"/>
    <mergeCell ref="B1057:D1057"/>
    <mergeCell ref="E1057:H1057"/>
    <mergeCell ref="J1057:L1057"/>
    <mergeCell ref="M1057:O1057"/>
    <mergeCell ref="P1057:R1057"/>
    <mergeCell ref="S1057:V1057"/>
    <mergeCell ref="W1057:Z1057"/>
    <mergeCell ref="AA1057:AF1057"/>
    <mergeCell ref="W1055:Z1055"/>
    <mergeCell ref="AA1055:AF1055"/>
    <mergeCell ref="AG1055:AK1055"/>
    <mergeCell ref="B1056:D1056"/>
    <mergeCell ref="E1056:H1056"/>
    <mergeCell ref="J1056:L1056"/>
    <mergeCell ref="M1056:O1056"/>
    <mergeCell ref="P1056:R1056"/>
    <mergeCell ref="S1056:V1056"/>
    <mergeCell ref="W1056:Z1056"/>
    <mergeCell ref="B1055:D1055"/>
    <mergeCell ref="E1055:H1055"/>
    <mergeCell ref="J1055:L1055"/>
    <mergeCell ref="M1055:O1055"/>
    <mergeCell ref="P1055:R1055"/>
    <mergeCell ref="S1055:V1055"/>
    <mergeCell ref="AG1053:AK1053"/>
    <mergeCell ref="B1054:D1054"/>
    <mergeCell ref="E1054:H1054"/>
    <mergeCell ref="J1054:L1054"/>
    <mergeCell ref="M1054:O1054"/>
    <mergeCell ref="P1054:R1054"/>
    <mergeCell ref="S1054:V1054"/>
    <mergeCell ref="W1054:Z1054"/>
    <mergeCell ref="AA1054:AF1054"/>
    <mergeCell ref="AG1054:AK1054"/>
    <mergeCell ref="AA1060:AF1060"/>
    <mergeCell ref="AG1060:AK1060"/>
    <mergeCell ref="B1062:D1062"/>
    <mergeCell ref="E1062:H1062"/>
    <mergeCell ref="J1062:L1063"/>
    <mergeCell ref="M1062:O1062"/>
    <mergeCell ref="P1062:R1062"/>
    <mergeCell ref="S1062:V1062"/>
    <mergeCell ref="W1062:Z1062"/>
    <mergeCell ref="AA1062:AF1062"/>
    <mergeCell ref="W1059:Z1059"/>
    <mergeCell ref="AA1059:AF1059"/>
    <mergeCell ref="AG1059:AK1059"/>
    <mergeCell ref="B1060:D1060"/>
    <mergeCell ref="E1060:H1060"/>
    <mergeCell ref="J1060:L1061"/>
    <mergeCell ref="M1060:O1060"/>
    <mergeCell ref="P1060:R1060"/>
    <mergeCell ref="S1060:V1060"/>
    <mergeCell ref="W1060:Z1060"/>
    <mergeCell ref="B1059:D1059"/>
    <mergeCell ref="E1059:H1059"/>
    <mergeCell ref="J1059:L1059"/>
    <mergeCell ref="M1059:O1059"/>
    <mergeCell ref="P1059:R1059"/>
    <mergeCell ref="S1059:V1059"/>
    <mergeCell ref="AG1057:AK1057"/>
    <mergeCell ref="B1058:D1058"/>
    <mergeCell ref="E1058:H1058"/>
    <mergeCell ref="J1058:L1058"/>
    <mergeCell ref="M1058:O1058"/>
    <mergeCell ref="P1058:R1058"/>
    <mergeCell ref="S1058:V1058"/>
    <mergeCell ref="W1058:Z1058"/>
    <mergeCell ref="AA1058:AF1058"/>
    <mergeCell ref="AG1058:AK1058"/>
    <mergeCell ref="AA1066:AF1066"/>
    <mergeCell ref="AG1066:AK1066"/>
    <mergeCell ref="B1067:D1067"/>
    <mergeCell ref="E1067:H1067"/>
    <mergeCell ref="J1067:L1067"/>
    <mergeCell ref="M1067:O1067"/>
    <mergeCell ref="P1067:R1067"/>
    <mergeCell ref="S1067:V1067"/>
    <mergeCell ref="W1067:Z1067"/>
    <mergeCell ref="AA1067:AF1067"/>
    <mergeCell ref="W1065:Z1065"/>
    <mergeCell ref="AA1065:AF1065"/>
    <mergeCell ref="AG1065:AK1065"/>
    <mergeCell ref="B1066:D1066"/>
    <mergeCell ref="E1066:H1066"/>
    <mergeCell ref="J1066:L1066"/>
    <mergeCell ref="M1066:O1066"/>
    <mergeCell ref="P1066:R1066"/>
    <mergeCell ref="S1066:V1066"/>
    <mergeCell ref="W1066:Z1066"/>
    <mergeCell ref="B1065:D1065"/>
    <mergeCell ref="E1065:H1065"/>
    <mergeCell ref="J1065:L1065"/>
    <mergeCell ref="M1065:O1065"/>
    <mergeCell ref="P1065:R1065"/>
    <mergeCell ref="S1065:V1065"/>
    <mergeCell ref="AG1062:AK1062"/>
    <mergeCell ref="B1064:D1064"/>
    <mergeCell ref="E1064:H1064"/>
    <mergeCell ref="J1064:L1064"/>
    <mergeCell ref="M1064:O1064"/>
    <mergeCell ref="P1064:R1064"/>
    <mergeCell ref="S1064:V1064"/>
    <mergeCell ref="W1064:Z1064"/>
    <mergeCell ref="AA1064:AF1064"/>
    <mergeCell ref="AG1064:AK1064"/>
    <mergeCell ref="AA1070:AF1070"/>
    <mergeCell ref="AG1070:AK1070"/>
    <mergeCell ref="B1071:D1071"/>
    <mergeCell ref="E1071:H1071"/>
    <mergeCell ref="J1071:L1071"/>
    <mergeCell ref="M1071:O1071"/>
    <mergeCell ref="P1071:R1071"/>
    <mergeCell ref="S1071:V1071"/>
    <mergeCell ref="W1071:Z1071"/>
    <mergeCell ref="AA1071:AF1071"/>
    <mergeCell ref="W1069:Z1069"/>
    <mergeCell ref="AA1069:AF1069"/>
    <mergeCell ref="AG1069:AK1069"/>
    <mergeCell ref="B1070:D1070"/>
    <mergeCell ref="E1070:H1070"/>
    <mergeCell ref="J1070:L1070"/>
    <mergeCell ref="M1070:O1070"/>
    <mergeCell ref="P1070:R1070"/>
    <mergeCell ref="S1070:V1070"/>
    <mergeCell ref="W1070:Z1070"/>
    <mergeCell ref="B1069:D1069"/>
    <mergeCell ref="E1069:H1069"/>
    <mergeCell ref="J1069:L1069"/>
    <mergeCell ref="M1069:O1069"/>
    <mergeCell ref="P1069:R1069"/>
    <mergeCell ref="S1069:V1069"/>
    <mergeCell ref="AG1067:AK1067"/>
    <mergeCell ref="B1068:D1068"/>
    <mergeCell ref="E1068:H1068"/>
    <mergeCell ref="J1068:L1068"/>
    <mergeCell ref="M1068:O1068"/>
    <mergeCell ref="P1068:R1068"/>
    <mergeCell ref="S1068:V1068"/>
    <mergeCell ref="W1068:Z1068"/>
    <mergeCell ref="AA1068:AF1068"/>
    <mergeCell ref="AG1068:AK1068"/>
    <mergeCell ref="O1083:Q1083"/>
    <mergeCell ref="V1083:Y1083"/>
    <mergeCell ref="AD1083:AJ1083"/>
    <mergeCell ref="B1084:D1084"/>
    <mergeCell ref="E1084:G1084"/>
    <mergeCell ref="J1084:N1084"/>
    <mergeCell ref="Q1084:R1084"/>
    <mergeCell ref="U1084:V1084"/>
    <mergeCell ref="X1084:Z1084"/>
    <mergeCell ref="AC1084:AF1084"/>
    <mergeCell ref="C1079:J1080"/>
    <mergeCell ref="K1079:X1079"/>
    <mergeCell ref="Y1079:AG1080"/>
    <mergeCell ref="AH1079:AL1080"/>
    <mergeCell ref="K1080:X1080"/>
    <mergeCell ref="C1081:F1081"/>
    <mergeCell ref="G1081:AE1082"/>
    <mergeCell ref="AF1081:AG1082"/>
    <mergeCell ref="AH1081:AI1082"/>
    <mergeCell ref="AG1074:AL1074"/>
    <mergeCell ref="D1075:AH1075"/>
    <mergeCell ref="A1076:I1078"/>
    <mergeCell ref="J1076:AH1076"/>
    <mergeCell ref="J1077:AF1077"/>
    <mergeCell ref="J1078:AE1078"/>
    <mergeCell ref="AG1071:AK1071"/>
    <mergeCell ref="B1072:D1072"/>
    <mergeCell ref="E1072:H1072"/>
    <mergeCell ref="J1072:L1072"/>
    <mergeCell ref="M1072:O1072"/>
    <mergeCell ref="P1072:R1072"/>
    <mergeCell ref="S1072:V1072"/>
    <mergeCell ref="W1072:Z1072"/>
    <mergeCell ref="AA1072:AF1072"/>
    <mergeCell ref="AG1072:AK1072"/>
    <mergeCell ref="AA1087:AF1087"/>
    <mergeCell ref="AG1087:AK1087"/>
    <mergeCell ref="B1088:D1088"/>
    <mergeCell ref="E1088:H1088"/>
    <mergeCell ref="J1088:L1088"/>
    <mergeCell ref="M1088:O1088"/>
    <mergeCell ref="P1088:R1088"/>
    <mergeCell ref="S1088:V1088"/>
    <mergeCell ref="W1088:Z1088"/>
    <mergeCell ref="AA1088:AF1088"/>
    <mergeCell ref="W1086:Z1086"/>
    <mergeCell ref="AA1086:AF1086"/>
    <mergeCell ref="AG1086:AK1086"/>
    <mergeCell ref="B1087:D1087"/>
    <mergeCell ref="E1087:H1087"/>
    <mergeCell ref="J1087:L1087"/>
    <mergeCell ref="M1087:O1087"/>
    <mergeCell ref="P1087:R1087"/>
    <mergeCell ref="S1087:V1087"/>
    <mergeCell ref="W1087:Z1087"/>
    <mergeCell ref="B1086:D1086"/>
    <mergeCell ref="E1086:H1086"/>
    <mergeCell ref="J1086:L1086"/>
    <mergeCell ref="M1086:O1086"/>
    <mergeCell ref="P1086:R1086"/>
    <mergeCell ref="S1086:V1086"/>
    <mergeCell ref="AH1084:AK1084"/>
    <mergeCell ref="B1085:D1085"/>
    <mergeCell ref="E1085:H1085"/>
    <mergeCell ref="J1085:L1085"/>
    <mergeCell ref="M1085:O1085"/>
    <mergeCell ref="P1085:R1085"/>
    <mergeCell ref="S1085:V1085"/>
    <mergeCell ref="W1085:Z1085"/>
    <mergeCell ref="AA1085:AF1085"/>
    <mergeCell ref="AG1085:AK1085"/>
    <mergeCell ref="AA1091:AF1091"/>
    <mergeCell ref="AG1091:AK1091"/>
    <mergeCell ref="B1092:D1092"/>
    <mergeCell ref="E1092:H1092"/>
    <mergeCell ref="J1092:L1093"/>
    <mergeCell ref="M1092:O1092"/>
    <mergeCell ref="P1092:R1092"/>
    <mergeCell ref="S1092:V1092"/>
    <mergeCell ref="W1092:Z1092"/>
    <mergeCell ref="AA1092:AF1092"/>
    <mergeCell ref="W1090:Z1090"/>
    <mergeCell ref="AA1090:AF1090"/>
    <mergeCell ref="AG1090:AK1090"/>
    <mergeCell ref="B1091:D1091"/>
    <mergeCell ref="E1091:H1091"/>
    <mergeCell ref="J1091:L1091"/>
    <mergeCell ref="M1091:O1091"/>
    <mergeCell ref="P1091:R1091"/>
    <mergeCell ref="S1091:V1091"/>
    <mergeCell ref="W1091:Z1091"/>
    <mergeCell ref="B1090:D1090"/>
    <mergeCell ref="E1090:H1090"/>
    <mergeCell ref="J1090:L1090"/>
    <mergeCell ref="M1090:O1090"/>
    <mergeCell ref="P1090:R1090"/>
    <mergeCell ref="S1090:V1090"/>
    <mergeCell ref="AG1088:AK1088"/>
    <mergeCell ref="B1089:D1089"/>
    <mergeCell ref="E1089:H1089"/>
    <mergeCell ref="J1089:L1089"/>
    <mergeCell ref="M1089:O1089"/>
    <mergeCell ref="P1089:R1089"/>
    <mergeCell ref="S1089:V1089"/>
    <mergeCell ref="W1089:Z1089"/>
    <mergeCell ref="AA1089:AF1089"/>
    <mergeCell ref="AG1089:AK1089"/>
    <mergeCell ref="AA1096:AF1096"/>
    <mergeCell ref="AG1096:AK1096"/>
    <mergeCell ref="B1098:D1098"/>
    <mergeCell ref="E1098:H1098"/>
    <mergeCell ref="J1098:L1098"/>
    <mergeCell ref="M1098:O1098"/>
    <mergeCell ref="P1098:R1098"/>
    <mergeCell ref="S1098:V1098"/>
    <mergeCell ref="W1098:Z1098"/>
    <mergeCell ref="AA1098:AF1098"/>
    <mergeCell ref="W1095:Z1095"/>
    <mergeCell ref="AA1095:AF1095"/>
    <mergeCell ref="AG1095:AK1095"/>
    <mergeCell ref="B1096:D1096"/>
    <mergeCell ref="E1096:H1096"/>
    <mergeCell ref="J1096:L1097"/>
    <mergeCell ref="M1096:O1096"/>
    <mergeCell ref="P1096:R1096"/>
    <mergeCell ref="S1096:V1096"/>
    <mergeCell ref="W1096:Z1096"/>
    <mergeCell ref="B1095:D1095"/>
    <mergeCell ref="E1095:H1095"/>
    <mergeCell ref="J1095:L1095"/>
    <mergeCell ref="M1095:O1095"/>
    <mergeCell ref="P1095:R1095"/>
    <mergeCell ref="S1095:V1095"/>
    <mergeCell ref="AG1092:AK1092"/>
    <mergeCell ref="B1094:D1094"/>
    <mergeCell ref="E1094:H1094"/>
    <mergeCell ref="J1094:L1094"/>
    <mergeCell ref="M1094:O1094"/>
    <mergeCell ref="P1094:R1094"/>
    <mergeCell ref="S1094:V1094"/>
    <mergeCell ref="W1094:Z1094"/>
    <mergeCell ref="AA1094:AF1094"/>
    <mergeCell ref="AG1094:AK1094"/>
    <mergeCell ref="AA1101:AF1101"/>
    <mergeCell ref="AG1101:AK1101"/>
    <mergeCell ref="B1102:D1102"/>
    <mergeCell ref="E1102:H1102"/>
    <mergeCell ref="J1102:L1102"/>
    <mergeCell ref="M1102:O1102"/>
    <mergeCell ref="P1102:R1102"/>
    <mergeCell ref="S1102:V1102"/>
    <mergeCell ref="W1102:Z1102"/>
    <mergeCell ref="AA1102:AF1102"/>
    <mergeCell ref="W1100:Z1100"/>
    <mergeCell ref="AA1100:AF1100"/>
    <mergeCell ref="AG1100:AK1100"/>
    <mergeCell ref="B1101:D1101"/>
    <mergeCell ref="E1101:H1101"/>
    <mergeCell ref="J1101:L1101"/>
    <mergeCell ref="M1101:O1101"/>
    <mergeCell ref="P1101:R1101"/>
    <mergeCell ref="S1101:V1101"/>
    <mergeCell ref="W1101:Z1101"/>
    <mergeCell ref="B1100:D1100"/>
    <mergeCell ref="E1100:H1100"/>
    <mergeCell ref="J1100:L1100"/>
    <mergeCell ref="M1100:O1100"/>
    <mergeCell ref="P1100:R1100"/>
    <mergeCell ref="S1100:V1100"/>
    <mergeCell ref="AG1098:AK1098"/>
    <mergeCell ref="B1099:D1099"/>
    <mergeCell ref="E1099:H1099"/>
    <mergeCell ref="J1099:L1099"/>
    <mergeCell ref="M1099:O1099"/>
    <mergeCell ref="P1099:R1099"/>
    <mergeCell ref="S1099:V1099"/>
    <mergeCell ref="W1099:Z1099"/>
    <mergeCell ref="AA1099:AF1099"/>
    <mergeCell ref="AG1099:AK1099"/>
    <mergeCell ref="AA1105:AF1105"/>
    <mergeCell ref="AG1105:AK1105"/>
    <mergeCell ref="B1106:D1106"/>
    <mergeCell ref="E1106:H1106"/>
    <mergeCell ref="J1106:L1106"/>
    <mergeCell ref="M1106:O1106"/>
    <mergeCell ref="P1106:R1106"/>
    <mergeCell ref="S1106:V1106"/>
    <mergeCell ref="W1106:Z1106"/>
    <mergeCell ref="AA1106:AF1106"/>
    <mergeCell ref="W1104:Z1104"/>
    <mergeCell ref="AA1104:AF1104"/>
    <mergeCell ref="AG1104:AK1104"/>
    <mergeCell ref="B1105:D1105"/>
    <mergeCell ref="E1105:H1105"/>
    <mergeCell ref="J1105:L1105"/>
    <mergeCell ref="M1105:O1105"/>
    <mergeCell ref="P1105:R1105"/>
    <mergeCell ref="S1105:V1105"/>
    <mergeCell ref="W1105:Z1105"/>
    <mergeCell ref="B1104:D1104"/>
    <mergeCell ref="E1104:H1104"/>
    <mergeCell ref="J1104:L1104"/>
    <mergeCell ref="M1104:O1104"/>
    <mergeCell ref="P1104:R1104"/>
    <mergeCell ref="S1104:V1104"/>
    <mergeCell ref="AG1102:AK1102"/>
    <mergeCell ref="B1103:D1103"/>
    <mergeCell ref="E1103:H1103"/>
    <mergeCell ref="J1103:L1103"/>
    <mergeCell ref="M1103:O1103"/>
    <mergeCell ref="P1103:R1103"/>
    <mergeCell ref="S1103:V1103"/>
    <mergeCell ref="W1103:Z1103"/>
    <mergeCell ref="AA1103:AF1103"/>
    <mergeCell ref="AG1103:AK1103"/>
    <mergeCell ref="AA1109:AF1109"/>
    <mergeCell ref="AG1109:AK1109"/>
    <mergeCell ref="B1110:D1110"/>
    <mergeCell ref="E1110:H1110"/>
    <mergeCell ref="J1110:L1110"/>
    <mergeCell ref="M1110:O1110"/>
    <mergeCell ref="P1110:R1110"/>
    <mergeCell ref="S1110:V1110"/>
    <mergeCell ref="W1110:Z1110"/>
    <mergeCell ref="AA1110:AF1110"/>
    <mergeCell ref="W1108:Z1108"/>
    <mergeCell ref="AA1108:AF1108"/>
    <mergeCell ref="AG1108:AK1108"/>
    <mergeCell ref="B1109:D1109"/>
    <mergeCell ref="E1109:H1109"/>
    <mergeCell ref="J1109:L1109"/>
    <mergeCell ref="M1109:O1109"/>
    <mergeCell ref="P1109:R1109"/>
    <mergeCell ref="S1109:V1109"/>
    <mergeCell ref="W1109:Z1109"/>
    <mergeCell ref="B1108:D1108"/>
    <mergeCell ref="E1108:H1108"/>
    <mergeCell ref="J1108:L1108"/>
    <mergeCell ref="M1108:O1108"/>
    <mergeCell ref="P1108:R1108"/>
    <mergeCell ref="S1108:V1108"/>
    <mergeCell ref="AG1106:AK1106"/>
    <mergeCell ref="B1107:D1107"/>
    <mergeCell ref="E1107:H1107"/>
    <mergeCell ref="J1107:L1107"/>
    <mergeCell ref="M1107:O1107"/>
    <mergeCell ref="P1107:R1107"/>
    <mergeCell ref="S1107:V1107"/>
    <mergeCell ref="W1107:Z1107"/>
    <mergeCell ref="AA1107:AF1107"/>
    <mergeCell ref="AG1107:AK1107"/>
    <mergeCell ref="AA1113:AF1113"/>
    <mergeCell ref="AG1113:AK1113"/>
    <mergeCell ref="B1114:D1114"/>
    <mergeCell ref="E1114:H1114"/>
    <mergeCell ref="J1114:L1114"/>
    <mergeCell ref="M1114:O1114"/>
    <mergeCell ref="P1114:R1114"/>
    <mergeCell ref="S1114:V1114"/>
    <mergeCell ref="W1114:Z1114"/>
    <mergeCell ref="AA1114:AF1114"/>
    <mergeCell ref="W1112:Z1112"/>
    <mergeCell ref="AA1112:AF1112"/>
    <mergeCell ref="AG1112:AK1112"/>
    <mergeCell ref="B1113:D1113"/>
    <mergeCell ref="E1113:H1113"/>
    <mergeCell ref="J1113:L1113"/>
    <mergeCell ref="M1113:O1113"/>
    <mergeCell ref="P1113:R1113"/>
    <mergeCell ref="S1113:V1113"/>
    <mergeCell ref="W1113:Z1113"/>
    <mergeCell ref="B1112:D1112"/>
    <mergeCell ref="E1112:H1112"/>
    <mergeCell ref="J1112:L1112"/>
    <mergeCell ref="M1112:O1112"/>
    <mergeCell ref="P1112:R1112"/>
    <mergeCell ref="S1112:V1112"/>
    <mergeCell ref="AG1110:AK1110"/>
    <mergeCell ref="B1111:D1111"/>
    <mergeCell ref="E1111:H1111"/>
    <mergeCell ref="J1111:L1111"/>
    <mergeCell ref="M1111:O1111"/>
    <mergeCell ref="P1111:R1111"/>
    <mergeCell ref="S1111:V1111"/>
    <mergeCell ref="W1111:Z1111"/>
    <mergeCell ref="AA1111:AF1111"/>
    <mergeCell ref="AG1111:AK1111"/>
    <mergeCell ref="AA1117:AF1117"/>
    <mergeCell ref="AG1117:AK1117"/>
    <mergeCell ref="B1118:D1118"/>
    <mergeCell ref="E1118:H1118"/>
    <mergeCell ref="J1118:L1118"/>
    <mergeCell ref="M1118:O1118"/>
    <mergeCell ref="P1118:R1118"/>
    <mergeCell ref="S1118:V1118"/>
    <mergeCell ref="W1118:Z1118"/>
    <mergeCell ref="AA1118:AF1118"/>
    <mergeCell ref="W1116:Z1116"/>
    <mergeCell ref="AA1116:AF1116"/>
    <mergeCell ref="AG1116:AK1116"/>
    <mergeCell ref="B1117:D1117"/>
    <mergeCell ref="E1117:H1117"/>
    <mergeCell ref="J1117:L1117"/>
    <mergeCell ref="M1117:O1117"/>
    <mergeCell ref="P1117:R1117"/>
    <mergeCell ref="S1117:V1117"/>
    <mergeCell ref="W1117:Z1117"/>
    <mergeCell ref="B1116:D1116"/>
    <mergeCell ref="E1116:H1116"/>
    <mergeCell ref="J1116:L1116"/>
    <mergeCell ref="M1116:O1116"/>
    <mergeCell ref="P1116:R1116"/>
    <mergeCell ref="S1116:V1116"/>
    <mergeCell ref="AG1114:AK1114"/>
    <mergeCell ref="B1115:D1115"/>
    <mergeCell ref="E1115:H1115"/>
    <mergeCell ref="J1115:L1115"/>
    <mergeCell ref="M1115:O1115"/>
    <mergeCell ref="P1115:R1115"/>
    <mergeCell ref="S1115:V1115"/>
    <mergeCell ref="W1115:Z1115"/>
    <mergeCell ref="AA1115:AF1115"/>
    <mergeCell ref="AG1115:AK1115"/>
    <mergeCell ref="AA1121:AF1121"/>
    <mergeCell ref="AG1121:AK1121"/>
    <mergeCell ref="B1122:D1122"/>
    <mergeCell ref="E1122:H1122"/>
    <mergeCell ref="J1122:L1122"/>
    <mergeCell ref="M1122:O1122"/>
    <mergeCell ref="P1122:R1122"/>
    <mergeCell ref="S1122:V1122"/>
    <mergeCell ref="W1122:Z1122"/>
    <mergeCell ref="AA1122:AF1122"/>
    <mergeCell ref="W1120:Z1120"/>
    <mergeCell ref="AA1120:AF1120"/>
    <mergeCell ref="AG1120:AK1120"/>
    <mergeCell ref="B1121:D1121"/>
    <mergeCell ref="E1121:H1121"/>
    <mergeCell ref="J1121:L1121"/>
    <mergeCell ref="M1121:O1121"/>
    <mergeCell ref="P1121:R1121"/>
    <mergeCell ref="S1121:V1121"/>
    <mergeCell ref="W1121:Z1121"/>
    <mergeCell ref="B1120:D1120"/>
    <mergeCell ref="E1120:H1120"/>
    <mergeCell ref="J1120:L1120"/>
    <mergeCell ref="M1120:O1120"/>
    <mergeCell ref="P1120:R1120"/>
    <mergeCell ref="S1120:V1120"/>
    <mergeCell ref="AG1118:AK1118"/>
    <mergeCell ref="B1119:D1119"/>
    <mergeCell ref="E1119:H1119"/>
    <mergeCell ref="J1119:L1119"/>
    <mergeCell ref="M1119:O1119"/>
    <mergeCell ref="P1119:R1119"/>
    <mergeCell ref="S1119:V1119"/>
    <mergeCell ref="W1119:Z1119"/>
    <mergeCell ref="AA1119:AF1119"/>
    <mergeCell ref="AG1119:AK1119"/>
    <mergeCell ref="AA1125:AF1125"/>
    <mergeCell ref="AG1125:AK1125"/>
    <mergeCell ref="B1126:D1126"/>
    <mergeCell ref="E1126:H1126"/>
    <mergeCell ref="J1126:L1126"/>
    <mergeCell ref="M1126:O1126"/>
    <mergeCell ref="P1126:R1126"/>
    <mergeCell ref="S1126:V1126"/>
    <mergeCell ref="W1126:Z1126"/>
    <mergeCell ref="AA1126:AF1126"/>
    <mergeCell ref="W1124:Z1124"/>
    <mergeCell ref="AA1124:AF1124"/>
    <mergeCell ref="AG1124:AK1124"/>
    <mergeCell ref="B1125:D1125"/>
    <mergeCell ref="E1125:H1125"/>
    <mergeCell ref="J1125:L1125"/>
    <mergeCell ref="M1125:O1125"/>
    <mergeCell ref="P1125:R1125"/>
    <mergeCell ref="S1125:V1125"/>
    <mergeCell ref="W1125:Z1125"/>
    <mergeCell ref="B1124:D1124"/>
    <mergeCell ref="E1124:H1124"/>
    <mergeCell ref="J1124:L1124"/>
    <mergeCell ref="M1124:O1124"/>
    <mergeCell ref="P1124:R1124"/>
    <mergeCell ref="S1124:V1124"/>
    <mergeCell ref="AG1122:AK1122"/>
    <mergeCell ref="B1123:D1123"/>
    <mergeCell ref="E1123:H1123"/>
    <mergeCell ref="J1123:L1123"/>
    <mergeCell ref="M1123:O1123"/>
    <mergeCell ref="P1123:R1123"/>
    <mergeCell ref="S1123:V1123"/>
    <mergeCell ref="W1123:Z1123"/>
    <mergeCell ref="AA1123:AF1123"/>
    <mergeCell ref="AG1123:AK1123"/>
    <mergeCell ref="AA1130:AF1130"/>
    <mergeCell ref="AG1130:AK1130"/>
    <mergeCell ref="B1131:D1131"/>
    <mergeCell ref="E1131:H1131"/>
    <mergeCell ref="J1131:L1131"/>
    <mergeCell ref="M1131:O1131"/>
    <mergeCell ref="P1131:R1131"/>
    <mergeCell ref="S1131:V1131"/>
    <mergeCell ref="W1131:Z1131"/>
    <mergeCell ref="AA1131:AF1131"/>
    <mergeCell ref="W1128:Z1128"/>
    <mergeCell ref="AA1128:AF1128"/>
    <mergeCell ref="AG1128:AK1128"/>
    <mergeCell ref="B1130:D1130"/>
    <mergeCell ref="E1130:H1130"/>
    <mergeCell ref="J1130:L1130"/>
    <mergeCell ref="M1130:O1130"/>
    <mergeCell ref="P1130:R1130"/>
    <mergeCell ref="S1130:V1130"/>
    <mergeCell ref="W1130:Z1130"/>
    <mergeCell ref="B1128:D1128"/>
    <mergeCell ref="E1128:H1128"/>
    <mergeCell ref="J1128:L1129"/>
    <mergeCell ref="M1128:O1128"/>
    <mergeCell ref="P1128:R1128"/>
    <mergeCell ref="S1128:V1128"/>
    <mergeCell ref="AG1126:AK1126"/>
    <mergeCell ref="B1127:D1127"/>
    <mergeCell ref="E1127:H1127"/>
    <mergeCell ref="J1127:L1127"/>
    <mergeCell ref="M1127:O1127"/>
    <mergeCell ref="P1127:R1127"/>
    <mergeCell ref="S1127:V1127"/>
    <mergeCell ref="W1127:Z1127"/>
    <mergeCell ref="AA1127:AF1127"/>
    <mergeCell ref="AG1127:AK1127"/>
    <mergeCell ref="AH1143:AK1143"/>
    <mergeCell ref="B1144:D1144"/>
    <mergeCell ref="E1144:H1144"/>
    <mergeCell ref="J1144:L1145"/>
    <mergeCell ref="M1144:O1144"/>
    <mergeCell ref="P1144:R1144"/>
    <mergeCell ref="S1144:V1144"/>
    <mergeCell ref="W1144:Z1144"/>
    <mergeCell ref="AA1144:AF1144"/>
    <mergeCell ref="AG1144:AK1144"/>
    <mergeCell ref="O1142:Q1142"/>
    <mergeCell ref="V1142:Y1142"/>
    <mergeCell ref="AD1142:AJ1142"/>
    <mergeCell ref="B1143:D1143"/>
    <mergeCell ref="E1143:G1143"/>
    <mergeCell ref="J1143:N1143"/>
    <mergeCell ref="Q1143:R1143"/>
    <mergeCell ref="U1143:V1143"/>
    <mergeCell ref="X1143:Z1143"/>
    <mergeCell ref="AC1143:AF1143"/>
    <mergeCell ref="C1138:J1139"/>
    <mergeCell ref="K1138:X1138"/>
    <mergeCell ref="Y1138:AG1139"/>
    <mergeCell ref="AH1138:AL1139"/>
    <mergeCell ref="K1139:X1139"/>
    <mergeCell ref="C1140:F1140"/>
    <mergeCell ref="G1140:AE1141"/>
    <mergeCell ref="AF1140:AG1141"/>
    <mergeCell ref="AH1140:AI1141"/>
    <mergeCell ref="AG1131:AK1131"/>
    <mergeCell ref="AG1133:AL1133"/>
    <mergeCell ref="D1134:AH1134"/>
    <mergeCell ref="A1135:I1137"/>
    <mergeCell ref="J1135:AH1135"/>
    <mergeCell ref="J1136:AF1136"/>
    <mergeCell ref="J1137:AE1137"/>
    <mergeCell ref="AG1148:AK1148"/>
    <mergeCell ref="B1150:D1150"/>
    <mergeCell ref="E1150:H1150"/>
    <mergeCell ref="J1150:L1151"/>
    <mergeCell ref="M1150:O1150"/>
    <mergeCell ref="P1150:R1150"/>
    <mergeCell ref="S1150:V1150"/>
    <mergeCell ref="W1150:Z1150"/>
    <mergeCell ref="AA1150:AF1150"/>
    <mergeCell ref="AG1150:AK1150"/>
    <mergeCell ref="AA1147:AF1147"/>
    <mergeCell ref="AG1147:AK1147"/>
    <mergeCell ref="B1148:D1148"/>
    <mergeCell ref="E1148:H1148"/>
    <mergeCell ref="J1148:L1149"/>
    <mergeCell ref="M1148:O1148"/>
    <mergeCell ref="P1148:R1148"/>
    <mergeCell ref="S1148:V1148"/>
    <mergeCell ref="W1148:Z1148"/>
    <mergeCell ref="AA1148:AF1148"/>
    <mergeCell ref="W1146:Z1146"/>
    <mergeCell ref="AA1146:AF1146"/>
    <mergeCell ref="AG1146:AK1146"/>
    <mergeCell ref="B1147:D1147"/>
    <mergeCell ref="E1147:H1147"/>
    <mergeCell ref="J1147:L1147"/>
    <mergeCell ref="M1147:O1147"/>
    <mergeCell ref="P1147:R1147"/>
    <mergeCell ref="S1147:V1147"/>
    <mergeCell ref="W1147:Z1147"/>
    <mergeCell ref="B1146:D1146"/>
    <mergeCell ref="E1146:H1146"/>
    <mergeCell ref="J1146:L1146"/>
    <mergeCell ref="M1146:O1146"/>
    <mergeCell ref="P1146:R1146"/>
    <mergeCell ref="S1146:V1146"/>
    <mergeCell ref="AG1154:AK1154"/>
    <mergeCell ref="B1156:D1156"/>
    <mergeCell ref="E1156:H1156"/>
    <mergeCell ref="J1156:L1156"/>
    <mergeCell ref="M1156:O1156"/>
    <mergeCell ref="P1156:R1156"/>
    <mergeCell ref="S1156:V1156"/>
    <mergeCell ref="W1156:Z1156"/>
    <mergeCell ref="AA1156:AF1156"/>
    <mergeCell ref="AG1156:AK1156"/>
    <mergeCell ref="AA1153:AF1153"/>
    <mergeCell ref="AG1153:AK1153"/>
    <mergeCell ref="B1154:D1154"/>
    <mergeCell ref="E1154:H1154"/>
    <mergeCell ref="J1154:L1155"/>
    <mergeCell ref="M1154:O1154"/>
    <mergeCell ref="P1154:R1154"/>
    <mergeCell ref="S1154:V1154"/>
    <mergeCell ref="W1154:Z1154"/>
    <mergeCell ref="AA1154:AF1154"/>
    <mergeCell ref="W1152:Z1152"/>
    <mergeCell ref="AA1152:AF1152"/>
    <mergeCell ref="AG1152:AK1152"/>
    <mergeCell ref="B1153:D1153"/>
    <mergeCell ref="E1153:H1153"/>
    <mergeCell ref="J1153:L1153"/>
    <mergeCell ref="M1153:O1153"/>
    <mergeCell ref="P1153:R1153"/>
    <mergeCell ref="S1153:V1153"/>
    <mergeCell ref="W1153:Z1153"/>
    <mergeCell ref="B1152:D1152"/>
    <mergeCell ref="E1152:H1152"/>
    <mergeCell ref="J1152:L1152"/>
    <mergeCell ref="M1152:O1152"/>
    <mergeCell ref="P1152:R1152"/>
    <mergeCell ref="S1152:V1152"/>
    <mergeCell ref="AG1160:AK1160"/>
    <mergeCell ref="B1161:D1161"/>
    <mergeCell ref="E1161:H1161"/>
    <mergeCell ref="J1161:L1161"/>
    <mergeCell ref="M1161:O1161"/>
    <mergeCell ref="P1161:R1161"/>
    <mergeCell ref="S1161:V1161"/>
    <mergeCell ref="W1161:Z1161"/>
    <mergeCell ref="AA1161:AF1161"/>
    <mergeCell ref="AG1161:AK1161"/>
    <mergeCell ref="AA1158:AF1158"/>
    <mergeCell ref="AG1158:AK1158"/>
    <mergeCell ref="B1160:D1160"/>
    <mergeCell ref="E1160:H1160"/>
    <mergeCell ref="J1160:L1160"/>
    <mergeCell ref="M1160:O1160"/>
    <mergeCell ref="P1160:R1160"/>
    <mergeCell ref="S1160:V1160"/>
    <mergeCell ref="W1160:Z1160"/>
    <mergeCell ref="AA1160:AF1160"/>
    <mergeCell ref="W1157:Z1157"/>
    <mergeCell ref="AA1157:AF1157"/>
    <mergeCell ref="AG1157:AK1157"/>
    <mergeCell ref="B1158:D1158"/>
    <mergeCell ref="E1158:H1158"/>
    <mergeCell ref="J1158:L1159"/>
    <mergeCell ref="M1158:O1158"/>
    <mergeCell ref="P1158:R1158"/>
    <mergeCell ref="S1158:V1158"/>
    <mergeCell ref="W1158:Z1158"/>
    <mergeCell ref="B1157:D1157"/>
    <mergeCell ref="E1157:H1157"/>
    <mergeCell ref="J1157:L1157"/>
    <mergeCell ref="M1157:O1157"/>
    <mergeCell ref="P1157:R1157"/>
    <mergeCell ref="S1157:V1157"/>
    <mergeCell ref="AG1164:AK1164"/>
    <mergeCell ref="B1165:D1165"/>
    <mergeCell ref="E1165:H1165"/>
    <mergeCell ref="J1165:L1165"/>
    <mergeCell ref="M1165:O1165"/>
    <mergeCell ref="P1165:R1165"/>
    <mergeCell ref="S1165:V1165"/>
    <mergeCell ref="W1165:Z1165"/>
    <mergeCell ref="AA1165:AF1165"/>
    <mergeCell ref="AG1165:AK1165"/>
    <mergeCell ref="AA1163:AF1163"/>
    <mergeCell ref="AG1163:AK1163"/>
    <mergeCell ref="B1164:D1164"/>
    <mergeCell ref="E1164:H1164"/>
    <mergeCell ref="J1164:L1164"/>
    <mergeCell ref="M1164:O1164"/>
    <mergeCell ref="P1164:R1164"/>
    <mergeCell ref="S1164:V1164"/>
    <mergeCell ref="W1164:Z1164"/>
    <mergeCell ref="AA1164:AF1164"/>
    <mergeCell ref="W1162:Z1162"/>
    <mergeCell ref="AA1162:AF1162"/>
    <mergeCell ref="AG1162:AK1162"/>
    <mergeCell ref="B1163:D1163"/>
    <mergeCell ref="E1163:H1163"/>
    <mergeCell ref="J1163:L1163"/>
    <mergeCell ref="M1163:O1163"/>
    <mergeCell ref="P1163:R1163"/>
    <mergeCell ref="S1163:V1163"/>
    <mergeCell ref="W1163:Z1163"/>
    <mergeCell ref="B1162:D1162"/>
    <mergeCell ref="E1162:H1162"/>
    <mergeCell ref="J1162:L1162"/>
    <mergeCell ref="M1162:O1162"/>
    <mergeCell ref="P1162:R1162"/>
    <mergeCell ref="S1162:V1162"/>
    <mergeCell ref="AG1168:AK1168"/>
    <mergeCell ref="B1169:D1169"/>
    <mergeCell ref="E1169:H1169"/>
    <mergeCell ref="J1169:L1169"/>
    <mergeCell ref="M1169:O1169"/>
    <mergeCell ref="P1169:R1169"/>
    <mergeCell ref="S1169:V1169"/>
    <mergeCell ref="W1169:Z1169"/>
    <mergeCell ref="AA1169:AF1169"/>
    <mergeCell ref="AG1169:AK1169"/>
    <mergeCell ref="AA1167:AF1167"/>
    <mergeCell ref="AG1167:AK1167"/>
    <mergeCell ref="B1168:D1168"/>
    <mergeCell ref="E1168:H1168"/>
    <mergeCell ref="J1168:L1168"/>
    <mergeCell ref="M1168:O1168"/>
    <mergeCell ref="P1168:R1168"/>
    <mergeCell ref="S1168:V1168"/>
    <mergeCell ref="W1168:Z1168"/>
    <mergeCell ref="AA1168:AF1168"/>
    <mergeCell ref="W1166:Z1166"/>
    <mergeCell ref="AA1166:AF1166"/>
    <mergeCell ref="AG1166:AK1166"/>
    <mergeCell ref="B1167:D1167"/>
    <mergeCell ref="E1167:H1167"/>
    <mergeCell ref="J1167:L1167"/>
    <mergeCell ref="M1167:O1167"/>
    <mergeCell ref="P1167:R1167"/>
    <mergeCell ref="S1167:V1167"/>
    <mergeCell ref="W1167:Z1167"/>
    <mergeCell ref="B1166:D1166"/>
    <mergeCell ref="E1166:H1166"/>
    <mergeCell ref="J1166:L1166"/>
    <mergeCell ref="M1166:O1166"/>
    <mergeCell ref="P1166:R1166"/>
    <mergeCell ref="S1166:V1166"/>
    <mergeCell ref="AG1172:AK1172"/>
    <mergeCell ref="B1173:D1173"/>
    <mergeCell ref="E1173:H1173"/>
    <mergeCell ref="J1173:L1173"/>
    <mergeCell ref="M1173:O1173"/>
    <mergeCell ref="P1173:R1173"/>
    <mergeCell ref="S1173:V1173"/>
    <mergeCell ref="W1173:Z1173"/>
    <mergeCell ref="AA1173:AF1173"/>
    <mergeCell ref="AG1173:AK1173"/>
    <mergeCell ref="AA1171:AF1171"/>
    <mergeCell ref="AG1171:AK1171"/>
    <mergeCell ref="B1172:D1172"/>
    <mergeCell ref="E1172:H1172"/>
    <mergeCell ref="J1172:L1172"/>
    <mergeCell ref="M1172:O1172"/>
    <mergeCell ref="P1172:R1172"/>
    <mergeCell ref="S1172:V1172"/>
    <mergeCell ref="W1172:Z1172"/>
    <mergeCell ref="AA1172:AF1172"/>
    <mergeCell ref="W1170:Z1170"/>
    <mergeCell ref="AA1170:AF1170"/>
    <mergeCell ref="AG1170:AK1170"/>
    <mergeCell ref="B1171:D1171"/>
    <mergeCell ref="E1171:H1171"/>
    <mergeCell ref="J1171:L1171"/>
    <mergeCell ref="M1171:O1171"/>
    <mergeCell ref="P1171:R1171"/>
    <mergeCell ref="S1171:V1171"/>
    <mergeCell ref="W1171:Z1171"/>
    <mergeCell ref="B1170:D1170"/>
    <mergeCell ref="E1170:H1170"/>
    <mergeCell ref="J1170:L1170"/>
    <mergeCell ref="M1170:O1170"/>
    <mergeCell ref="P1170:R1170"/>
    <mergeCell ref="S1170:V1170"/>
    <mergeCell ref="AG1176:AK1176"/>
    <mergeCell ref="B1177:D1177"/>
    <mergeCell ref="E1177:H1177"/>
    <mergeCell ref="J1177:L1177"/>
    <mergeCell ref="M1177:O1177"/>
    <mergeCell ref="P1177:R1177"/>
    <mergeCell ref="S1177:V1177"/>
    <mergeCell ref="W1177:Z1177"/>
    <mergeCell ref="AA1177:AF1177"/>
    <mergeCell ref="AG1177:AK1177"/>
    <mergeCell ref="AA1175:AF1175"/>
    <mergeCell ref="AG1175:AK1175"/>
    <mergeCell ref="B1176:D1176"/>
    <mergeCell ref="E1176:H1176"/>
    <mergeCell ref="J1176:L1176"/>
    <mergeCell ref="M1176:O1176"/>
    <mergeCell ref="P1176:R1176"/>
    <mergeCell ref="S1176:V1176"/>
    <mergeCell ref="W1176:Z1176"/>
    <mergeCell ref="AA1176:AF1176"/>
    <mergeCell ref="W1174:Z1174"/>
    <mergeCell ref="AA1174:AF1174"/>
    <mergeCell ref="AG1174:AK1174"/>
    <mergeCell ref="B1175:D1175"/>
    <mergeCell ref="E1175:H1175"/>
    <mergeCell ref="J1175:L1175"/>
    <mergeCell ref="M1175:O1175"/>
    <mergeCell ref="P1175:R1175"/>
    <mergeCell ref="S1175:V1175"/>
    <mergeCell ref="W1175:Z1175"/>
    <mergeCell ref="B1174:D1174"/>
    <mergeCell ref="E1174:H1174"/>
    <mergeCell ref="J1174:L1174"/>
    <mergeCell ref="M1174:O1174"/>
    <mergeCell ref="P1174:R1174"/>
    <mergeCell ref="S1174:V1174"/>
    <mergeCell ref="AG1180:AK1180"/>
    <mergeCell ref="B1181:D1181"/>
    <mergeCell ref="E1181:H1181"/>
    <mergeCell ref="J1181:L1181"/>
    <mergeCell ref="M1181:O1181"/>
    <mergeCell ref="P1181:R1181"/>
    <mergeCell ref="S1181:V1181"/>
    <mergeCell ref="W1181:Z1181"/>
    <mergeCell ref="AA1181:AF1181"/>
    <mergeCell ref="AG1181:AK1181"/>
    <mergeCell ref="AA1179:AF1179"/>
    <mergeCell ref="AG1179:AK1179"/>
    <mergeCell ref="B1180:D1180"/>
    <mergeCell ref="E1180:H1180"/>
    <mergeCell ref="J1180:L1180"/>
    <mergeCell ref="M1180:O1180"/>
    <mergeCell ref="P1180:R1180"/>
    <mergeCell ref="S1180:V1180"/>
    <mergeCell ref="W1180:Z1180"/>
    <mergeCell ref="AA1180:AF1180"/>
    <mergeCell ref="W1178:Z1178"/>
    <mergeCell ref="AA1178:AF1178"/>
    <mergeCell ref="AG1178:AK1178"/>
    <mergeCell ref="B1179:D1179"/>
    <mergeCell ref="E1179:H1179"/>
    <mergeCell ref="J1179:L1179"/>
    <mergeCell ref="M1179:O1179"/>
    <mergeCell ref="P1179:R1179"/>
    <mergeCell ref="S1179:V1179"/>
    <mergeCell ref="W1179:Z1179"/>
    <mergeCell ref="B1178:D1178"/>
    <mergeCell ref="E1178:H1178"/>
    <mergeCell ref="J1178:L1178"/>
    <mergeCell ref="M1178:O1178"/>
    <mergeCell ref="P1178:R1178"/>
    <mergeCell ref="S1178:V1178"/>
    <mergeCell ref="AG1184:AK1184"/>
    <mergeCell ref="B1185:D1185"/>
    <mergeCell ref="E1185:H1185"/>
    <mergeCell ref="J1185:L1185"/>
    <mergeCell ref="M1185:O1185"/>
    <mergeCell ref="P1185:R1185"/>
    <mergeCell ref="S1185:V1185"/>
    <mergeCell ref="W1185:Z1185"/>
    <mergeCell ref="AA1185:AF1185"/>
    <mergeCell ref="AG1185:AK1185"/>
    <mergeCell ref="AA1183:AF1183"/>
    <mergeCell ref="AG1183:AK1183"/>
    <mergeCell ref="B1184:D1184"/>
    <mergeCell ref="E1184:H1184"/>
    <mergeCell ref="J1184:L1184"/>
    <mergeCell ref="M1184:O1184"/>
    <mergeCell ref="P1184:R1184"/>
    <mergeCell ref="S1184:V1184"/>
    <mergeCell ref="W1184:Z1184"/>
    <mergeCell ref="AA1184:AF1184"/>
    <mergeCell ref="W1182:Z1182"/>
    <mergeCell ref="AA1182:AF1182"/>
    <mergeCell ref="AG1182:AK1182"/>
    <mergeCell ref="B1183:D1183"/>
    <mergeCell ref="E1183:H1183"/>
    <mergeCell ref="J1183:L1183"/>
    <mergeCell ref="M1183:O1183"/>
    <mergeCell ref="P1183:R1183"/>
    <mergeCell ref="S1183:V1183"/>
    <mergeCell ref="W1183:Z1183"/>
    <mergeCell ref="B1182:D1182"/>
    <mergeCell ref="E1182:H1182"/>
    <mergeCell ref="J1182:L1182"/>
    <mergeCell ref="M1182:O1182"/>
    <mergeCell ref="P1182:R1182"/>
    <mergeCell ref="S1182:V1182"/>
    <mergeCell ref="AG1188:AK1188"/>
    <mergeCell ref="B1189:D1189"/>
    <mergeCell ref="E1189:H1189"/>
    <mergeCell ref="J1189:L1189"/>
    <mergeCell ref="M1189:O1189"/>
    <mergeCell ref="P1189:R1189"/>
    <mergeCell ref="S1189:V1189"/>
    <mergeCell ref="W1189:Z1189"/>
    <mergeCell ref="AA1189:AF1189"/>
    <mergeCell ref="AG1189:AK1189"/>
    <mergeCell ref="AA1187:AF1187"/>
    <mergeCell ref="AG1187:AK1187"/>
    <mergeCell ref="B1188:D1188"/>
    <mergeCell ref="E1188:H1188"/>
    <mergeCell ref="J1188:L1188"/>
    <mergeCell ref="M1188:O1188"/>
    <mergeCell ref="P1188:R1188"/>
    <mergeCell ref="S1188:V1188"/>
    <mergeCell ref="W1188:Z1188"/>
    <mergeCell ref="AA1188:AF1188"/>
    <mergeCell ref="W1186:Z1186"/>
    <mergeCell ref="AA1186:AF1186"/>
    <mergeCell ref="AG1186:AK1186"/>
    <mergeCell ref="B1187:D1187"/>
    <mergeCell ref="E1187:H1187"/>
    <mergeCell ref="J1187:L1187"/>
    <mergeCell ref="M1187:O1187"/>
    <mergeCell ref="P1187:R1187"/>
    <mergeCell ref="S1187:V1187"/>
    <mergeCell ref="W1187:Z1187"/>
    <mergeCell ref="B1186:D1186"/>
    <mergeCell ref="E1186:H1186"/>
    <mergeCell ref="J1186:L1186"/>
    <mergeCell ref="M1186:O1186"/>
    <mergeCell ref="P1186:R1186"/>
    <mergeCell ref="S1186:V1186"/>
    <mergeCell ref="C1198:J1199"/>
    <mergeCell ref="K1198:X1198"/>
    <mergeCell ref="Y1198:AG1199"/>
    <mergeCell ref="AH1198:AL1199"/>
    <mergeCell ref="K1199:X1199"/>
    <mergeCell ref="C1200:F1200"/>
    <mergeCell ref="G1200:AE1201"/>
    <mergeCell ref="AF1200:AG1201"/>
    <mergeCell ref="AH1200:AI1201"/>
    <mergeCell ref="AA1191:AF1191"/>
    <mergeCell ref="AG1191:AK1191"/>
    <mergeCell ref="AG1193:AL1193"/>
    <mergeCell ref="D1194:AH1194"/>
    <mergeCell ref="A1195:I1197"/>
    <mergeCell ref="J1195:AH1195"/>
    <mergeCell ref="J1196:AF1196"/>
    <mergeCell ref="J1197:AE1197"/>
    <mergeCell ref="W1190:Z1190"/>
    <mergeCell ref="AA1190:AF1190"/>
    <mergeCell ref="AG1190:AK1190"/>
    <mergeCell ref="B1191:D1191"/>
    <mergeCell ref="E1191:H1191"/>
    <mergeCell ref="J1191:L1191"/>
    <mergeCell ref="M1191:O1191"/>
    <mergeCell ref="P1191:R1191"/>
    <mergeCell ref="S1191:V1191"/>
    <mergeCell ref="W1191:Z1191"/>
    <mergeCell ref="B1190:D1190"/>
    <mergeCell ref="E1190:H1190"/>
    <mergeCell ref="J1190:L1190"/>
    <mergeCell ref="M1190:O1190"/>
    <mergeCell ref="P1190:R1190"/>
    <mergeCell ref="S1190:V1190"/>
    <mergeCell ref="W1205:Z1205"/>
    <mergeCell ref="AA1205:AF1205"/>
    <mergeCell ref="AG1205:AK1205"/>
    <mergeCell ref="B1206:D1206"/>
    <mergeCell ref="E1206:H1206"/>
    <mergeCell ref="J1206:L1206"/>
    <mergeCell ref="M1206:O1206"/>
    <mergeCell ref="P1206:R1206"/>
    <mergeCell ref="S1206:V1206"/>
    <mergeCell ref="W1206:Z1206"/>
    <mergeCell ref="B1205:D1205"/>
    <mergeCell ref="E1205:H1205"/>
    <mergeCell ref="J1205:L1205"/>
    <mergeCell ref="M1205:O1205"/>
    <mergeCell ref="P1205:R1205"/>
    <mergeCell ref="S1205:V1205"/>
    <mergeCell ref="AH1203:AK1203"/>
    <mergeCell ref="B1204:D1204"/>
    <mergeCell ref="E1204:H1204"/>
    <mergeCell ref="J1204:L1204"/>
    <mergeCell ref="M1204:O1204"/>
    <mergeCell ref="P1204:R1204"/>
    <mergeCell ref="S1204:V1204"/>
    <mergeCell ref="W1204:Z1204"/>
    <mergeCell ref="AA1204:AF1204"/>
    <mergeCell ref="AG1204:AK1204"/>
    <mergeCell ref="O1202:Q1202"/>
    <mergeCell ref="V1202:Y1202"/>
    <mergeCell ref="AD1202:AJ1202"/>
    <mergeCell ref="B1203:D1203"/>
    <mergeCell ref="E1203:G1203"/>
    <mergeCell ref="J1203:N1203"/>
    <mergeCell ref="Q1203:R1203"/>
    <mergeCell ref="U1203:V1203"/>
    <mergeCell ref="X1203:Z1203"/>
    <mergeCell ref="AC1203:AF1203"/>
    <mergeCell ref="W1209:Z1209"/>
    <mergeCell ref="AA1209:AF1209"/>
    <mergeCell ref="AG1209:AK1209"/>
    <mergeCell ref="B1210:D1210"/>
    <mergeCell ref="E1210:H1210"/>
    <mergeCell ref="J1210:L1210"/>
    <mergeCell ref="M1210:O1210"/>
    <mergeCell ref="P1210:R1210"/>
    <mergeCell ref="S1210:V1210"/>
    <mergeCell ref="W1210:Z1210"/>
    <mergeCell ref="B1209:D1209"/>
    <mergeCell ref="E1209:H1209"/>
    <mergeCell ref="J1209:L1209"/>
    <mergeCell ref="M1209:O1209"/>
    <mergeCell ref="P1209:R1209"/>
    <mergeCell ref="S1209:V1209"/>
    <mergeCell ref="AG1207:AK1207"/>
    <mergeCell ref="B1208:D1208"/>
    <mergeCell ref="E1208:H1208"/>
    <mergeCell ref="J1208:L1208"/>
    <mergeCell ref="M1208:O1208"/>
    <mergeCell ref="P1208:R1208"/>
    <mergeCell ref="S1208:V1208"/>
    <mergeCell ref="W1208:Z1208"/>
    <mergeCell ref="AA1208:AF1208"/>
    <mergeCell ref="AG1208:AK1208"/>
    <mergeCell ref="AA1206:AF1206"/>
    <mergeCell ref="AG1206:AK1206"/>
    <mergeCell ref="B1207:D1207"/>
    <mergeCell ref="E1207:H1207"/>
    <mergeCell ref="J1207:L1207"/>
    <mergeCell ref="M1207:O1207"/>
    <mergeCell ref="P1207:R1207"/>
    <mergeCell ref="S1207:V1207"/>
    <mergeCell ref="W1207:Z1207"/>
    <mergeCell ref="AA1207:AF1207"/>
    <mergeCell ref="W1213:Z1213"/>
    <mergeCell ref="AA1213:AF1213"/>
    <mergeCell ref="AG1213:AK1213"/>
    <mergeCell ref="B1214:D1214"/>
    <mergeCell ref="E1214:H1214"/>
    <mergeCell ref="J1214:L1214"/>
    <mergeCell ref="M1214:O1214"/>
    <mergeCell ref="P1214:R1214"/>
    <mergeCell ref="S1214:V1214"/>
    <mergeCell ref="W1214:Z1214"/>
    <mergeCell ref="B1213:D1213"/>
    <mergeCell ref="E1213:H1213"/>
    <mergeCell ref="J1213:L1213"/>
    <mergeCell ref="M1213:O1213"/>
    <mergeCell ref="P1213:R1213"/>
    <mergeCell ref="S1213:V1213"/>
    <mergeCell ref="AG1211:AK1211"/>
    <mergeCell ref="B1212:D1212"/>
    <mergeCell ref="E1212:H1212"/>
    <mergeCell ref="J1212:L1212"/>
    <mergeCell ref="M1212:O1212"/>
    <mergeCell ref="P1212:R1212"/>
    <mergeCell ref="S1212:V1212"/>
    <mergeCell ref="W1212:Z1212"/>
    <mergeCell ref="AA1212:AF1212"/>
    <mergeCell ref="AG1212:AK1212"/>
    <mergeCell ref="AA1210:AF1210"/>
    <mergeCell ref="AG1210:AK1210"/>
    <mergeCell ref="B1211:D1211"/>
    <mergeCell ref="E1211:H1211"/>
    <mergeCell ref="J1211:L1211"/>
    <mergeCell ref="M1211:O1211"/>
    <mergeCell ref="P1211:R1211"/>
    <mergeCell ref="S1211:V1211"/>
    <mergeCell ref="W1211:Z1211"/>
    <mergeCell ref="AA1211:AF1211"/>
    <mergeCell ref="W1218:Z1218"/>
    <mergeCell ref="AA1218:AF1218"/>
    <mergeCell ref="AG1218:AK1218"/>
    <mergeCell ref="B1219:D1219"/>
    <mergeCell ref="E1219:H1219"/>
    <mergeCell ref="J1219:L1220"/>
    <mergeCell ref="M1219:O1219"/>
    <mergeCell ref="P1219:R1219"/>
    <mergeCell ref="S1219:V1219"/>
    <mergeCell ref="W1219:Z1219"/>
    <mergeCell ref="B1218:D1218"/>
    <mergeCell ref="E1218:H1218"/>
    <mergeCell ref="J1218:L1218"/>
    <mergeCell ref="M1218:O1218"/>
    <mergeCell ref="P1218:R1218"/>
    <mergeCell ref="S1218:V1218"/>
    <mergeCell ref="AG1215:AK1215"/>
    <mergeCell ref="B1217:D1217"/>
    <mergeCell ref="E1217:H1217"/>
    <mergeCell ref="J1217:L1217"/>
    <mergeCell ref="M1217:O1217"/>
    <mergeCell ref="P1217:R1217"/>
    <mergeCell ref="S1217:V1217"/>
    <mergeCell ref="W1217:Z1217"/>
    <mergeCell ref="AA1217:AF1217"/>
    <mergeCell ref="AG1217:AK1217"/>
    <mergeCell ref="AA1214:AF1214"/>
    <mergeCell ref="AG1214:AK1214"/>
    <mergeCell ref="B1215:D1215"/>
    <mergeCell ref="E1215:H1215"/>
    <mergeCell ref="J1215:L1216"/>
    <mergeCell ref="M1215:O1215"/>
    <mergeCell ref="P1215:R1215"/>
    <mergeCell ref="S1215:V1215"/>
    <mergeCell ref="W1215:Z1215"/>
    <mergeCell ref="AA1215:AF1215"/>
    <mergeCell ref="W1223:Z1223"/>
    <mergeCell ref="AA1223:AF1223"/>
    <mergeCell ref="AG1223:AK1223"/>
    <mergeCell ref="B1224:D1224"/>
    <mergeCell ref="E1224:H1224"/>
    <mergeCell ref="J1224:L1224"/>
    <mergeCell ref="M1224:O1224"/>
    <mergeCell ref="P1224:R1224"/>
    <mergeCell ref="S1224:V1224"/>
    <mergeCell ref="W1224:Z1224"/>
    <mergeCell ref="B1223:D1223"/>
    <mergeCell ref="E1223:H1223"/>
    <mergeCell ref="J1223:L1223"/>
    <mergeCell ref="M1223:O1223"/>
    <mergeCell ref="P1223:R1223"/>
    <mergeCell ref="S1223:V1223"/>
    <mergeCell ref="AG1221:AK1221"/>
    <mergeCell ref="B1222:D1222"/>
    <mergeCell ref="E1222:H1222"/>
    <mergeCell ref="J1222:L1222"/>
    <mergeCell ref="M1222:O1222"/>
    <mergeCell ref="P1222:R1222"/>
    <mergeCell ref="S1222:V1222"/>
    <mergeCell ref="W1222:Z1222"/>
    <mergeCell ref="AA1222:AF1222"/>
    <mergeCell ref="AG1222:AK1222"/>
    <mergeCell ref="AA1219:AF1219"/>
    <mergeCell ref="AG1219:AK1219"/>
    <mergeCell ref="B1221:D1221"/>
    <mergeCell ref="E1221:H1221"/>
    <mergeCell ref="J1221:L1221"/>
    <mergeCell ref="M1221:O1221"/>
    <mergeCell ref="P1221:R1221"/>
    <mergeCell ref="S1221:V1221"/>
    <mergeCell ref="W1221:Z1221"/>
    <mergeCell ref="AA1221:AF1221"/>
    <mergeCell ref="W1227:Z1227"/>
    <mergeCell ref="AA1227:AF1227"/>
    <mergeCell ref="AG1227:AK1227"/>
    <mergeCell ref="B1228:D1228"/>
    <mergeCell ref="E1228:H1228"/>
    <mergeCell ref="J1228:L1228"/>
    <mergeCell ref="M1228:O1228"/>
    <mergeCell ref="P1228:R1228"/>
    <mergeCell ref="S1228:V1228"/>
    <mergeCell ref="W1228:Z1228"/>
    <mergeCell ref="B1227:D1227"/>
    <mergeCell ref="E1227:H1227"/>
    <mergeCell ref="J1227:L1227"/>
    <mergeCell ref="M1227:O1227"/>
    <mergeCell ref="P1227:R1227"/>
    <mergeCell ref="S1227:V1227"/>
    <mergeCell ref="AG1225:AK1225"/>
    <mergeCell ref="B1226:D1226"/>
    <mergeCell ref="E1226:H1226"/>
    <mergeCell ref="J1226:L1226"/>
    <mergeCell ref="M1226:O1226"/>
    <mergeCell ref="P1226:R1226"/>
    <mergeCell ref="S1226:V1226"/>
    <mergeCell ref="W1226:Z1226"/>
    <mergeCell ref="AA1226:AF1226"/>
    <mergeCell ref="AG1226:AK1226"/>
    <mergeCell ref="AA1224:AF1224"/>
    <mergeCell ref="AG1224:AK1224"/>
    <mergeCell ref="B1225:D1225"/>
    <mergeCell ref="E1225:H1225"/>
    <mergeCell ref="J1225:L1225"/>
    <mergeCell ref="M1225:O1225"/>
    <mergeCell ref="P1225:R1225"/>
    <mergeCell ref="S1225:V1225"/>
    <mergeCell ref="W1225:Z1225"/>
    <mergeCell ref="AA1225:AF1225"/>
    <mergeCell ref="W1231:Z1231"/>
    <mergeCell ref="AA1231:AF1231"/>
    <mergeCell ref="AG1231:AK1231"/>
    <mergeCell ref="B1232:D1232"/>
    <mergeCell ref="E1232:H1232"/>
    <mergeCell ref="J1232:L1232"/>
    <mergeCell ref="M1232:O1232"/>
    <mergeCell ref="P1232:R1232"/>
    <mergeCell ref="S1232:V1232"/>
    <mergeCell ref="W1232:Z1232"/>
    <mergeCell ref="B1231:D1231"/>
    <mergeCell ref="E1231:H1231"/>
    <mergeCell ref="J1231:L1231"/>
    <mergeCell ref="M1231:O1231"/>
    <mergeCell ref="P1231:R1231"/>
    <mergeCell ref="S1231:V1231"/>
    <mergeCell ref="AG1229:AK1229"/>
    <mergeCell ref="B1230:D1230"/>
    <mergeCell ref="E1230:H1230"/>
    <mergeCell ref="J1230:L1230"/>
    <mergeCell ref="M1230:O1230"/>
    <mergeCell ref="P1230:R1230"/>
    <mergeCell ref="S1230:V1230"/>
    <mergeCell ref="W1230:Z1230"/>
    <mergeCell ref="AA1230:AF1230"/>
    <mergeCell ref="AG1230:AK1230"/>
    <mergeCell ref="AA1228:AF1228"/>
    <mergeCell ref="AG1228:AK1228"/>
    <mergeCell ref="B1229:D1229"/>
    <mergeCell ref="E1229:H1229"/>
    <mergeCell ref="J1229:L1229"/>
    <mergeCell ref="M1229:O1229"/>
    <mergeCell ref="P1229:R1229"/>
    <mergeCell ref="S1229:V1229"/>
    <mergeCell ref="W1229:Z1229"/>
    <mergeCell ref="AA1229:AF1229"/>
    <mergeCell ref="W1235:Z1235"/>
    <mergeCell ref="AA1235:AF1235"/>
    <mergeCell ref="AG1235:AK1235"/>
    <mergeCell ref="B1237:D1237"/>
    <mergeCell ref="E1237:H1237"/>
    <mergeCell ref="J1237:L1237"/>
    <mergeCell ref="M1237:O1237"/>
    <mergeCell ref="P1237:R1237"/>
    <mergeCell ref="S1237:V1237"/>
    <mergeCell ref="W1237:Z1237"/>
    <mergeCell ref="B1235:D1235"/>
    <mergeCell ref="E1235:H1235"/>
    <mergeCell ref="J1235:L1236"/>
    <mergeCell ref="M1235:O1235"/>
    <mergeCell ref="P1235:R1235"/>
    <mergeCell ref="S1235:V1235"/>
    <mergeCell ref="AG1233:AK1233"/>
    <mergeCell ref="B1234:D1234"/>
    <mergeCell ref="E1234:H1234"/>
    <mergeCell ref="J1234:L1234"/>
    <mergeCell ref="M1234:O1234"/>
    <mergeCell ref="P1234:R1234"/>
    <mergeCell ref="S1234:V1234"/>
    <mergeCell ref="W1234:Z1234"/>
    <mergeCell ref="AA1234:AF1234"/>
    <mergeCell ref="AG1234:AK1234"/>
    <mergeCell ref="AA1232:AF1232"/>
    <mergeCell ref="AG1232:AK1232"/>
    <mergeCell ref="B1233:D1233"/>
    <mergeCell ref="E1233:H1233"/>
    <mergeCell ref="J1233:L1233"/>
    <mergeCell ref="M1233:O1233"/>
    <mergeCell ref="P1233:R1233"/>
    <mergeCell ref="S1233:V1233"/>
    <mergeCell ref="W1233:Z1233"/>
    <mergeCell ref="AA1233:AF1233"/>
    <mergeCell ref="W1240:Z1240"/>
    <mergeCell ref="AA1240:AF1240"/>
    <mergeCell ref="AG1240:AK1240"/>
    <mergeCell ref="B1241:D1241"/>
    <mergeCell ref="E1241:H1241"/>
    <mergeCell ref="J1241:L1241"/>
    <mergeCell ref="M1241:O1241"/>
    <mergeCell ref="P1241:R1241"/>
    <mergeCell ref="S1241:V1241"/>
    <mergeCell ref="W1241:Z1241"/>
    <mergeCell ref="B1240:D1240"/>
    <mergeCell ref="E1240:H1240"/>
    <mergeCell ref="J1240:L1240"/>
    <mergeCell ref="M1240:O1240"/>
    <mergeCell ref="P1240:R1240"/>
    <mergeCell ref="S1240:V1240"/>
    <mergeCell ref="AG1238:AK1238"/>
    <mergeCell ref="B1239:D1239"/>
    <mergeCell ref="E1239:H1239"/>
    <mergeCell ref="J1239:L1239"/>
    <mergeCell ref="M1239:O1239"/>
    <mergeCell ref="P1239:R1239"/>
    <mergeCell ref="S1239:V1239"/>
    <mergeCell ref="W1239:Z1239"/>
    <mergeCell ref="AA1239:AF1239"/>
    <mergeCell ref="AG1239:AK1239"/>
    <mergeCell ref="AA1237:AF1237"/>
    <mergeCell ref="AG1237:AK1237"/>
    <mergeCell ref="B1238:D1238"/>
    <mergeCell ref="E1238:H1238"/>
    <mergeCell ref="J1238:L1238"/>
    <mergeCell ref="M1238:O1238"/>
    <mergeCell ref="P1238:R1238"/>
    <mergeCell ref="S1238:V1238"/>
    <mergeCell ref="W1238:Z1238"/>
    <mergeCell ref="AA1238:AF1238"/>
    <mergeCell ref="W1244:Z1244"/>
    <mergeCell ref="AA1244:AF1244"/>
    <mergeCell ref="AG1244:AK1244"/>
    <mergeCell ref="B1245:D1245"/>
    <mergeCell ref="E1245:H1245"/>
    <mergeCell ref="J1245:L1245"/>
    <mergeCell ref="M1245:O1245"/>
    <mergeCell ref="P1245:R1245"/>
    <mergeCell ref="S1245:V1245"/>
    <mergeCell ref="W1245:Z1245"/>
    <mergeCell ref="B1244:D1244"/>
    <mergeCell ref="E1244:H1244"/>
    <mergeCell ref="J1244:L1244"/>
    <mergeCell ref="M1244:O1244"/>
    <mergeCell ref="P1244:R1244"/>
    <mergeCell ref="S1244:V1244"/>
    <mergeCell ref="AG1242:AK1242"/>
    <mergeCell ref="B1243:D1243"/>
    <mergeCell ref="E1243:H1243"/>
    <mergeCell ref="J1243:L1243"/>
    <mergeCell ref="M1243:O1243"/>
    <mergeCell ref="P1243:R1243"/>
    <mergeCell ref="S1243:V1243"/>
    <mergeCell ref="W1243:Z1243"/>
    <mergeCell ref="AA1243:AF1243"/>
    <mergeCell ref="AG1243:AK1243"/>
    <mergeCell ref="AA1241:AF1241"/>
    <mergeCell ref="AG1241:AK1241"/>
    <mergeCell ref="B1242:D1242"/>
    <mergeCell ref="E1242:H1242"/>
    <mergeCell ref="J1242:L1242"/>
    <mergeCell ref="M1242:O1242"/>
    <mergeCell ref="P1242:R1242"/>
    <mergeCell ref="S1242:V1242"/>
    <mergeCell ref="W1242:Z1242"/>
    <mergeCell ref="AA1242:AF1242"/>
    <mergeCell ref="W1248:Z1248"/>
    <mergeCell ref="AA1248:AF1248"/>
    <mergeCell ref="AG1248:AK1248"/>
    <mergeCell ref="B1249:D1249"/>
    <mergeCell ref="E1249:H1249"/>
    <mergeCell ref="J1249:L1249"/>
    <mergeCell ref="M1249:O1249"/>
    <mergeCell ref="P1249:R1249"/>
    <mergeCell ref="S1249:V1249"/>
    <mergeCell ref="W1249:Z1249"/>
    <mergeCell ref="B1248:D1248"/>
    <mergeCell ref="E1248:H1248"/>
    <mergeCell ref="J1248:L1248"/>
    <mergeCell ref="M1248:O1248"/>
    <mergeCell ref="P1248:R1248"/>
    <mergeCell ref="S1248:V1248"/>
    <mergeCell ref="AG1246:AK1246"/>
    <mergeCell ref="B1247:D1247"/>
    <mergeCell ref="E1247:H1247"/>
    <mergeCell ref="J1247:L1247"/>
    <mergeCell ref="M1247:O1247"/>
    <mergeCell ref="P1247:R1247"/>
    <mergeCell ref="S1247:V1247"/>
    <mergeCell ref="W1247:Z1247"/>
    <mergeCell ref="AA1247:AF1247"/>
    <mergeCell ref="AG1247:AK1247"/>
    <mergeCell ref="AA1245:AF1245"/>
    <mergeCell ref="AG1245:AK1245"/>
    <mergeCell ref="B1246:D1246"/>
    <mergeCell ref="E1246:H1246"/>
    <mergeCell ref="J1246:L1246"/>
    <mergeCell ref="M1246:O1246"/>
    <mergeCell ref="P1246:R1246"/>
    <mergeCell ref="S1246:V1246"/>
    <mergeCell ref="W1246:Z1246"/>
    <mergeCell ref="AA1246:AF1246"/>
    <mergeCell ref="C1258:J1259"/>
    <mergeCell ref="K1258:X1258"/>
    <mergeCell ref="Y1258:AG1259"/>
    <mergeCell ref="AH1258:AL1259"/>
    <mergeCell ref="K1259:X1259"/>
    <mergeCell ref="C1260:F1260"/>
    <mergeCell ref="G1260:AE1261"/>
    <mergeCell ref="AF1260:AG1261"/>
    <mergeCell ref="AH1260:AI1261"/>
    <mergeCell ref="AG1253:AL1253"/>
    <mergeCell ref="D1254:AH1254"/>
    <mergeCell ref="A1255:I1257"/>
    <mergeCell ref="J1255:AH1255"/>
    <mergeCell ref="J1256:AF1256"/>
    <mergeCell ref="J1257:AE1257"/>
    <mergeCell ref="AG1250:AK1250"/>
    <mergeCell ref="B1251:D1251"/>
    <mergeCell ref="E1251:H1251"/>
    <mergeCell ref="J1251:L1251"/>
    <mergeCell ref="M1251:O1251"/>
    <mergeCell ref="P1251:R1251"/>
    <mergeCell ref="S1251:V1251"/>
    <mergeCell ref="W1251:Z1251"/>
    <mergeCell ref="AA1251:AF1251"/>
    <mergeCell ref="AG1251:AK1251"/>
    <mergeCell ref="AA1249:AF1249"/>
    <mergeCell ref="AG1249:AK1249"/>
    <mergeCell ref="B1250:D1250"/>
    <mergeCell ref="E1250:H1250"/>
    <mergeCell ref="J1250:L1250"/>
    <mergeCell ref="M1250:O1250"/>
    <mergeCell ref="P1250:R1250"/>
    <mergeCell ref="S1250:V1250"/>
    <mergeCell ref="W1250:Z1250"/>
    <mergeCell ref="AA1250:AF1250"/>
    <mergeCell ref="W1265:Z1265"/>
    <mergeCell ref="AA1265:AF1265"/>
    <mergeCell ref="AG1265:AK1265"/>
    <mergeCell ref="B1266:D1266"/>
    <mergeCell ref="E1266:H1266"/>
    <mergeCell ref="J1266:L1266"/>
    <mergeCell ref="M1266:O1266"/>
    <mergeCell ref="P1266:R1266"/>
    <mergeCell ref="S1266:V1266"/>
    <mergeCell ref="W1266:Z1266"/>
    <mergeCell ref="B1265:D1265"/>
    <mergeCell ref="E1265:H1265"/>
    <mergeCell ref="J1265:L1265"/>
    <mergeCell ref="M1265:O1265"/>
    <mergeCell ref="P1265:R1265"/>
    <mergeCell ref="S1265:V1265"/>
    <mergeCell ref="AH1263:AK1263"/>
    <mergeCell ref="B1264:D1264"/>
    <mergeCell ref="E1264:H1264"/>
    <mergeCell ref="J1264:L1264"/>
    <mergeCell ref="M1264:O1264"/>
    <mergeCell ref="P1264:R1264"/>
    <mergeCell ref="S1264:V1264"/>
    <mergeCell ref="W1264:Z1264"/>
    <mergeCell ref="AA1264:AF1264"/>
    <mergeCell ref="AG1264:AK1264"/>
    <mergeCell ref="O1262:Q1262"/>
    <mergeCell ref="V1262:Y1262"/>
    <mergeCell ref="AD1262:AJ1262"/>
    <mergeCell ref="B1263:D1263"/>
    <mergeCell ref="E1263:G1263"/>
    <mergeCell ref="J1263:N1263"/>
    <mergeCell ref="Q1263:R1263"/>
    <mergeCell ref="U1263:V1263"/>
    <mergeCell ref="X1263:Z1263"/>
    <mergeCell ref="AC1263:AF1263"/>
    <mergeCell ref="W1269:Z1269"/>
    <mergeCell ref="AA1269:AF1269"/>
    <mergeCell ref="AG1269:AK1269"/>
    <mergeCell ref="B1270:D1270"/>
    <mergeCell ref="E1270:H1270"/>
    <mergeCell ref="J1270:L1270"/>
    <mergeCell ref="M1270:O1270"/>
    <mergeCell ref="P1270:R1270"/>
    <mergeCell ref="S1270:V1270"/>
    <mergeCell ref="W1270:Z1270"/>
    <mergeCell ref="B1269:D1269"/>
    <mergeCell ref="E1269:H1269"/>
    <mergeCell ref="J1269:L1269"/>
    <mergeCell ref="M1269:O1269"/>
    <mergeCell ref="P1269:R1269"/>
    <mergeCell ref="S1269:V1269"/>
    <mergeCell ref="AG1267:AK1267"/>
    <mergeCell ref="B1268:D1268"/>
    <mergeCell ref="E1268:H1268"/>
    <mergeCell ref="J1268:L1268"/>
    <mergeCell ref="M1268:O1268"/>
    <mergeCell ref="P1268:R1268"/>
    <mergeCell ref="S1268:V1268"/>
    <mergeCell ref="W1268:Z1268"/>
    <mergeCell ref="AA1268:AF1268"/>
    <mergeCell ref="AG1268:AK1268"/>
    <mergeCell ref="AA1266:AF1266"/>
    <mergeCell ref="AG1266:AK1266"/>
    <mergeCell ref="B1267:D1267"/>
    <mergeCell ref="E1267:H1267"/>
    <mergeCell ref="J1267:L1267"/>
    <mergeCell ref="M1267:O1267"/>
    <mergeCell ref="P1267:R1267"/>
    <mergeCell ref="S1267:V1267"/>
    <mergeCell ref="W1267:Z1267"/>
    <mergeCell ref="AA1267:AF1267"/>
    <mergeCell ref="W1273:Z1273"/>
    <mergeCell ref="AA1273:AF1273"/>
    <mergeCell ref="AG1273:AK1273"/>
    <mergeCell ref="B1274:D1274"/>
    <mergeCell ref="E1274:H1274"/>
    <mergeCell ref="J1274:L1274"/>
    <mergeCell ref="M1274:O1274"/>
    <mergeCell ref="P1274:R1274"/>
    <mergeCell ref="S1274:V1274"/>
    <mergeCell ref="W1274:Z1274"/>
    <mergeCell ref="B1273:D1273"/>
    <mergeCell ref="E1273:H1273"/>
    <mergeCell ref="J1273:L1273"/>
    <mergeCell ref="M1273:O1273"/>
    <mergeCell ref="P1273:R1273"/>
    <mergeCell ref="S1273:V1273"/>
    <mergeCell ref="AG1271:AK1271"/>
    <mergeCell ref="B1272:D1272"/>
    <mergeCell ref="E1272:H1272"/>
    <mergeCell ref="J1272:L1272"/>
    <mergeCell ref="M1272:O1272"/>
    <mergeCell ref="P1272:R1272"/>
    <mergeCell ref="S1272:V1272"/>
    <mergeCell ref="W1272:Z1272"/>
    <mergeCell ref="AA1272:AF1272"/>
    <mergeCell ref="AG1272:AK1272"/>
    <mergeCell ref="AA1270:AF1270"/>
    <mergeCell ref="AG1270:AK1270"/>
    <mergeCell ref="B1271:D1271"/>
    <mergeCell ref="E1271:H1271"/>
    <mergeCell ref="J1271:L1271"/>
    <mergeCell ref="M1271:O1271"/>
    <mergeCell ref="P1271:R1271"/>
    <mergeCell ref="S1271:V1271"/>
    <mergeCell ref="W1271:Z1271"/>
    <mergeCell ref="AA1271:AF1271"/>
    <mergeCell ref="W1278:Z1278"/>
    <mergeCell ref="AA1278:AF1278"/>
    <mergeCell ref="AG1278:AK1278"/>
    <mergeCell ref="B1279:D1279"/>
    <mergeCell ref="E1279:H1279"/>
    <mergeCell ref="J1279:L1279"/>
    <mergeCell ref="M1279:O1279"/>
    <mergeCell ref="P1279:R1279"/>
    <mergeCell ref="S1279:V1279"/>
    <mergeCell ref="W1279:Z1279"/>
    <mergeCell ref="B1278:D1278"/>
    <mergeCell ref="E1278:H1278"/>
    <mergeCell ref="J1278:L1278"/>
    <mergeCell ref="M1278:O1278"/>
    <mergeCell ref="P1278:R1278"/>
    <mergeCell ref="S1278:V1278"/>
    <mergeCell ref="AG1275:AK1275"/>
    <mergeCell ref="B1276:D1276"/>
    <mergeCell ref="E1276:H1276"/>
    <mergeCell ref="J1276:L1277"/>
    <mergeCell ref="M1276:O1276"/>
    <mergeCell ref="P1276:R1276"/>
    <mergeCell ref="S1276:V1276"/>
    <mergeCell ref="W1276:Z1276"/>
    <mergeCell ref="AA1276:AF1276"/>
    <mergeCell ref="AG1276:AK1276"/>
    <mergeCell ref="AA1274:AF1274"/>
    <mergeCell ref="AG1274:AK1274"/>
    <mergeCell ref="B1275:D1275"/>
    <mergeCell ref="E1275:H1275"/>
    <mergeCell ref="J1275:L1275"/>
    <mergeCell ref="M1275:O1275"/>
    <mergeCell ref="P1275:R1275"/>
    <mergeCell ref="S1275:V1275"/>
    <mergeCell ref="W1275:Z1275"/>
    <mergeCell ref="AA1275:AF1275"/>
    <mergeCell ref="W1283:Z1283"/>
    <mergeCell ref="AA1283:AF1283"/>
    <mergeCell ref="AG1283:AK1283"/>
    <mergeCell ref="B1284:D1284"/>
    <mergeCell ref="E1284:H1284"/>
    <mergeCell ref="J1284:L1285"/>
    <mergeCell ref="M1284:O1284"/>
    <mergeCell ref="P1284:R1284"/>
    <mergeCell ref="S1284:V1284"/>
    <mergeCell ref="W1284:Z1284"/>
    <mergeCell ref="B1283:D1283"/>
    <mergeCell ref="E1283:H1283"/>
    <mergeCell ref="J1283:L1283"/>
    <mergeCell ref="M1283:O1283"/>
    <mergeCell ref="P1283:R1283"/>
    <mergeCell ref="S1283:V1283"/>
    <mergeCell ref="AG1280:AK1280"/>
    <mergeCell ref="B1282:D1282"/>
    <mergeCell ref="E1282:H1282"/>
    <mergeCell ref="J1282:L1282"/>
    <mergeCell ref="M1282:O1282"/>
    <mergeCell ref="P1282:R1282"/>
    <mergeCell ref="S1282:V1282"/>
    <mergeCell ref="W1282:Z1282"/>
    <mergeCell ref="AA1282:AF1282"/>
    <mergeCell ref="AG1282:AK1282"/>
    <mergeCell ref="AA1279:AF1279"/>
    <mergeCell ref="AG1279:AK1279"/>
    <mergeCell ref="B1280:D1280"/>
    <mergeCell ref="E1280:H1280"/>
    <mergeCell ref="J1280:L1281"/>
    <mergeCell ref="M1280:O1280"/>
    <mergeCell ref="P1280:R1280"/>
    <mergeCell ref="S1280:V1280"/>
    <mergeCell ref="W1280:Z1280"/>
    <mergeCell ref="AA1280:AF1280"/>
    <mergeCell ref="W1289:Z1289"/>
    <mergeCell ref="AA1289:AF1289"/>
    <mergeCell ref="AG1289:AK1289"/>
    <mergeCell ref="B1290:D1290"/>
    <mergeCell ref="E1290:H1290"/>
    <mergeCell ref="J1290:L1291"/>
    <mergeCell ref="M1290:O1290"/>
    <mergeCell ref="P1290:R1290"/>
    <mergeCell ref="S1290:V1290"/>
    <mergeCell ref="W1290:Z1290"/>
    <mergeCell ref="B1289:D1289"/>
    <mergeCell ref="E1289:H1289"/>
    <mergeCell ref="J1289:L1289"/>
    <mergeCell ref="M1289:O1289"/>
    <mergeCell ref="P1289:R1289"/>
    <mergeCell ref="S1289:V1289"/>
    <mergeCell ref="AG1286:AK1286"/>
    <mergeCell ref="B1288:D1288"/>
    <mergeCell ref="E1288:H1288"/>
    <mergeCell ref="J1288:L1288"/>
    <mergeCell ref="M1288:O1288"/>
    <mergeCell ref="P1288:R1288"/>
    <mergeCell ref="S1288:V1288"/>
    <mergeCell ref="W1288:Z1288"/>
    <mergeCell ref="AA1288:AF1288"/>
    <mergeCell ref="AG1288:AK1288"/>
    <mergeCell ref="AA1284:AF1284"/>
    <mergeCell ref="AG1284:AK1284"/>
    <mergeCell ref="B1286:D1286"/>
    <mergeCell ref="E1286:H1286"/>
    <mergeCell ref="J1286:L1287"/>
    <mergeCell ref="M1286:O1286"/>
    <mergeCell ref="P1286:R1286"/>
    <mergeCell ref="S1286:V1286"/>
    <mergeCell ref="W1286:Z1286"/>
    <mergeCell ref="AA1286:AF1286"/>
    <mergeCell ref="W1294:Z1294"/>
    <mergeCell ref="AA1294:AF1294"/>
    <mergeCell ref="AG1294:AK1294"/>
    <mergeCell ref="B1296:D1296"/>
    <mergeCell ref="E1296:H1296"/>
    <mergeCell ref="J1296:L1296"/>
    <mergeCell ref="M1296:O1296"/>
    <mergeCell ref="P1296:R1296"/>
    <mergeCell ref="S1296:V1296"/>
    <mergeCell ref="W1296:Z1296"/>
    <mergeCell ref="B1294:D1294"/>
    <mergeCell ref="E1294:H1294"/>
    <mergeCell ref="J1294:L1295"/>
    <mergeCell ref="M1294:O1294"/>
    <mergeCell ref="P1294:R1294"/>
    <mergeCell ref="S1294:V1294"/>
    <mergeCell ref="AG1292:AK1292"/>
    <mergeCell ref="B1293:D1293"/>
    <mergeCell ref="E1293:H1293"/>
    <mergeCell ref="J1293:L1293"/>
    <mergeCell ref="M1293:O1293"/>
    <mergeCell ref="P1293:R1293"/>
    <mergeCell ref="S1293:V1293"/>
    <mergeCell ref="W1293:Z1293"/>
    <mergeCell ref="AA1293:AF1293"/>
    <mergeCell ref="AG1293:AK1293"/>
    <mergeCell ref="AA1290:AF1290"/>
    <mergeCell ref="AG1290:AK1290"/>
    <mergeCell ref="B1292:D1292"/>
    <mergeCell ref="E1292:H1292"/>
    <mergeCell ref="J1292:L1292"/>
    <mergeCell ref="M1292:O1292"/>
    <mergeCell ref="P1292:R1292"/>
    <mergeCell ref="S1292:V1292"/>
    <mergeCell ref="W1292:Z1292"/>
    <mergeCell ref="AA1292:AF1292"/>
    <mergeCell ref="W1299:Z1299"/>
    <mergeCell ref="AA1299:AF1299"/>
    <mergeCell ref="AG1299:AK1299"/>
    <mergeCell ref="B1300:D1300"/>
    <mergeCell ref="E1300:H1300"/>
    <mergeCell ref="J1300:L1300"/>
    <mergeCell ref="M1300:O1300"/>
    <mergeCell ref="P1300:R1300"/>
    <mergeCell ref="S1300:V1300"/>
    <mergeCell ref="W1300:Z1300"/>
    <mergeCell ref="B1299:D1299"/>
    <mergeCell ref="E1299:H1299"/>
    <mergeCell ref="J1299:L1299"/>
    <mergeCell ref="M1299:O1299"/>
    <mergeCell ref="P1299:R1299"/>
    <mergeCell ref="S1299:V1299"/>
    <mergeCell ref="AG1297:AK1297"/>
    <mergeCell ref="B1298:D1298"/>
    <mergeCell ref="E1298:H1298"/>
    <mergeCell ref="J1298:L1298"/>
    <mergeCell ref="M1298:O1298"/>
    <mergeCell ref="P1298:R1298"/>
    <mergeCell ref="S1298:V1298"/>
    <mergeCell ref="W1298:Z1298"/>
    <mergeCell ref="AA1298:AF1298"/>
    <mergeCell ref="AG1298:AK1298"/>
    <mergeCell ref="AA1296:AF1296"/>
    <mergeCell ref="AG1296:AK1296"/>
    <mergeCell ref="B1297:D1297"/>
    <mergeCell ref="E1297:H1297"/>
    <mergeCell ref="J1297:L1297"/>
    <mergeCell ref="M1297:O1297"/>
    <mergeCell ref="P1297:R1297"/>
    <mergeCell ref="S1297:V1297"/>
    <mergeCell ref="W1297:Z1297"/>
    <mergeCell ref="AA1297:AF1297"/>
    <mergeCell ref="W1303:Z1303"/>
    <mergeCell ref="AA1303:AF1303"/>
    <mergeCell ref="AG1303:AK1303"/>
    <mergeCell ref="B1304:D1304"/>
    <mergeCell ref="E1304:H1304"/>
    <mergeCell ref="J1304:L1304"/>
    <mergeCell ref="M1304:O1304"/>
    <mergeCell ref="P1304:R1304"/>
    <mergeCell ref="S1304:V1304"/>
    <mergeCell ref="W1304:Z1304"/>
    <mergeCell ref="B1303:D1303"/>
    <mergeCell ref="E1303:H1303"/>
    <mergeCell ref="J1303:L1303"/>
    <mergeCell ref="M1303:O1303"/>
    <mergeCell ref="P1303:R1303"/>
    <mergeCell ref="S1303:V1303"/>
    <mergeCell ref="AG1301:AK1301"/>
    <mergeCell ref="B1302:D1302"/>
    <mergeCell ref="E1302:H1302"/>
    <mergeCell ref="J1302:L1302"/>
    <mergeCell ref="M1302:O1302"/>
    <mergeCell ref="P1302:R1302"/>
    <mergeCell ref="S1302:V1302"/>
    <mergeCell ref="W1302:Z1302"/>
    <mergeCell ref="AA1302:AF1302"/>
    <mergeCell ref="AG1302:AK1302"/>
    <mergeCell ref="AA1300:AF1300"/>
    <mergeCell ref="AG1300:AK1300"/>
    <mergeCell ref="B1301:D1301"/>
    <mergeCell ref="E1301:H1301"/>
    <mergeCell ref="J1301:L1301"/>
    <mergeCell ref="M1301:O1301"/>
    <mergeCell ref="P1301:R1301"/>
    <mergeCell ref="S1301:V1301"/>
    <mergeCell ref="W1301:Z1301"/>
    <mergeCell ref="AA1301:AF1301"/>
    <mergeCell ref="W1307:Z1307"/>
    <mergeCell ref="AA1307:AF1307"/>
    <mergeCell ref="AG1307:AK1307"/>
    <mergeCell ref="B1308:D1308"/>
    <mergeCell ref="E1308:H1308"/>
    <mergeCell ref="J1308:L1308"/>
    <mergeCell ref="M1308:O1308"/>
    <mergeCell ref="P1308:R1308"/>
    <mergeCell ref="S1308:V1308"/>
    <mergeCell ref="W1308:Z1308"/>
    <mergeCell ref="B1307:D1307"/>
    <mergeCell ref="E1307:H1307"/>
    <mergeCell ref="J1307:L1307"/>
    <mergeCell ref="M1307:O1307"/>
    <mergeCell ref="P1307:R1307"/>
    <mergeCell ref="S1307:V1307"/>
    <mergeCell ref="AG1305:AK1305"/>
    <mergeCell ref="B1306:D1306"/>
    <mergeCell ref="E1306:H1306"/>
    <mergeCell ref="J1306:L1306"/>
    <mergeCell ref="M1306:O1306"/>
    <mergeCell ref="P1306:R1306"/>
    <mergeCell ref="S1306:V1306"/>
    <mergeCell ref="W1306:Z1306"/>
    <mergeCell ref="AA1306:AF1306"/>
    <mergeCell ref="AG1306:AK1306"/>
    <mergeCell ref="AA1304:AF1304"/>
    <mergeCell ref="AG1304:AK1304"/>
    <mergeCell ref="B1305:D1305"/>
    <mergeCell ref="E1305:H1305"/>
    <mergeCell ref="J1305:L1305"/>
    <mergeCell ref="M1305:O1305"/>
    <mergeCell ref="P1305:R1305"/>
    <mergeCell ref="S1305:V1305"/>
    <mergeCell ref="W1305:Z1305"/>
    <mergeCell ref="AA1305:AF1305"/>
    <mergeCell ref="W1311:Z1311"/>
    <mergeCell ref="AA1311:AF1311"/>
    <mergeCell ref="AG1311:AK1311"/>
    <mergeCell ref="B1312:D1312"/>
    <mergeCell ref="E1312:H1312"/>
    <mergeCell ref="J1312:L1312"/>
    <mergeCell ref="M1312:O1312"/>
    <mergeCell ref="P1312:R1312"/>
    <mergeCell ref="S1312:V1312"/>
    <mergeCell ref="W1312:Z1312"/>
    <mergeCell ref="B1311:D1311"/>
    <mergeCell ref="E1311:H1311"/>
    <mergeCell ref="J1311:L1311"/>
    <mergeCell ref="M1311:O1311"/>
    <mergeCell ref="P1311:R1311"/>
    <mergeCell ref="S1311:V1311"/>
    <mergeCell ref="AG1309:AK1309"/>
    <mergeCell ref="B1310:D1310"/>
    <mergeCell ref="E1310:H1310"/>
    <mergeCell ref="J1310:L1310"/>
    <mergeCell ref="M1310:O1310"/>
    <mergeCell ref="P1310:R1310"/>
    <mergeCell ref="S1310:V1310"/>
    <mergeCell ref="W1310:Z1310"/>
    <mergeCell ref="AA1310:AF1310"/>
    <mergeCell ref="AG1310:AK1310"/>
    <mergeCell ref="AA1308:AF1308"/>
    <mergeCell ref="AG1308:AK1308"/>
    <mergeCell ref="B1309:D1309"/>
    <mergeCell ref="E1309:H1309"/>
    <mergeCell ref="J1309:L1309"/>
    <mergeCell ref="M1309:O1309"/>
    <mergeCell ref="P1309:R1309"/>
    <mergeCell ref="S1309:V1309"/>
    <mergeCell ref="W1309:Z1309"/>
    <mergeCell ref="AA1309:AF1309"/>
    <mergeCell ref="AH1323:AK1323"/>
    <mergeCell ref="B1324:D1324"/>
    <mergeCell ref="E1324:H1324"/>
    <mergeCell ref="J1324:L1324"/>
    <mergeCell ref="M1324:O1324"/>
    <mergeCell ref="P1324:R1324"/>
    <mergeCell ref="S1324:V1324"/>
    <mergeCell ref="W1324:Z1324"/>
    <mergeCell ref="AA1324:AF1324"/>
    <mergeCell ref="AG1324:AK1324"/>
    <mergeCell ref="O1322:Q1322"/>
    <mergeCell ref="V1322:Y1322"/>
    <mergeCell ref="AD1322:AJ1322"/>
    <mergeCell ref="B1323:D1323"/>
    <mergeCell ref="E1323:G1323"/>
    <mergeCell ref="J1323:N1323"/>
    <mergeCell ref="Q1323:R1323"/>
    <mergeCell ref="U1323:V1323"/>
    <mergeCell ref="X1323:Z1323"/>
    <mergeCell ref="AC1323:AF1323"/>
    <mergeCell ref="C1318:J1319"/>
    <mergeCell ref="K1318:X1318"/>
    <mergeCell ref="Y1318:AG1319"/>
    <mergeCell ref="AH1318:AL1319"/>
    <mergeCell ref="K1319:X1319"/>
    <mergeCell ref="C1320:F1320"/>
    <mergeCell ref="G1320:AE1321"/>
    <mergeCell ref="AF1320:AG1321"/>
    <mergeCell ref="AH1320:AI1321"/>
    <mergeCell ref="AA1312:AF1312"/>
    <mergeCell ref="AG1312:AK1312"/>
    <mergeCell ref="AG1313:AL1313"/>
    <mergeCell ref="D1314:AH1314"/>
    <mergeCell ref="A1315:I1317"/>
    <mergeCell ref="J1315:AH1315"/>
    <mergeCell ref="J1316:AF1316"/>
    <mergeCell ref="J1317:AE1317"/>
    <mergeCell ref="AG1327:AK1327"/>
    <mergeCell ref="B1328:D1328"/>
    <mergeCell ref="E1328:H1328"/>
    <mergeCell ref="J1328:L1328"/>
    <mergeCell ref="M1328:O1328"/>
    <mergeCell ref="P1328:R1328"/>
    <mergeCell ref="S1328:V1328"/>
    <mergeCell ref="W1328:Z1328"/>
    <mergeCell ref="AA1328:AF1328"/>
    <mergeCell ref="AG1328:AK1328"/>
    <mergeCell ref="AA1326:AF1326"/>
    <mergeCell ref="AG1326:AK1326"/>
    <mergeCell ref="B1327:D1327"/>
    <mergeCell ref="E1327:H1327"/>
    <mergeCell ref="J1327:L1327"/>
    <mergeCell ref="M1327:O1327"/>
    <mergeCell ref="P1327:R1327"/>
    <mergeCell ref="S1327:V1327"/>
    <mergeCell ref="W1327:Z1327"/>
    <mergeCell ref="AA1327:AF1327"/>
    <mergeCell ref="W1325:Z1325"/>
    <mergeCell ref="AA1325:AF1325"/>
    <mergeCell ref="AG1325:AK1325"/>
    <mergeCell ref="B1326:D1326"/>
    <mergeCell ref="E1326:H1326"/>
    <mergeCell ref="J1326:L1326"/>
    <mergeCell ref="M1326:O1326"/>
    <mergeCell ref="P1326:R1326"/>
    <mergeCell ref="S1326:V1326"/>
    <mergeCell ref="W1326:Z1326"/>
    <mergeCell ref="B1325:D1325"/>
    <mergeCell ref="E1325:H1325"/>
    <mergeCell ref="J1325:L1325"/>
    <mergeCell ref="M1325:O1325"/>
    <mergeCell ref="P1325:R1325"/>
    <mergeCell ref="S1325:V1325"/>
    <mergeCell ref="AG1331:AK1331"/>
    <mergeCell ref="B1332:D1332"/>
    <mergeCell ref="E1332:H1332"/>
    <mergeCell ref="J1332:L1332"/>
    <mergeCell ref="M1332:O1332"/>
    <mergeCell ref="P1332:R1332"/>
    <mergeCell ref="S1332:V1332"/>
    <mergeCell ref="W1332:Z1332"/>
    <mergeCell ref="AA1332:AF1332"/>
    <mergeCell ref="AG1332:AK1332"/>
    <mergeCell ref="AA1330:AF1330"/>
    <mergeCell ref="AG1330:AK1330"/>
    <mergeCell ref="B1331:D1331"/>
    <mergeCell ref="E1331:H1331"/>
    <mergeCell ref="J1331:L1331"/>
    <mergeCell ref="M1331:O1331"/>
    <mergeCell ref="P1331:R1331"/>
    <mergeCell ref="S1331:V1331"/>
    <mergeCell ref="W1331:Z1331"/>
    <mergeCell ref="AA1331:AF1331"/>
    <mergeCell ref="W1329:Z1329"/>
    <mergeCell ref="AA1329:AF1329"/>
    <mergeCell ref="AG1329:AK1329"/>
    <mergeCell ref="B1330:D1330"/>
    <mergeCell ref="E1330:H1330"/>
    <mergeCell ref="J1330:L1330"/>
    <mergeCell ref="M1330:O1330"/>
    <mergeCell ref="P1330:R1330"/>
    <mergeCell ref="S1330:V1330"/>
    <mergeCell ref="W1330:Z1330"/>
    <mergeCell ref="B1329:D1329"/>
    <mergeCell ref="E1329:H1329"/>
    <mergeCell ref="J1329:L1329"/>
    <mergeCell ref="M1329:O1329"/>
    <mergeCell ref="P1329:R1329"/>
    <mergeCell ref="S1329:V1329"/>
    <mergeCell ref="AG1335:AK1335"/>
    <mergeCell ref="B1336:D1336"/>
    <mergeCell ref="E1336:H1336"/>
    <mergeCell ref="J1336:L1336"/>
    <mergeCell ref="M1336:O1336"/>
    <mergeCell ref="P1336:R1336"/>
    <mergeCell ref="S1336:V1336"/>
    <mergeCell ref="W1336:Z1336"/>
    <mergeCell ref="AA1336:AF1336"/>
    <mergeCell ref="AG1336:AK1336"/>
    <mergeCell ref="AA1334:AF1334"/>
    <mergeCell ref="AG1334:AK1334"/>
    <mergeCell ref="B1335:D1335"/>
    <mergeCell ref="E1335:H1335"/>
    <mergeCell ref="J1335:L1335"/>
    <mergeCell ref="M1335:O1335"/>
    <mergeCell ref="P1335:R1335"/>
    <mergeCell ref="S1335:V1335"/>
    <mergeCell ref="W1335:Z1335"/>
    <mergeCell ref="AA1335:AF1335"/>
    <mergeCell ref="W1333:Z1333"/>
    <mergeCell ref="AA1333:AF1333"/>
    <mergeCell ref="AG1333:AK1333"/>
    <mergeCell ref="B1334:D1334"/>
    <mergeCell ref="E1334:H1334"/>
    <mergeCell ref="J1334:L1334"/>
    <mergeCell ref="M1334:O1334"/>
    <mergeCell ref="P1334:R1334"/>
    <mergeCell ref="S1334:V1334"/>
    <mergeCell ref="W1334:Z1334"/>
    <mergeCell ref="B1333:D1333"/>
    <mergeCell ref="E1333:H1333"/>
    <mergeCell ref="J1333:L1333"/>
    <mergeCell ref="M1333:O1333"/>
    <mergeCell ref="P1333:R1333"/>
    <mergeCell ref="S1333:V1333"/>
    <mergeCell ref="AG1339:AK1339"/>
    <mergeCell ref="B1340:D1340"/>
    <mergeCell ref="E1340:H1340"/>
    <mergeCell ref="J1340:L1340"/>
    <mergeCell ref="M1340:O1340"/>
    <mergeCell ref="P1340:R1340"/>
    <mergeCell ref="S1340:V1340"/>
    <mergeCell ref="W1340:Z1340"/>
    <mergeCell ref="AA1340:AF1340"/>
    <mergeCell ref="AG1340:AK1340"/>
    <mergeCell ref="AA1338:AF1338"/>
    <mergeCell ref="AG1338:AK1338"/>
    <mergeCell ref="B1339:D1339"/>
    <mergeCell ref="E1339:H1339"/>
    <mergeCell ref="J1339:L1339"/>
    <mergeCell ref="M1339:O1339"/>
    <mergeCell ref="P1339:R1339"/>
    <mergeCell ref="S1339:V1339"/>
    <mergeCell ref="W1339:Z1339"/>
    <mergeCell ref="AA1339:AF1339"/>
    <mergeCell ref="W1337:Z1337"/>
    <mergeCell ref="AA1337:AF1337"/>
    <mergeCell ref="AG1337:AK1337"/>
    <mergeCell ref="B1338:D1338"/>
    <mergeCell ref="E1338:H1338"/>
    <mergeCell ref="J1338:L1338"/>
    <mergeCell ref="M1338:O1338"/>
    <mergeCell ref="P1338:R1338"/>
    <mergeCell ref="S1338:V1338"/>
    <mergeCell ref="W1338:Z1338"/>
    <mergeCell ref="B1337:D1337"/>
    <mergeCell ref="E1337:H1337"/>
    <mergeCell ref="J1337:L1337"/>
    <mergeCell ref="M1337:O1337"/>
    <mergeCell ref="P1337:R1337"/>
    <mergeCell ref="S1337:V1337"/>
    <mergeCell ref="AG1343:AK1343"/>
    <mergeCell ref="B1344:D1344"/>
    <mergeCell ref="E1344:H1344"/>
    <mergeCell ref="J1344:L1344"/>
    <mergeCell ref="M1344:O1344"/>
    <mergeCell ref="P1344:R1344"/>
    <mergeCell ref="S1344:V1344"/>
    <mergeCell ref="W1344:Z1344"/>
    <mergeCell ref="AA1344:AF1344"/>
    <mergeCell ref="AG1344:AK1344"/>
    <mergeCell ref="AA1342:AF1342"/>
    <mergeCell ref="AG1342:AK1342"/>
    <mergeCell ref="B1343:D1343"/>
    <mergeCell ref="E1343:H1343"/>
    <mergeCell ref="J1343:L1343"/>
    <mergeCell ref="M1343:O1343"/>
    <mergeCell ref="P1343:R1343"/>
    <mergeCell ref="S1343:V1343"/>
    <mergeCell ref="W1343:Z1343"/>
    <mergeCell ref="AA1343:AF1343"/>
    <mergeCell ref="W1341:Z1341"/>
    <mergeCell ref="AA1341:AF1341"/>
    <mergeCell ref="AG1341:AK1341"/>
    <mergeCell ref="B1342:D1342"/>
    <mergeCell ref="E1342:H1342"/>
    <mergeCell ref="J1342:L1342"/>
    <mergeCell ref="M1342:O1342"/>
    <mergeCell ref="P1342:R1342"/>
    <mergeCell ref="S1342:V1342"/>
    <mergeCell ref="W1342:Z1342"/>
    <mergeCell ref="B1341:D1341"/>
    <mergeCell ref="E1341:H1341"/>
    <mergeCell ref="J1341:L1341"/>
    <mergeCell ref="M1341:O1341"/>
    <mergeCell ref="P1341:R1341"/>
    <mergeCell ref="S1341:V1341"/>
    <mergeCell ref="AG1347:AK1347"/>
    <mergeCell ref="B1348:D1348"/>
    <mergeCell ref="E1348:H1348"/>
    <mergeCell ref="J1348:L1348"/>
    <mergeCell ref="M1348:O1348"/>
    <mergeCell ref="P1348:R1348"/>
    <mergeCell ref="S1348:V1348"/>
    <mergeCell ref="W1348:Z1348"/>
    <mergeCell ref="AA1348:AF1348"/>
    <mergeCell ref="AG1348:AK1348"/>
    <mergeCell ref="AA1346:AF1346"/>
    <mergeCell ref="AG1346:AK1346"/>
    <mergeCell ref="B1347:D1347"/>
    <mergeCell ref="E1347:H1347"/>
    <mergeCell ref="J1347:L1347"/>
    <mergeCell ref="M1347:O1347"/>
    <mergeCell ref="P1347:R1347"/>
    <mergeCell ref="S1347:V1347"/>
    <mergeCell ref="W1347:Z1347"/>
    <mergeCell ref="AA1347:AF1347"/>
    <mergeCell ref="W1345:Z1345"/>
    <mergeCell ref="AA1345:AF1345"/>
    <mergeCell ref="AG1345:AK1345"/>
    <mergeCell ref="B1346:D1346"/>
    <mergeCell ref="E1346:H1346"/>
    <mergeCell ref="J1346:L1346"/>
    <mergeCell ref="M1346:O1346"/>
    <mergeCell ref="P1346:R1346"/>
    <mergeCell ref="S1346:V1346"/>
    <mergeCell ref="W1346:Z1346"/>
    <mergeCell ref="B1345:D1345"/>
    <mergeCell ref="E1345:H1345"/>
    <mergeCell ref="J1345:L1345"/>
    <mergeCell ref="M1345:O1345"/>
    <mergeCell ref="P1345:R1345"/>
    <mergeCell ref="S1345:V1345"/>
    <mergeCell ref="AG1352:AK1352"/>
    <mergeCell ref="B1353:D1353"/>
    <mergeCell ref="E1353:H1353"/>
    <mergeCell ref="J1353:L1353"/>
    <mergeCell ref="M1353:O1353"/>
    <mergeCell ref="P1353:R1353"/>
    <mergeCell ref="S1353:V1353"/>
    <mergeCell ref="W1353:Z1353"/>
    <mergeCell ref="AA1353:AF1353"/>
    <mergeCell ref="AG1353:AK1353"/>
    <mergeCell ref="AA1350:AF1350"/>
    <mergeCell ref="AG1350:AK1350"/>
    <mergeCell ref="B1352:D1352"/>
    <mergeCell ref="E1352:H1352"/>
    <mergeCell ref="J1352:L1352"/>
    <mergeCell ref="M1352:O1352"/>
    <mergeCell ref="P1352:R1352"/>
    <mergeCell ref="S1352:V1352"/>
    <mergeCell ref="W1352:Z1352"/>
    <mergeCell ref="AA1352:AF1352"/>
    <mergeCell ref="W1349:Z1349"/>
    <mergeCell ref="AA1349:AF1349"/>
    <mergeCell ref="AG1349:AK1349"/>
    <mergeCell ref="B1350:D1350"/>
    <mergeCell ref="E1350:H1350"/>
    <mergeCell ref="J1350:L1351"/>
    <mergeCell ref="M1350:O1350"/>
    <mergeCell ref="P1350:R1350"/>
    <mergeCell ref="S1350:V1350"/>
    <mergeCell ref="W1350:Z1350"/>
    <mergeCell ref="B1349:D1349"/>
    <mergeCell ref="E1349:H1349"/>
    <mergeCell ref="J1349:L1349"/>
    <mergeCell ref="M1349:O1349"/>
    <mergeCell ref="P1349:R1349"/>
    <mergeCell ref="S1349:V1349"/>
    <mergeCell ref="AG1357:AK1357"/>
    <mergeCell ref="B1358:D1358"/>
    <mergeCell ref="E1358:H1358"/>
    <mergeCell ref="J1358:L1358"/>
    <mergeCell ref="M1358:O1358"/>
    <mergeCell ref="P1358:R1358"/>
    <mergeCell ref="S1358:V1358"/>
    <mergeCell ref="W1358:Z1358"/>
    <mergeCell ref="AA1358:AF1358"/>
    <mergeCell ref="AG1358:AK1358"/>
    <mergeCell ref="AA1356:AF1356"/>
    <mergeCell ref="AG1356:AK1356"/>
    <mergeCell ref="B1357:D1357"/>
    <mergeCell ref="E1357:H1357"/>
    <mergeCell ref="J1357:L1357"/>
    <mergeCell ref="M1357:O1357"/>
    <mergeCell ref="P1357:R1357"/>
    <mergeCell ref="S1357:V1357"/>
    <mergeCell ref="W1357:Z1357"/>
    <mergeCell ref="AA1357:AF1357"/>
    <mergeCell ref="W1354:Z1354"/>
    <mergeCell ref="AA1354:AF1354"/>
    <mergeCell ref="AG1354:AK1354"/>
    <mergeCell ref="B1356:D1356"/>
    <mergeCell ref="E1356:H1356"/>
    <mergeCell ref="J1356:L1356"/>
    <mergeCell ref="M1356:O1356"/>
    <mergeCell ref="P1356:R1356"/>
    <mergeCell ref="S1356:V1356"/>
    <mergeCell ref="W1356:Z1356"/>
    <mergeCell ref="B1354:D1354"/>
    <mergeCell ref="E1354:H1354"/>
    <mergeCell ref="J1354:L1355"/>
    <mergeCell ref="M1354:O1354"/>
    <mergeCell ref="P1354:R1354"/>
    <mergeCell ref="S1354:V1354"/>
    <mergeCell ref="AG1361:AK1361"/>
    <mergeCell ref="B1362:D1362"/>
    <mergeCell ref="E1362:H1362"/>
    <mergeCell ref="J1362:L1362"/>
    <mergeCell ref="M1362:O1362"/>
    <mergeCell ref="P1362:R1362"/>
    <mergeCell ref="S1362:V1362"/>
    <mergeCell ref="W1362:Z1362"/>
    <mergeCell ref="AA1362:AF1362"/>
    <mergeCell ref="AG1362:AK1362"/>
    <mergeCell ref="AA1360:AF1360"/>
    <mergeCell ref="AG1360:AK1360"/>
    <mergeCell ref="B1361:D1361"/>
    <mergeCell ref="E1361:H1361"/>
    <mergeCell ref="J1361:L1361"/>
    <mergeCell ref="M1361:O1361"/>
    <mergeCell ref="P1361:R1361"/>
    <mergeCell ref="S1361:V1361"/>
    <mergeCell ref="W1361:Z1361"/>
    <mergeCell ref="AA1361:AF1361"/>
    <mergeCell ref="W1359:Z1359"/>
    <mergeCell ref="AA1359:AF1359"/>
    <mergeCell ref="AG1359:AK1359"/>
    <mergeCell ref="B1360:D1360"/>
    <mergeCell ref="E1360:H1360"/>
    <mergeCell ref="J1360:L1360"/>
    <mergeCell ref="M1360:O1360"/>
    <mergeCell ref="P1360:R1360"/>
    <mergeCell ref="S1360:V1360"/>
    <mergeCell ref="W1360:Z1360"/>
    <mergeCell ref="B1359:D1359"/>
    <mergeCell ref="E1359:H1359"/>
    <mergeCell ref="J1359:L1359"/>
    <mergeCell ref="M1359:O1359"/>
    <mergeCell ref="P1359:R1359"/>
    <mergeCell ref="S1359:V1359"/>
    <mergeCell ref="AG1365:AK1365"/>
    <mergeCell ref="B1366:D1366"/>
    <mergeCell ref="E1366:H1366"/>
    <mergeCell ref="J1366:L1366"/>
    <mergeCell ref="M1366:O1366"/>
    <mergeCell ref="P1366:R1366"/>
    <mergeCell ref="S1366:V1366"/>
    <mergeCell ref="W1366:Z1366"/>
    <mergeCell ref="AA1366:AF1366"/>
    <mergeCell ref="AG1366:AK1366"/>
    <mergeCell ref="AA1364:AF1364"/>
    <mergeCell ref="AG1364:AK1364"/>
    <mergeCell ref="B1365:D1365"/>
    <mergeCell ref="E1365:H1365"/>
    <mergeCell ref="J1365:L1365"/>
    <mergeCell ref="M1365:O1365"/>
    <mergeCell ref="P1365:R1365"/>
    <mergeCell ref="S1365:V1365"/>
    <mergeCell ref="W1365:Z1365"/>
    <mergeCell ref="AA1365:AF1365"/>
    <mergeCell ref="W1363:Z1363"/>
    <mergeCell ref="AA1363:AF1363"/>
    <mergeCell ref="AG1363:AK1363"/>
    <mergeCell ref="B1364:D1364"/>
    <mergeCell ref="E1364:H1364"/>
    <mergeCell ref="J1364:L1364"/>
    <mergeCell ref="M1364:O1364"/>
    <mergeCell ref="P1364:R1364"/>
    <mergeCell ref="S1364:V1364"/>
    <mergeCell ref="W1364:Z1364"/>
    <mergeCell ref="B1363:D1363"/>
    <mergeCell ref="E1363:H1363"/>
    <mergeCell ref="J1363:L1363"/>
    <mergeCell ref="M1363:O1363"/>
    <mergeCell ref="P1363:R1363"/>
    <mergeCell ref="S1363:V1363"/>
    <mergeCell ref="AG1369:AK1369"/>
    <mergeCell ref="B1370:D1370"/>
    <mergeCell ref="E1370:H1370"/>
    <mergeCell ref="J1370:L1371"/>
    <mergeCell ref="M1370:O1370"/>
    <mergeCell ref="P1370:R1370"/>
    <mergeCell ref="S1370:V1370"/>
    <mergeCell ref="W1370:Z1370"/>
    <mergeCell ref="AA1370:AF1370"/>
    <mergeCell ref="AG1370:AK1370"/>
    <mergeCell ref="AA1368:AF1368"/>
    <mergeCell ref="AG1368:AK1368"/>
    <mergeCell ref="B1369:D1369"/>
    <mergeCell ref="E1369:H1369"/>
    <mergeCell ref="J1369:L1369"/>
    <mergeCell ref="M1369:O1369"/>
    <mergeCell ref="P1369:R1369"/>
    <mergeCell ref="S1369:V1369"/>
    <mergeCell ref="W1369:Z1369"/>
    <mergeCell ref="AA1369:AF1369"/>
    <mergeCell ref="W1367:Z1367"/>
    <mergeCell ref="AA1367:AF1367"/>
    <mergeCell ref="AG1367:AK1367"/>
    <mergeCell ref="B1368:D1368"/>
    <mergeCell ref="E1368:H1368"/>
    <mergeCell ref="J1368:L1368"/>
    <mergeCell ref="M1368:O1368"/>
    <mergeCell ref="P1368:R1368"/>
    <mergeCell ref="S1368:V1368"/>
    <mergeCell ref="W1368:Z1368"/>
    <mergeCell ref="B1367:D1367"/>
    <mergeCell ref="E1367:H1367"/>
    <mergeCell ref="J1367:L1367"/>
    <mergeCell ref="M1367:O1367"/>
    <mergeCell ref="P1367:R1367"/>
    <mergeCell ref="S1367:V1367"/>
    <mergeCell ref="AH1383:AK1383"/>
    <mergeCell ref="B1384:D1384"/>
    <mergeCell ref="E1384:H1384"/>
    <mergeCell ref="J1384:L1384"/>
    <mergeCell ref="M1384:O1384"/>
    <mergeCell ref="P1384:R1384"/>
    <mergeCell ref="S1384:V1384"/>
    <mergeCell ref="W1384:Z1384"/>
    <mergeCell ref="AA1384:AF1384"/>
    <mergeCell ref="AG1384:AK1384"/>
    <mergeCell ref="O1382:Q1382"/>
    <mergeCell ref="V1382:Y1382"/>
    <mergeCell ref="AD1382:AJ1382"/>
    <mergeCell ref="B1383:D1383"/>
    <mergeCell ref="E1383:G1383"/>
    <mergeCell ref="J1383:N1383"/>
    <mergeCell ref="Q1383:R1383"/>
    <mergeCell ref="U1383:V1383"/>
    <mergeCell ref="X1383:Z1383"/>
    <mergeCell ref="AC1383:AF1383"/>
    <mergeCell ref="C1378:J1379"/>
    <mergeCell ref="K1378:X1378"/>
    <mergeCell ref="Y1378:AG1379"/>
    <mergeCell ref="AH1378:AL1379"/>
    <mergeCell ref="K1379:X1379"/>
    <mergeCell ref="C1380:F1380"/>
    <mergeCell ref="G1380:AE1381"/>
    <mergeCell ref="AF1380:AG1381"/>
    <mergeCell ref="AH1380:AI1381"/>
    <mergeCell ref="AG1373:AL1373"/>
    <mergeCell ref="D1374:AH1374"/>
    <mergeCell ref="A1375:I1377"/>
    <mergeCell ref="J1375:AH1375"/>
    <mergeCell ref="J1376:AF1376"/>
    <mergeCell ref="J1377:AE1377"/>
    <mergeCell ref="AG1387:AK1387"/>
    <mergeCell ref="B1388:D1388"/>
    <mergeCell ref="E1388:H1388"/>
    <mergeCell ref="J1388:L1388"/>
    <mergeCell ref="M1388:O1388"/>
    <mergeCell ref="P1388:R1388"/>
    <mergeCell ref="S1388:V1388"/>
    <mergeCell ref="W1388:Z1388"/>
    <mergeCell ref="AA1388:AF1388"/>
    <mergeCell ref="AG1388:AK1388"/>
    <mergeCell ref="AA1386:AF1386"/>
    <mergeCell ref="AG1386:AK1386"/>
    <mergeCell ref="B1387:D1387"/>
    <mergeCell ref="E1387:H1387"/>
    <mergeCell ref="J1387:L1387"/>
    <mergeCell ref="M1387:O1387"/>
    <mergeCell ref="P1387:R1387"/>
    <mergeCell ref="S1387:V1387"/>
    <mergeCell ref="W1387:Z1387"/>
    <mergeCell ref="AA1387:AF1387"/>
    <mergeCell ref="W1385:Z1385"/>
    <mergeCell ref="AA1385:AF1385"/>
    <mergeCell ref="AG1385:AK1385"/>
    <mergeCell ref="B1386:D1386"/>
    <mergeCell ref="E1386:H1386"/>
    <mergeCell ref="J1386:L1386"/>
    <mergeCell ref="M1386:O1386"/>
    <mergeCell ref="P1386:R1386"/>
    <mergeCell ref="S1386:V1386"/>
    <mergeCell ref="W1386:Z1386"/>
    <mergeCell ref="B1385:D1385"/>
    <mergeCell ref="E1385:H1385"/>
    <mergeCell ref="J1385:L1385"/>
    <mergeCell ref="M1385:O1385"/>
    <mergeCell ref="P1385:R1385"/>
    <mergeCell ref="S1385:V1385"/>
    <mergeCell ref="AG1391:AK1391"/>
    <mergeCell ref="B1392:D1392"/>
    <mergeCell ref="E1392:H1392"/>
    <mergeCell ref="J1392:L1392"/>
    <mergeCell ref="M1392:O1392"/>
    <mergeCell ref="P1392:R1392"/>
    <mergeCell ref="S1392:V1392"/>
    <mergeCell ref="W1392:Z1392"/>
    <mergeCell ref="AA1392:AF1392"/>
    <mergeCell ref="AG1392:AK1392"/>
    <mergeCell ref="AA1390:AF1390"/>
    <mergeCell ref="AG1390:AK1390"/>
    <mergeCell ref="B1391:D1391"/>
    <mergeCell ref="E1391:H1391"/>
    <mergeCell ref="J1391:L1391"/>
    <mergeCell ref="M1391:O1391"/>
    <mergeCell ref="P1391:R1391"/>
    <mergeCell ref="S1391:V1391"/>
    <mergeCell ref="W1391:Z1391"/>
    <mergeCell ref="AA1391:AF1391"/>
    <mergeCell ref="W1389:Z1389"/>
    <mergeCell ref="AA1389:AF1389"/>
    <mergeCell ref="AG1389:AK1389"/>
    <mergeCell ref="B1390:D1390"/>
    <mergeCell ref="E1390:H1390"/>
    <mergeCell ref="J1390:L1390"/>
    <mergeCell ref="M1390:O1390"/>
    <mergeCell ref="P1390:R1390"/>
    <mergeCell ref="S1390:V1390"/>
    <mergeCell ref="W1390:Z1390"/>
    <mergeCell ref="B1389:D1389"/>
    <mergeCell ref="E1389:H1389"/>
    <mergeCell ref="J1389:L1389"/>
    <mergeCell ref="M1389:O1389"/>
    <mergeCell ref="P1389:R1389"/>
    <mergeCell ref="S1389:V1389"/>
    <mergeCell ref="AG1395:AK1395"/>
    <mergeCell ref="B1396:D1396"/>
    <mergeCell ref="E1396:H1396"/>
    <mergeCell ref="J1396:L1396"/>
    <mergeCell ref="M1396:O1396"/>
    <mergeCell ref="P1396:R1396"/>
    <mergeCell ref="S1396:V1396"/>
    <mergeCell ref="W1396:Z1396"/>
    <mergeCell ref="AA1396:AF1396"/>
    <mergeCell ref="AG1396:AK1396"/>
    <mergeCell ref="AA1394:AF1394"/>
    <mergeCell ref="AG1394:AK1394"/>
    <mergeCell ref="B1395:D1395"/>
    <mergeCell ref="E1395:H1395"/>
    <mergeCell ref="J1395:L1395"/>
    <mergeCell ref="M1395:O1395"/>
    <mergeCell ref="P1395:R1395"/>
    <mergeCell ref="S1395:V1395"/>
    <mergeCell ref="W1395:Z1395"/>
    <mergeCell ref="AA1395:AF1395"/>
    <mergeCell ref="W1393:Z1393"/>
    <mergeCell ref="AA1393:AF1393"/>
    <mergeCell ref="AG1393:AK1393"/>
    <mergeCell ref="B1394:D1394"/>
    <mergeCell ref="E1394:H1394"/>
    <mergeCell ref="J1394:L1394"/>
    <mergeCell ref="M1394:O1394"/>
    <mergeCell ref="P1394:R1394"/>
    <mergeCell ref="S1394:V1394"/>
    <mergeCell ref="W1394:Z1394"/>
    <mergeCell ref="B1393:D1393"/>
    <mergeCell ref="E1393:H1393"/>
    <mergeCell ref="J1393:L1393"/>
    <mergeCell ref="M1393:O1393"/>
    <mergeCell ref="P1393:R1393"/>
    <mergeCell ref="S1393:V1393"/>
    <mergeCell ref="AG1399:AK1399"/>
    <mergeCell ref="B1400:D1400"/>
    <mergeCell ref="E1400:H1400"/>
    <mergeCell ref="J1400:L1400"/>
    <mergeCell ref="M1400:O1400"/>
    <mergeCell ref="P1400:R1400"/>
    <mergeCell ref="S1400:V1400"/>
    <mergeCell ref="W1400:Z1400"/>
    <mergeCell ref="AA1400:AF1400"/>
    <mergeCell ref="AG1400:AK1400"/>
    <mergeCell ref="AA1398:AF1398"/>
    <mergeCell ref="AG1398:AK1398"/>
    <mergeCell ref="B1399:D1399"/>
    <mergeCell ref="E1399:H1399"/>
    <mergeCell ref="J1399:L1399"/>
    <mergeCell ref="M1399:O1399"/>
    <mergeCell ref="P1399:R1399"/>
    <mergeCell ref="S1399:V1399"/>
    <mergeCell ref="W1399:Z1399"/>
    <mergeCell ref="AA1399:AF1399"/>
    <mergeCell ref="W1397:Z1397"/>
    <mergeCell ref="AA1397:AF1397"/>
    <mergeCell ref="AG1397:AK1397"/>
    <mergeCell ref="B1398:D1398"/>
    <mergeCell ref="E1398:H1398"/>
    <mergeCell ref="J1398:L1398"/>
    <mergeCell ref="M1398:O1398"/>
    <mergeCell ref="P1398:R1398"/>
    <mergeCell ref="S1398:V1398"/>
    <mergeCell ref="W1398:Z1398"/>
    <mergeCell ref="B1397:D1397"/>
    <mergeCell ref="E1397:H1397"/>
    <mergeCell ref="J1397:L1397"/>
    <mergeCell ref="M1397:O1397"/>
    <mergeCell ref="P1397:R1397"/>
    <mergeCell ref="S1397:V1397"/>
    <mergeCell ref="AG1403:AK1403"/>
    <mergeCell ref="B1404:D1404"/>
    <mergeCell ref="E1404:H1404"/>
    <mergeCell ref="J1404:L1404"/>
    <mergeCell ref="M1404:O1404"/>
    <mergeCell ref="P1404:R1404"/>
    <mergeCell ref="S1404:V1404"/>
    <mergeCell ref="W1404:Z1404"/>
    <mergeCell ref="AA1404:AF1404"/>
    <mergeCell ref="AG1404:AK1404"/>
    <mergeCell ref="AA1402:AF1402"/>
    <mergeCell ref="AG1402:AK1402"/>
    <mergeCell ref="B1403:D1403"/>
    <mergeCell ref="E1403:H1403"/>
    <mergeCell ref="J1403:L1403"/>
    <mergeCell ref="M1403:O1403"/>
    <mergeCell ref="P1403:R1403"/>
    <mergeCell ref="S1403:V1403"/>
    <mergeCell ref="W1403:Z1403"/>
    <mergeCell ref="AA1403:AF1403"/>
    <mergeCell ref="W1401:Z1401"/>
    <mergeCell ref="AA1401:AF1401"/>
    <mergeCell ref="AG1401:AK1401"/>
    <mergeCell ref="B1402:D1402"/>
    <mergeCell ref="E1402:H1402"/>
    <mergeCell ref="J1402:L1402"/>
    <mergeCell ref="M1402:O1402"/>
    <mergeCell ref="P1402:R1402"/>
    <mergeCell ref="S1402:V1402"/>
    <mergeCell ref="W1402:Z1402"/>
    <mergeCell ref="B1401:D1401"/>
    <mergeCell ref="E1401:H1401"/>
    <mergeCell ref="J1401:L1401"/>
    <mergeCell ref="M1401:O1401"/>
    <mergeCell ref="P1401:R1401"/>
    <mergeCell ref="S1401:V1401"/>
    <mergeCell ref="AG1408:AK1408"/>
    <mergeCell ref="B1409:D1409"/>
    <mergeCell ref="E1409:H1409"/>
    <mergeCell ref="J1409:L1410"/>
    <mergeCell ref="M1409:O1409"/>
    <mergeCell ref="P1409:R1409"/>
    <mergeCell ref="S1409:V1409"/>
    <mergeCell ref="W1409:Z1409"/>
    <mergeCell ref="AA1409:AF1409"/>
    <mergeCell ref="AG1409:AK1409"/>
    <mergeCell ref="AA1407:AF1407"/>
    <mergeCell ref="AG1407:AK1407"/>
    <mergeCell ref="B1408:D1408"/>
    <mergeCell ref="E1408:H1408"/>
    <mergeCell ref="J1408:L1408"/>
    <mergeCell ref="M1408:O1408"/>
    <mergeCell ref="P1408:R1408"/>
    <mergeCell ref="S1408:V1408"/>
    <mergeCell ref="W1408:Z1408"/>
    <mergeCell ref="AA1408:AF1408"/>
    <mergeCell ref="W1405:Z1405"/>
    <mergeCell ref="AA1405:AF1405"/>
    <mergeCell ref="AG1405:AK1405"/>
    <mergeCell ref="B1407:D1407"/>
    <mergeCell ref="E1407:H1407"/>
    <mergeCell ref="J1407:L1407"/>
    <mergeCell ref="M1407:O1407"/>
    <mergeCell ref="P1407:R1407"/>
    <mergeCell ref="S1407:V1407"/>
    <mergeCell ref="W1407:Z1407"/>
    <mergeCell ref="B1405:D1405"/>
    <mergeCell ref="E1405:H1405"/>
    <mergeCell ref="J1405:L1406"/>
    <mergeCell ref="M1405:O1405"/>
    <mergeCell ref="P1405:R1405"/>
    <mergeCell ref="S1405:V1405"/>
    <mergeCell ref="AG1413:AK1413"/>
    <mergeCell ref="B1415:D1415"/>
    <mergeCell ref="E1415:H1415"/>
    <mergeCell ref="J1415:L1415"/>
    <mergeCell ref="M1415:O1415"/>
    <mergeCell ref="P1415:R1415"/>
    <mergeCell ref="S1415:V1415"/>
    <mergeCell ref="W1415:Z1415"/>
    <mergeCell ref="AA1415:AF1415"/>
    <mergeCell ref="AG1415:AK1415"/>
    <mergeCell ref="AA1412:AF1412"/>
    <mergeCell ref="AG1412:AK1412"/>
    <mergeCell ref="B1413:D1413"/>
    <mergeCell ref="E1413:H1413"/>
    <mergeCell ref="J1413:L1414"/>
    <mergeCell ref="M1413:O1413"/>
    <mergeCell ref="P1413:R1413"/>
    <mergeCell ref="S1413:V1413"/>
    <mergeCell ref="W1413:Z1413"/>
    <mergeCell ref="AA1413:AF1413"/>
    <mergeCell ref="W1411:Z1411"/>
    <mergeCell ref="AA1411:AF1411"/>
    <mergeCell ref="AG1411:AK1411"/>
    <mergeCell ref="B1412:D1412"/>
    <mergeCell ref="E1412:H1412"/>
    <mergeCell ref="J1412:L1412"/>
    <mergeCell ref="M1412:O1412"/>
    <mergeCell ref="P1412:R1412"/>
    <mergeCell ref="S1412:V1412"/>
    <mergeCell ref="W1412:Z1412"/>
    <mergeCell ref="B1411:D1411"/>
    <mergeCell ref="E1411:H1411"/>
    <mergeCell ref="J1411:L1411"/>
    <mergeCell ref="M1411:O1411"/>
    <mergeCell ref="P1411:R1411"/>
    <mergeCell ref="S1411:V1411"/>
    <mergeCell ref="AG1419:AK1419"/>
    <mergeCell ref="B1420:D1420"/>
    <mergeCell ref="E1420:H1420"/>
    <mergeCell ref="J1420:L1420"/>
    <mergeCell ref="M1420:O1420"/>
    <mergeCell ref="P1420:R1420"/>
    <mergeCell ref="S1420:V1420"/>
    <mergeCell ref="W1420:Z1420"/>
    <mergeCell ref="AA1420:AF1420"/>
    <mergeCell ref="AG1420:AK1420"/>
    <mergeCell ref="AA1417:AF1417"/>
    <mergeCell ref="AG1417:AK1417"/>
    <mergeCell ref="B1419:D1419"/>
    <mergeCell ref="E1419:H1419"/>
    <mergeCell ref="J1419:L1419"/>
    <mergeCell ref="M1419:O1419"/>
    <mergeCell ref="P1419:R1419"/>
    <mergeCell ref="S1419:V1419"/>
    <mergeCell ref="W1419:Z1419"/>
    <mergeCell ref="AA1419:AF1419"/>
    <mergeCell ref="W1416:Z1416"/>
    <mergeCell ref="AA1416:AF1416"/>
    <mergeCell ref="AG1416:AK1416"/>
    <mergeCell ref="B1417:D1417"/>
    <mergeCell ref="E1417:H1417"/>
    <mergeCell ref="J1417:L1418"/>
    <mergeCell ref="M1417:O1417"/>
    <mergeCell ref="P1417:R1417"/>
    <mergeCell ref="S1417:V1417"/>
    <mergeCell ref="W1417:Z1417"/>
    <mergeCell ref="B1416:D1416"/>
    <mergeCell ref="E1416:H1416"/>
    <mergeCell ref="J1416:L1416"/>
    <mergeCell ref="M1416:O1416"/>
    <mergeCell ref="P1416:R1416"/>
    <mergeCell ref="S1416:V1416"/>
    <mergeCell ref="AG1424:AK1424"/>
    <mergeCell ref="B1425:D1425"/>
    <mergeCell ref="E1425:H1425"/>
    <mergeCell ref="J1425:L1425"/>
    <mergeCell ref="M1425:O1425"/>
    <mergeCell ref="P1425:R1425"/>
    <mergeCell ref="S1425:V1425"/>
    <mergeCell ref="W1425:Z1425"/>
    <mergeCell ref="AA1425:AF1425"/>
    <mergeCell ref="AG1425:AK1425"/>
    <mergeCell ref="AA1423:AF1423"/>
    <mergeCell ref="AG1423:AK1423"/>
    <mergeCell ref="B1424:D1424"/>
    <mergeCell ref="E1424:H1424"/>
    <mergeCell ref="J1424:L1424"/>
    <mergeCell ref="M1424:O1424"/>
    <mergeCell ref="P1424:R1424"/>
    <mergeCell ref="S1424:V1424"/>
    <mergeCell ref="W1424:Z1424"/>
    <mergeCell ref="AA1424:AF1424"/>
    <mergeCell ref="W1421:Z1421"/>
    <mergeCell ref="AA1421:AF1421"/>
    <mergeCell ref="AG1421:AK1421"/>
    <mergeCell ref="B1423:D1423"/>
    <mergeCell ref="E1423:H1423"/>
    <mergeCell ref="J1423:L1423"/>
    <mergeCell ref="M1423:O1423"/>
    <mergeCell ref="P1423:R1423"/>
    <mergeCell ref="S1423:V1423"/>
    <mergeCell ref="W1423:Z1423"/>
    <mergeCell ref="B1421:D1421"/>
    <mergeCell ref="E1421:H1421"/>
    <mergeCell ref="J1421:L1422"/>
    <mergeCell ref="M1421:O1421"/>
    <mergeCell ref="P1421:R1421"/>
    <mergeCell ref="S1421:V1421"/>
    <mergeCell ref="AG1428:AK1428"/>
    <mergeCell ref="B1429:D1429"/>
    <mergeCell ref="E1429:H1429"/>
    <mergeCell ref="J1429:L1429"/>
    <mergeCell ref="M1429:O1429"/>
    <mergeCell ref="P1429:R1429"/>
    <mergeCell ref="S1429:V1429"/>
    <mergeCell ref="W1429:Z1429"/>
    <mergeCell ref="AA1429:AF1429"/>
    <mergeCell ref="AG1429:AK1429"/>
    <mergeCell ref="AA1427:AF1427"/>
    <mergeCell ref="AG1427:AK1427"/>
    <mergeCell ref="B1428:D1428"/>
    <mergeCell ref="E1428:H1428"/>
    <mergeCell ref="J1428:L1428"/>
    <mergeCell ref="M1428:O1428"/>
    <mergeCell ref="P1428:R1428"/>
    <mergeCell ref="S1428:V1428"/>
    <mergeCell ref="W1428:Z1428"/>
    <mergeCell ref="AA1428:AF1428"/>
    <mergeCell ref="W1426:Z1426"/>
    <mergeCell ref="AA1426:AF1426"/>
    <mergeCell ref="AG1426:AK1426"/>
    <mergeCell ref="B1427:D1427"/>
    <mergeCell ref="E1427:H1427"/>
    <mergeCell ref="J1427:L1427"/>
    <mergeCell ref="M1427:O1427"/>
    <mergeCell ref="P1427:R1427"/>
    <mergeCell ref="S1427:V1427"/>
    <mergeCell ref="W1427:Z1427"/>
    <mergeCell ref="B1426:D1426"/>
    <mergeCell ref="E1426:H1426"/>
    <mergeCell ref="J1426:L1426"/>
    <mergeCell ref="M1426:O1426"/>
    <mergeCell ref="P1426:R1426"/>
    <mergeCell ref="S1426:V1426"/>
    <mergeCell ref="C1438:J1439"/>
    <mergeCell ref="K1438:X1438"/>
    <mergeCell ref="Y1438:AG1439"/>
    <mergeCell ref="AH1438:AL1439"/>
    <mergeCell ref="K1439:X1439"/>
    <mergeCell ref="C1440:F1440"/>
    <mergeCell ref="G1440:AE1441"/>
    <mergeCell ref="AF1440:AG1441"/>
    <mergeCell ref="AH1440:AI1441"/>
    <mergeCell ref="AA1431:AF1431"/>
    <mergeCell ref="AG1431:AK1431"/>
    <mergeCell ref="AG1433:AL1433"/>
    <mergeCell ref="D1434:AH1434"/>
    <mergeCell ref="A1435:I1437"/>
    <mergeCell ref="J1435:AH1435"/>
    <mergeCell ref="J1436:AF1436"/>
    <mergeCell ref="J1437:AE1437"/>
    <mergeCell ref="W1430:Z1430"/>
    <mergeCell ref="AA1430:AF1430"/>
    <mergeCell ref="AG1430:AK1430"/>
    <mergeCell ref="B1431:D1431"/>
    <mergeCell ref="E1431:H1431"/>
    <mergeCell ref="J1431:L1431"/>
    <mergeCell ref="M1431:O1431"/>
    <mergeCell ref="P1431:R1431"/>
    <mergeCell ref="S1431:V1431"/>
    <mergeCell ref="W1431:Z1431"/>
    <mergeCell ref="B1430:D1430"/>
    <mergeCell ref="E1430:H1430"/>
    <mergeCell ref="J1430:L1430"/>
    <mergeCell ref="M1430:O1430"/>
    <mergeCell ref="P1430:R1430"/>
    <mergeCell ref="S1430:V1430"/>
    <mergeCell ref="W1445:Z1445"/>
    <mergeCell ref="AA1445:AF1445"/>
    <mergeCell ref="AG1445:AK1445"/>
    <mergeCell ref="B1446:D1446"/>
    <mergeCell ref="E1446:H1446"/>
    <mergeCell ref="J1446:L1446"/>
    <mergeCell ref="M1446:O1446"/>
    <mergeCell ref="P1446:R1446"/>
    <mergeCell ref="S1446:V1446"/>
    <mergeCell ref="W1446:Z1446"/>
    <mergeCell ref="B1445:D1445"/>
    <mergeCell ref="E1445:H1445"/>
    <mergeCell ref="J1445:L1445"/>
    <mergeCell ref="M1445:O1445"/>
    <mergeCell ref="P1445:R1445"/>
    <mergeCell ref="S1445:V1445"/>
    <mergeCell ref="AH1443:AK1443"/>
    <mergeCell ref="B1444:D1444"/>
    <mergeCell ref="E1444:H1444"/>
    <mergeCell ref="J1444:L1444"/>
    <mergeCell ref="M1444:O1444"/>
    <mergeCell ref="P1444:R1444"/>
    <mergeCell ref="S1444:V1444"/>
    <mergeCell ref="W1444:Z1444"/>
    <mergeCell ref="AA1444:AF1444"/>
    <mergeCell ref="AG1444:AK1444"/>
    <mergeCell ref="O1442:Q1442"/>
    <mergeCell ref="V1442:Y1442"/>
    <mergeCell ref="AD1442:AJ1442"/>
    <mergeCell ref="B1443:D1443"/>
    <mergeCell ref="E1443:G1443"/>
    <mergeCell ref="J1443:N1443"/>
    <mergeCell ref="Q1443:R1443"/>
    <mergeCell ref="U1443:V1443"/>
    <mergeCell ref="X1443:Z1443"/>
    <mergeCell ref="AC1443:AF1443"/>
    <mergeCell ref="W1449:Z1449"/>
    <mergeCell ref="AA1449:AF1449"/>
    <mergeCell ref="AG1449:AK1449"/>
    <mergeCell ref="B1450:D1450"/>
    <mergeCell ref="E1450:H1450"/>
    <mergeCell ref="J1450:L1450"/>
    <mergeCell ref="M1450:O1450"/>
    <mergeCell ref="P1450:R1450"/>
    <mergeCell ref="S1450:V1450"/>
    <mergeCell ref="W1450:Z1450"/>
    <mergeCell ref="B1449:D1449"/>
    <mergeCell ref="E1449:H1449"/>
    <mergeCell ref="J1449:L1449"/>
    <mergeCell ref="M1449:O1449"/>
    <mergeCell ref="P1449:R1449"/>
    <mergeCell ref="S1449:V1449"/>
    <mergeCell ref="AG1447:AK1447"/>
    <mergeCell ref="B1448:D1448"/>
    <mergeCell ref="E1448:H1448"/>
    <mergeCell ref="J1448:L1448"/>
    <mergeCell ref="M1448:O1448"/>
    <mergeCell ref="P1448:R1448"/>
    <mergeCell ref="S1448:V1448"/>
    <mergeCell ref="W1448:Z1448"/>
    <mergeCell ref="AA1448:AF1448"/>
    <mergeCell ref="AG1448:AK1448"/>
    <mergeCell ref="AA1446:AF1446"/>
    <mergeCell ref="AG1446:AK1446"/>
    <mergeCell ref="B1447:D1447"/>
    <mergeCell ref="E1447:H1447"/>
    <mergeCell ref="J1447:L1447"/>
    <mergeCell ref="M1447:O1447"/>
    <mergeCell ref="P1447:R1447"/>
    <mergeCell ref="S1447:V1447"/>
    <mergeCell ref="W1447:Z1447"/>
    <mergeCell ref="AA1447:AF1447"/>
    <mergeCell ref="W1453:Z1453"/>
    <mergeCell ref="AA1453:AF1453"/>
    <mergeCell ref="AG1453:AK1453"/>
    <mergeCell ref="B1454:D1454"/>
    <mergeCell ref="E1454:H1454"/>
    <mergeCell ref="J1454:L1454"/>
    <mergeCell ref="M1454:O1454"/>
    <mergeCell ref="P1454:R1454"/>
    <mergeCell ref="S1454:V1454"/>
    <mergeCell ref="W1454:Z1454"/>
    <mergeCell ref="B1453:D1453"/>
    <mergeCell ref="E1453:H1453"/>
    <mergeCell ref="J1453:L1453"/>
    <mergeCell ref="M1453:O1453"/>
    <mergeCell ref="P1453:R1453"/>
    <mergeCell ref="S1453:V1453"/>
    <mergeCell ref="AG1451:AK1451"/>
    <mergeCell ref="B1452:D1452"/>
    <mergeCell ref="E1452:H1452"/>
    <mergeCell ref="J1452:L1452"/>
    <mergeCell ref="M1452:O1452"/>
    <mergeCell ref="P1452:R1452"/>
    <mergeCell ref="S1452:V1452"/>
    <mergeCell ref="W1452:Z1452"/>
    <mergeCell ref="AA1452:AF1452"/>
    <mergeCell ref="AG1452:AK1452"/>
    <mergeCell ref="AA1450:AF1450"/>
    <mergeCell ref="AG1450:AK1450"/>
    <mergeCell ref="B1451:D1451"/>
    <mergeCell ref="E1451:H1451"/>
    <mergeCell ref="J1451:L1451"/>
    <mergeCell ref="M1451:O1451"/>
    <mergeCell ref="P1451:R1451"/>
    <mergeCell ref="S1451:V1451"/>
    <mergeCell ref="W1451:Z1451"/>
    <mergeCell ref="AA1451:AF1451"/>
    <mergeCell ref="W1457:Z1457"/>
    <mergeCell ref="AA1457:AF1457"/>
    <mergeCell ref="AG1457:AK1457"/>
    <mergeCell ref="B1458:D1458"/>
    <mergeCell ref="E1458:H1458"/>
    <mergeCell ref="J1458:L1458"/>
    <mergeCell ref="M1458:O1458"/>
    <mergeCell ref="P1458:R1458"/>
    <mergeCell ref="S1458:V1458"/>
    <mergeCell ref="W1458:Z1458"/>
    <mergeCell ref="B1457:D1457"/>
    <mergeCell ref="E1457:H1457"/>
    <mergeCell ref="J1457:L1457"/>
    <mergeCell ref="M1457:O1457"/>
    <mergeCell ref="P1457:R1457"/>
    <mergeCell ref="S1457:V1457"/>
    <mergeCell ref="AG1455:AK1455"/>
    <mergeCell ref="B1456:D1456"/>
    <mergeCell ref="E1456:H1456"/>
    <mergeCell ref="J1456:L1456"/>
    <mergeCell ref="M1456:O1456"/>
    <mergeCell ref="P1456:R1456"/>
    <mergeCell ref="S1456:V1456"/>
    <mergeCell ref="W1456:Z1456"/>
    <mergeCell ref="AA1456:AF1456"/>
    <mergeCell ref="AG1456:AK1456"/>
    <mergeCell ref="AA1454:AF1454"/>
    <mergeCell ref="AG1454:AK1454"/>
    <mergeCell ref="B1455:D1455"/>
    <mergeCell ref="E1455:H1455"/>
    <mergeCell ref="J1455:L1455"/>
    <mergeCell ref="M1455:O1455"/>
    <mergeCell ref="P1455:R1455"/>
    <mergeCell ref="S1455:V1455"/>
    <mergeCell ref="W1455:Z1455"/>
    <mergeCell ref="AA1455:AF1455"/>
    <mergeCell ref="W1461:Z1461"/>
    <mergeCell ref="AA1461:AF1461"/>
    <mergeCell ref="AG1461:AK1461"/>
    <mergeCell ref="B1462:D1462"/>
    <mergeCell ref="E1462:H1462"/>
    <mergeCell ref="J1462:L1462"/>
    <mergeCell ref="M1462:O1462"/>
    <mergeCell ref="P1462:R1462"/>
    <mergeCell ref="S1462:V1462"/>
    <mergeCell ref="W1462:Z1462"/>
    <mergeCell ref="B1461:D1461"/>
    <mergeCell ref="E1461:H1461"/>
    <mergeCell ref="J1461:L1461"/>
    <mergeCell ref="M1461:O1461"/>
    <mergeCell ref="P1461:R1461"/>
    <mergeCell ref="S1461:V1461"/>
    <mergeCell ref="AG1459:AK1459"/>
    <mergeCell ref="B1460:D1460"/>
    <mergeCell ref="E1460:H1460"/>
    <mergeCell ref="J1460:L1460"/>
    <mergeCell ref="M1460:O1460"/>
    <mergeCell ref="P1460:R1460"/>
    <mergeCell ref="S1460:V1460"/>
    <mergeCell ref="W1460:Z1460"/>
    <mergeCell ref="AA1460:AF1460"/>
    <mergeCell ref="AG1460:AK1460"/>
    <mergeCell ref="AA1458:AF1458"/>
    <mergeCell ref="AG1458:AK1458"/>
    <mergeCell ref="B1459:D1459"/>
    <mergeCell ref="E1459:H1459"/>
    <mergeCell ref="J1459:L1459"/>
    <mergeCell ref="M1459:O1459"/>
    <mergeCell ref="P1459:R1459"/>
    <mergeCell ref="S1459:V1459"/>
    <mergeCell ref="W1459:Z1459"/>
    <mergeCell ref="AA1459:AF1459"/>
    <mergeCell ref="W1465:Z1465"/>
    <mergeCell ref="AA1465:AF1465"/>
    <mergeCell ref="AG1465:AK1465"/>
    <mergeCell ref="B1466:D1466"/>
    <mergeCell ref="E1466:H1466"/>
    <mergeCell ref="J1466:L1466"/>
    <mergeCell ref="M1466:O1466"/>
    <mergeCell ref="P1466:R1466"/>
    <mergeCell ref="S1466:V1466"/>
    <mergeCell ref="W1466:Z1466"/>
    <mergeCell ref="B1465:D1465"/>
    <mergeCell ref="E1465:H1465"/>
    <mergeCell ref="J1465:L1465"/>
    <mergeCell ref="M1465:O1465"/>
    <mergeCell ref="P1465:R1465"/>
    <mergeCell ref="S1465:V1465"/>
    <mergeCell ref="AG1463:AK1463"/>
    <mergeCell ref="B1464:D1464"/>
    <mergeCell ref="E1464:H1464"/>
    <mergeCell ref="J1464:L1464"/>
    <mergeCell ref="M1464:O1464"/>
    <mergeCell ref="P1464:R1464"/>
    <mergeCell ref="S1464:V1464"/>
    <mergeCell ref="W1464:Z1464"/>
    <mergeCell ref="AA1464:AF1464"/>
    <mergeCell ref="AG1464:AK1464"/>
    <mergeCell ref="AA1462:AF1462"/>
    <mergeCell ref="AG1462:AK1462"/>
    <mergeCell ref="B1463:D1463"/>
    <mergeCell ref="E1463:H1463"/>
    <mergeCell ref="J1463:L1463"/>
    <mergeCell ref="M1463:O1463"/>
    <mergeCell ref="P1463:R1463"/>
    <mergeCell ref="S1463:V1463"/>
    <mergeCell ref="W1463:Z1463"/>
    <mergeCell ref="AA1463:AF1463"/>
    <mergeCell ref="W1470:Z1470"/>
    <mergeCell ref="AA1470:AF1470"/>
    <mergeCell ref="AG1470:AK1470"/>
    <mergeCell ref="B1471:D1471"/>
    <mergeCell ref="E1471:H1471"/>
    <mergeCell ref="J1471:L1472"/>
    <mergeCell ref="M1471:O1471"/>
    <mergeCell ref="P1471:R1471"/>
    <mergeCell ref="S1471:V1471"/>
    <mergeCell ref="W1471:Z1471"/>
    <mergeCell ref="B1470:D1470"/>
    <mergeCell ref="E1470:H1470"/>
    <mergeCell ref="J1470:L1470"/>
    <mergeCell ref="M1470:O1470"/>
    <mergeCell ref="P1470:R1470"/>
    <mergeCell ref="S1470:V1470"/>
    <mergeCell ref="AG1467:AK1467"/>
    <mergeCell ref="B1468:D1468"/>
    <mergeCell ref="E1468:H1468"/>
    <mergeCell ref="J1468:L1469"/>
    <mergeCell ref="M1468:O1468"/>
    <mergeCell ref="P1468:R1468"/>
    <mergeCell ref="S1468:V1468"/>
    <mergeCell ref="W1468:Z1468"/>
    <mergeCell ref="AA1468:AF1468"/>
    <mergeCell ref="AG1468:AK1468"/>
    <mergeCell ref="AA1466:AF1466"/>
    <mergeCell ref="AG1466:AK1466"/>
    <mergeCell ref="B1467:D1467"/>
    <mergeCell ref="E1467:H1467"/>
    <mergeCell ref="J1467:L1467"/>
    <mergeCell ref="M1467:O1467"/>
    <mergeCell ref="P1467:R1467"/>
    <mergeCell ref="S1467:V1467"/>
    <mergeCell ref="W1467:Z1467"/>
    <mergeCell ref="AA1467:AF1467"/>
    <mergeCell ref="W1475:Z1475"/>
    <mergeCell ref="AA1475:AF1475"/>
    <mergeCell ref="AG1475:AK1475"/>
    <mergeCell ref="B1476:D1476"/>
    <mergeCell ref="E1476:H1476"/>
    <mergeCell ref="J1476:L1476"/>
    <mergeCell ref="M1476:O1476"/>
    <mergeCell ref="P1476:R1476"/>
    <mergeCell ref="S1476:V1476"/>
    <mergeCell ref="W1476:Z1476"/>
    <mergeCell ref="B1475:D1475"/>
    <mergeCell ref="E1475:H1475"/>
    <mergeCell ref="J1475:L1475"/>
    <mergeCell ref="M1475:O1475"/>
    <mergeCell ref="P1475:R1475"/>
    <mergeCell ref="S1475:V1475"/>
    <mergeCell ref="AG1473:AK1473"/>
    <mergeCell ref="B1474:D1474"/>
    <mergeCell ref="E1474:H1474"/>
    <mergeCell ref="J1474:L1474"/>
    <mergeCell ref="M1474:O1474"/>
    <mergeCell ref="P1474:R1474"/>
    <mergeCell ref="S1474:V1474"/>
    <mergeCell ref="W1474:Z1474"/>
    <mergeCell ref="AA1474:AF1474"/>
    <mergeCell ref="AG1474:AK1474"/>
    <mergeCell ref="AA1471:AF1471"/>
    <mergeCell ref="AG1471:AK1471"/>
    <mergeCell ref="B1473:D1473"/>
    <mergeCell ref="E1473:H1473"/>
    <mergeCell ref="J1473:L1473"/>
    <mergeCell ref="M1473:O1473"/>
    <mergeCell ref="P1473:R1473"/>
    <mergeCell ref="S1473:V1473"/>
    <mergeCell ref="W1473:Z1473"/>
    <mergeCell ref="AA1473:AF1473"/>
    <mergeCell ref="W1479:Z1479"/>
    <mergeCell ref="AA1479:AF1479"/>
    <mergeCell ref="AG1479:AK1479"/>
    <mergeCell ref="B1480:D1480"/>
    <mergeCell ref="E1480:H1480"/>
    <mergeCell ref="J1480:L1480"/>
    <mergeCell ref="M1480:O1480"/>
    <mergeCell ref="P1480:R1480"/>
    <mergeCell ref="S1480:V1480"/>
    <mergeCell ref="W1480:Z1480"/>
    <mergeCell ref="B1479:D1479"/>
    <mergeCell ref="E1479:H1479"/>
    <mergeCell ref="J1479:L1479"/>
    <mergeCell ref="M1479:O1479"/>
    <mergeCell ref="P1479:R1479"/>
    <mergeCell ref="S1479:V1479"/>
    <mergeCell ref="AG1477:AK1477"/>
    <mergeCell ref="B1478:D1478"/>
    <mergeCell ref="E1478:H1478"/>
    <mergeCell ref="J1478:L1478"/>
    <mergeCell ref="M1478:O1478"/>
    <mergeCell ref="P1478:R1478"/>
    <mergeCell ref="S1478:V1478"/>
    <mergeCell ref="W1478:Z1478"/>
    <mergeCell ref="AA1478:AF1478"/>
    <mergeCell ref="AG1478:AK1478"/>
    <mergeCell ref="AA1476:AF1476"/>
    <mergeCell ref="AG1476:AK1476"/>
    <mergeCell ref="B1477:D1477"/>
    <mergeCell ref="E1477:H1477"/>
    <mergeCell ref="J1477:L1477"/>
    <mergeCell ref="M1477:O1477"/>
    <mergeCell ref="P1477:R1477"/>
    <mergeCell ref="S1477:V1477"/>
    <mergeCell ref="W1477:Z1477"/>
    <mergeCell ref="AA1477:AF1477"/>
    <mergeCell ref="W1484:Z1484"/>
    <mergeCell ref="AA1484:AF1484"/>
    <mergeCell ref="AG1484:AK1484"/>
    <mergeCell ref="B1485:D1485"/>
    <mergeCell ref="E1485:H1485"/>
    <mergeCell ref="J1485:L1485"/>
    <mergeCell ref="M1485:O1485"/>
    <mergeCell ref="P1485:R1485"/>
    <mergeCell ref="S1485:V1485"/>
    <mergeCell ref="W1485:Z1485"/>
    <mergeCell ref="B1484:D1484"/>
    <mergeCell ref="E1484:H1484"/>
    <mergeCell ref="J1484:L1484"/>
    <mergeCell ref="M1484:O1484"/>
    <mergeCell ref="P1484:R1484"/>
    <mergeCell ref="S1484:V1484"/>
    <mergeCell ref="AG1481:AK1481"/>
    <mergeCell ref="B1482:D1482"/>
    <mergeCell ref="E1482:H1482"/>
    <mergeCell ref="J1482:L1483"/>
    <mergeCell ref="M1482:O1482"/>
    <mergeCell ref="P1482:R1482"/>
    <mergeCell ref="S1482:V1482"/>
    <mergeCell ref="W1482:Z1482"/>
    <mergeCell ref="AA1482:AF1482"/>
    <mergeCell ref="AG1482:AK1482"/>
    <mergeCell ref="AA1480:AF1480"/>
    <mergeCell ref="AG1480:AK1480"/>
    <mergeCell ref="B1481:D1481"/>
    <mergeCell ref="E1481:H1481"/>
    <mergeCell ref="J1481:L1481"/>
    <mergeCell ref="M1481:O1481"/>
    <mergeCell ref="P1481:R1481"/>
    <mergeCell ref="S1481:V1481"/>
    <mergeCell ref="W1481:Z1481"/>
    <mergeCell ref="AA1481:AF1481"/>
    <mergeCell ref="W1488:Z1488"/>
    <mergeCell ref="AA1488:AF1488"/>
    <mergeCell ref="AG1488:AK1488"/>
    <mergeCell ref="B1489:D1489"/>
    <mergeCell ref="E1489:H1489"/>
    <mergeCell ref="J1489:L1489"/>
    <mergeCell ref="M1489:O1489"/>
    <mergeCell ref="P1489:R1489"/>
    <mergeCell ref="S1489:V1489"/>
    <mergeCell ref="W1489:Z1489"/>
    <mergeCell ref="B1488:D1488"/>
    <mergeCell ref="E1488:H1488"/>
    <mergeCell ref="J1488:L1488"/>
    <mergeCell ref="M1488:O1488"/>
    <mergeCell ref="P1488:R1488"/>
    <mergeCell ref="S1488:V1488"/>
    <mergeCell ref="AG1486:AK1486"/>
    <mergeCell ref="B1487:D1487"/>
    <mergeCell ref="E1487:H1487"/>
    <mergeCell ref="J1487:L1487"/>
    <mergeCell ref="M1487:O1487"/>
    <mergeCell ref="P1487:R1487"/>
    <mergeCell ref="S1487:V1487"/>
    <mergeCell ref="W1487:Z1487"/>
    <mergeCell ref="AA1487:AF1487"/>
    <mergeCell ref="AG1487:AK1487"/>
    <mergeCell ref="AA1485:AF1485"/>
    <mergeCell ref="AG1485:AK1485"/>
    <mergeCell ref="B1486:D1486"/>
    <mergeCell ref="E1486:H1486"/>
    <mergeCell ref="J1486:L1486"/>
    <mergeCell ref="M1486:O1486"/>
    <mergeCell ref="P1486:R1486"/>
    <mergeCell ref="S1486:V1486"/>
    <mergeCell ref="W1486:Z1486"/>
    <mergeCell ref="AA1486:AF1486"/>
    <mergeCell ref="C1498:J1499"/>
    <mergeCell ref="K1498:X1498"/>
    <mergeCell ref="Y1498:AG1499"/>
    <mergeCell ref="AH1498:AL1499"/>
    <mergeCell ref="K1499:X1499"/>
    <mergeCell ref="C1500:F1500"/>
    <mergeCell ref="G1500:AE1501"/>
    <mergeCell ref="AF1500:AG1501"/>
    <mergeCell ref="AH1500:AI1501"/>
    <mergeCell ref="AG1493:AL1493"/>
    <mergeCell ref="D1494:AH1494"/>
    <mergeCell ref="A1495:I1497"/>
    <mergeCell ref="J1495:AH1495"/>
    <mergeCell ref="J1496:AF1496"/>
    <mergeCell ref="J1497:AE1497"/>
    <mergeCell ref="AG1490:AK1490"/>
    <mergeCell ref="B1491:D1491"/>
    <mergeCell ref="E1491:H1491"/>
    <mergeCell ref="J1491:L1491"/>
    <mergeCell ref="M1491:O1491"/>
    <mergeCell ref="P1491:R1491"/>
    <mergeCell ref="S1491:V1491"/>
    <mergeCell ref="W1491:Z1491"/>
    <mergeCell ref="AA1491:AF1491"/>
    <mergeCell ref="AG1491:AK1491"/>
    <mergeCell ref="AA1489:AF1489"/>
    <mergeCell ref="AG1489:AK1489"/>
    <mergeCell ref="B1490:D1490"/>
    <mergeCell ref="E1490:H1490"/>
    <mergeCell ref="J1490:L1490"/>
    <mergeCell ref="M1490:O1490"/>
    <mergeCell ref="P1490:R1490"/>
    <mergeCell ref="S1490:V1490"/>
    <mergeCell ref="W1490:Z1490"/>
    <mergeCell ref="AA1490:AF1490"/>
    <mergeCell ref="W1505:Z1505"/>
    <mergeCell ref="AA1505:AF1505"/>
    <mergeCell ref="AG1505:AK1505"/>
    <mergeCell ref="B1506:D1506"/>
    <mergeCell ref="E1506:H1506"/>
    <mergeCell ref="J1506:L1506"/>
    <mergeCell ref="M1506:O1506"/>
    <mergeCell ref="P1506:R1506"/>
    <mergeCell ref="S1506:V1506"/>
    <mergeCell ref="W1506:Z1506"/>
    <mergeCell ref="B1505:D1505"/>
    <mergeCell ref="E1505:H1505"/>
    <mergeCell ref="J1505:L1505"/>
    <mergeCell ref="M1505:O1505"/>
    <mergeCell ref="P1505:R1505"/>
    <mergeCell ref="S1505:V1505"/>
    <mergeCell ref="AH1503:AK1503"/>
    <mergeCell ref="B1504:D1504"/>
    <mergeCell ref="E1504:H1504"/>
    <mergeCell ref="J1504:L1504"/>
    <mergeCell ref="M1504:O1504"/>
    <mergeCell ref="P1504:R1504"/>
    <mergeCell ref="S1504:V1504"/>
    <mergeCell ref="W1504:Z1504"/>
    <mergeCell ref="AA1504:AF1504"/>
    <mergeCell ref="AG1504:AK1504"/>
    <mergeCell ref="O1502:Q1502"/>
    <mergeCell ref="V1502:Y1502"/>
    <mergeCell ref="AD1502:AJ1502"/>
    <mergeCell ref="B1503:D1503"/>
    <mergeCell ref="E1503:G1503"/>
    <mergeCell ref="J1503:N1503"/>
    <mergeCell ref="Q1503:R1503"/>
    <mergeCell ref="U1503:V1503"/>
    <mergeCell ref="X1503:Z1503"/>
    <mergeCell ref="AC1503:AF1503"/>
    <mergeCell ref="W1509:Z1509"/>
    <mergeCell ref="AA1509:AF1509"/>
    <mergeCell ref="AG1509:AK1509"/>
    <mergeCell ref="B1510:D1510"/>
    <mergeCell ref="E1510:H1510"/>
    <mergeCell ref="J1510:L1510"/>
    <mergeCell ref="M1510:O1510"/>
    <mergeCell ref="P1510:R1510"/>
    <mergeCell ref="S1510:V1510"/>
    <mergeCell ref="W1510:Z1510"/>
    <mergeCell ref="B1509:D1509"/>
    <mergeCell ref="E1509:H1509"/>
    <mergeCell ref="J1509:L1509"/>
    <mergeCell ref="M1509:O1509"/>
    <mergeCell ref="P1509:R1509"/>
    <mergeCell ref="S1509:V1509"/>
    <mergeCell ref="AG1507:AK1507"/>
    <mergeCell ref="B1508:D1508"/>
    <mergeCell ref="E1508:H1508"/>
    <mergeCell ref="J1508:L1508"/>
    <mergeCell ref="M1508:O1508"/>
    <mergeCell ref="P1508:R1508"/>
    <mergeCell ref="S1508:V1508"/>
    <mergeCell ref="W1508:Z1508"/>
    <mergeCell ref="AA1508:AF1508"/>
    <mergeCell ref="AG1508:AK1508"/>
    <mergeCell ref="AA1506:AF1506"/>
    <mergeCell ref="AG1506:AK1506"/>
    <mergeCell ref="B1507:D1507"/>
    <mergeCell ref="E1507:H1507"/>
    <mergeCell ref="J1507:L1507"/>
    <mergeCell ref="M1507:O1507"/>
    <mergeCell ref="P1507:R1507"/>
    <mergeCell ref="S1507:V1507"/>
    <mergeCell ref="W1507:Z1507"/>
    <mergeCell ref="AA1507:AF1507"/>
    <mergeCell ref="W1513:Z1513"/>
    <mergeCell ref="AA1513:AF1513"/>
    <mergeCell ref="AG1513:AK1513"/>
    <mergeCell ref="B1514:D1514"/>
    <mergeCell ref="E1514:H1514"/>
    <mergeCell ref="J1514:L1514"/>
    <mergeCell ref="M1514:O1514"/>
    <mergeCell ref="P1514:R1514"/>
    <mergeCell ref="S1514:V1514"/>
    <mergeCell ref="W1514:Z1514"/>
    <mergeCell ref="B1513:D1513"/>
    <mergeCell ref="E1513:H1513"/>
    <mergeCell ref="J1513:L1513"/>
    <mergeCell ref="M1513:O1513"/>
    <mergeCell ref="P1513:R1513"/>
    <mergeCell ref="S1513:V1513"/>
    <mergeCell ref="AG1511:AK1511"/>
    <mergeCell ref="B1512:D1512"/>
    <mergeCell ref="E1512:H1512"/>
    <mergeCell ref="J1512:L1512"/>
    <mergeCell ref="M1512:O1512"/>
    <mergeCell ref="P1512:R1512"/>
    <mergeCell ref="S1512:V1512"/>
    <mergeCell ref="W1512:Z1512"/>
    <mergeCell ref="AA1512:AF1512"/>
    <mergeCell ref="AG1512:AK1512"/>
    <mergeCell ref="AA1510:AF1510"/>
    <mergeCell ref="AG1510:AK1510"/>
    <mergeCell ref="B1511:D1511"/>
    <mergeCell ref="E1511:H1511"/>
    <mergeCell ref="J1511:L1511"/>
    <mergeCell ref="M1511:O1511"/>
    <mergeCell ref="P1511:R1511"/>
    <mergeCell ref="S1511:V1511"/>
    <mergeCell ref="W1511:Z1511"/>
    <mergeCell ref="AA1511:AF1511"/>
    <mergeCell ref="W1518:Z1518"/>
    <mergeCell ref="AA1518:AF1518"/>
    <mergeCell ref="AG1518:AK1518"/>
    <mergeCell ref="B1519:D1519"/>
    <mergeCell ref="E1519:H1519"/>
    <mergeCell ref="J1519:L1519"/>
    <mergeCell ref="M1519:O1519"/>
    <mergeCell ref="P1519:R1519"/>
    <mergeCell ref="S1519:V1519"/>
    <mergeCell ref="W1519:Z1519"/>
    <mergeCell ref="B1518:D1518"/>
    <mergeCell ref="E1518:H1518"/>
    <mergeCell ref="J1518:L1518"/>
    <mergeCell ref="M1518:O1518"/>
    <mergeCell ref="P1518:R1518"/>
    <mergeCell ref="S1518:V1518"/>
    <mergeCell ref="AG1515:AK1515"/>
    <mergeCell ref="B1516:D1516"/>
    <mergeCell ref="E1516:H1516"/>
    <mergeCell ref="J1516:L1517"/>
    <mergeCell ref="M1516:O1516"/>
    <mergeCell ref="P1516:R1516"/>
    <mergeCell ref="S1516:V1516"/>
    <mergeCell ref="W1516:Z1516"/>
    <mergeCell ref="AA1516:AF1516"/>
    <mergeCell ref="AG1516:AK1516"/>
    <mergeCell ref="AA1514:AF1514"/>
    <mergeCell ref="AG1514:AK1514"/>
    <mergeCell ref="B1515:D1515"/>
    <mergeCell ref="E1515:H1515"/>
    <mergeCell ref="J1515:L1515"/>
    <mergeCell ref="M1515:O1515"/>
    <mergeCell ref="P1515:R1515"/>
    <mergeCell ref="S1515:V1515"/>
    <mergeCell ref="W1515:Z1515"/>
    <mergeCell ref="AA1515:AF1515"/>
    <mergeCell ref="W1523:Z1523"/>
    <mergeCell ref="AA1523:AF1523"/>
    <mergeCell ref="AG1523:AK1523"/>
    <mergeCell ref="B1524:D1524"/>
    <mergeCell ref="E1524:H1524"/>
    <mergeCell ref="J1524:L1525"/>
    <mergeCell ref="M1524:O1524"/>
    <mergeCell ref="P1524:R1524"/>
    <mergeCell ref="S1524:V1524"/>
    <mergeCell ref="W1524:Z1524"/>
    <mergeCell ref="B1523:D1523"/>
    <mergeCell ref="E1523:H1523"/>
    <mergeCell ref="J1523:L1523"/>
    <mergeCell ref="M1523:O1523"/>
    <mergeCell ref="P1523:R1523"/>
    <mergeCell ref="S1523:V1523"/>
    <mergeCell ref="AG1520:AK1520"/>
    <mergeCell ref="B1522:D1522"/>
    <mergeCell ref="E1522:H1522"/>
    <mergeCell ref="J1522:L1522"/>
    <mergeCell ref="M1522:O1522"/>
    <mergeCell ref="P1522:R1522"/>
    <mergeCell ref="S1522:V1522"/>
    <mergeCell ref="W1522:Z1522"/>
    <mergeCell ref="AA1522:AF1522"/>
    <mergeCell ref="AG1522:AK1522"/>
    <mergeCell ref="AA1519:AF1519"/>
    <mergeCell ref="AG1519:AK1519"/>
    <mergeCell ref="B1520:D1520"/>
    <mergeCell ref="E1520:H1520"/>
    <mergeCell ref="J1520:L1521"/>
    <mergeCell ref="M1520:O1520"/>
    <mergeCell ref="P1520:R1520"/>
    <mergeCell ref="S1520:V1520"/>
    <mergeCell ref="W1520:Z1520"/>
    <mergeCell ref="AA1520:AF1520"/>
    <mergeCell ref="W1528:Z1528"/>
    <mergeCell ref="AA1528:AF1528"/>
    <mergeCell ref="AG1528:AK1528"/>
    <mergeCell ref="B1530:D1530"/>
    <mergeCell ref="E1530:H1530"/>
    <mergeCell ref="J1530:L1530"/>
    <mergeCell ref="M1530:O1530"/>
    <mergeCell ref="P1530:R1530"/>
    <mergeCell ref="S1530:V1530"/>
    <mergeCell ref="W1530:Z1530"/>
    <mergeCell ref="B1528:D1528"/>
    <mergeCell ref="E1528:H1528"/>
    <mergeCell ref="J1528:L1529"/>
    <mergeCell ref="M1528:O1528"/>
    <mergeCell ref="P1528:R1528"/>
    <mergeCell ref="S1528:V1528"/>
    <mergeCell ref="AG1526:AK1526"/>
    <mergeCell ref="B1527:D1527"/>
    <mergeCell ref="E1527:H1527"/>
    <mergeCell ref="J1527:L1527"/>
    <mergeCell ref="M1527:O1527"/>
    <mergeCell ref="P1527:R1527"/>
    <mergeCell ref="S1527:V1527"/>
    <mergeCell ref="W1527:Z1527"/>
    <mergeCell ref="AA1527:AF1527"/>
    <mergeCell ref="AG1527:AK1527"/>
    <mergeCell ref="AA1524:AF1524"/>
    <mergeCell ref="AG1524:AK1524"/>
    <mergeCell ref="B1526:D1526"/>
    <mergeCell ref="E1526:H1526"/>
    <mergeCell ref="J1526:L1526"/>
    <mergeCell ref="M1526:O1526"/>
    <mergeCell ref="P1526:R1526"/>
    <mergeCell ref="S1526:V1526"/>
    <mergeCell ref="W1526:Z1526"/>
    <mergeCell ref="AA1526:AF1526"/>
    <mergeCell ref="W1534:Z1534"/>
    <mergeCell ref="AA1534:AF1534"/>
    <mergeCell ref="AG1534:AK1534"/>
    <mergeCell ref="B1535:D1535"/>
    <mergeCell ref="E1535:H1535"/>
    <mergeCell ref="J1535:L1535"/>
    <mergeCell ref="M1535:O1535"/>
    <mergeCell ref="P1535:R1535"/>
    <mergeCell ref="S1535:V1535"/>
    <mergeCell ref="W1535:Z1535"/>
    <mergeCell ref="B1534:D1534"/>
    <mergeCell ref="E1534:H1534"/>
    <mergeCell ref="J1534:L1534"/>
    <mergeCell ref="M1534:O1534"/>
    <mergeCell ref="P1534:R1534"/>
    <mergeCell ref="S1534:V1534"/>
    <mergeCell ref="AG1531:AK1531"/>
    <mergeCell ref="B1532:D1532"/>
    <mergeCell ref="E1532:H1532"/>
    <mergeCell ref="J1532:L1533"/>
    <mergeCell ref="M1532:O1532"/>
    <mergeCell ref="P1532:R1532"/>
    <mergeCell ref="S1532:V1532"/>
    <mergeCell ref="W1532:Z1532"/>
    <mergeCell ref="AA1532:AF1532"/>
    <mergeCell ref="AG1532:AK1532"/>
    <mergeCell ref="AA1530:AF1530"/>
    <mergeCell ref="AG1530:AK1530"/>
    <mergeCell ref="B1531:D1531"/>
    <mergeCell ref="E1531:H1531"/>
    <mergeCell ref="J1531:L1531"/>
    <mergeCell ref="M1531:O1531"/>
    <mergeCell ref="P1531:R1531"/>
    <mergeCell ref="S1531:V1531"/>
    <mergeCell ref="W1531:Z1531"/>
    <mergeCell ref="AA1531:AF1531"/>
    <mergeCell ref="W1538:Z1538"/>
    <mergeCell ref="AA1538:AF1538"/>
    <mergeCell ref="AG1538:AK1538"/>
    <mergeCell ref="B1539:D1539"/>
    <mergeCell ref="E1539:H1539"/>
    <mergeCell ref="J1539:L1539"/>
    <mergeCell ref="M1539:O1539"/>
    <mergeCell ref="P1539:R1539"/>
    <mergeCell ref="S1539:V1539"/>
    <mergeCell ref="W1539:Z1539"/>
    <mergeCell ref="B1538:D1538"/>
    <mergeCell ref="E1538:H1538"/>
    <mergeCell ref="J1538:L1538"/>
    <mergeCell ref="M1538:O1538"/>
    <mergeCell ref="P1538:R1538"/>
    <mergeCell ref="S1538:V1538"/>
    <mergeCell ref="AG1536:AK1536"/>
    <mergeCell ref="B1537:D1537"/>
    <mergeCell ref="E1537:H1537"/>
    <mergeCell ref="J1537:L1537"/>
    <mergeCell ref="M1537:O1537"/>
    <mergeCell ref="P1537:R1537"/>
    <mergeCell ref="S1537:V1537"/>
    <mergeCell ref="W1537:Z1537"/>
    <mergeCell ref="AA1537:AF1537"/>
    <mergeCell ref="AG1537:AK1537"/>
    <mergeCell ref="AA1535:AF1535"/>
    <mergeCell ref="AG1535:AK1535"/>
    <mergeCell ref="B1536:D1536"/>
    <mergeCell ref="E1536:H1536"/>
    <mergeCell ref="J1536:L1536"/>
    <mergeCell ref="M1536:O1536"/>
    <mergeCell ref="P1536:R1536"/>
    <mergeCell ref="S1536:V1536"/>
    <mergeCell ref="W1536:Z1536"/>
    <mergeCell ref="AA1536:AF1536"/>
    <mergeCell ref="W1542:Z1542"/>
    <mergeCell ref="AA1542:AF1542"/>
    <mergeCell ref="AG1542:AK1542"/>
    <mergeCell ref="B1543:D1543"/>
    <mergeCell ref="E1543:H1543"/>
    <mergeCell ref="J1543:L1543"/>
    <mergeCell ref="M1543:O1543"/>
    <mergeCell ref="P1543:R1543"/>
    <mergeCell ref="S1543:V1543"/>
    <mergeCell ref="W1543:Z1543"/>
    <mergeCell ref="B1542:D1542"/>
    <mergeCell ref="E1542:H1542"/>
    <mergeCell ref="J1542:L1542"/>
    <mergeCell ref="M1542:O1542"/>
    <mergeCell ref="P1542:R1542"/>
    <mergeCell ref="S1542:V1542"/>
    <mergeCell ref="AG1540:AK1540"/>
    <mergeCell ref="B1541:D1541"/>
    <mergeCell ref="E1541:H1541"/>
    <mergeCell ref="J1541:L1541"/>
    <mergeCell ref="M1541:O1541"/>
    <mergeCell ref="P1541:R1541"/>
    <mergeCell ref="S1541:V1541"/>
    <mergeCell ref="W1541:Z1541"/>
    <mergeCell ref="AA1541:AF1541"/>
    <mergeCell ref="AG1541:AK1541"/>
    <mergeCell ref="AA1539:AF1539"/>
    <mergeCell ref="AG1539:AK1539"/>
    <mergeCell ref="B1540:D1540"/>
    <mergeCell ref="E1540:H1540"/>
    <mergeCell ref="J1540:L1540"/>
    <mergeCell ref="M1540:O1540"/>
    <mergeCell ref="P1540:R1540"/>
    <mergeCell ref="S1540:V1540"/>
    <mergeCell ref="W1540:Z1540"/>
    <mergeCell ref="AA1540:AF1540"/>
    <mergeCell ref="W1546:Z1546"/>
    <mergeCell ref="AA1546:AF1546"/>
    <mergeCell ref="AG1546:AK1546"/>
    <mergeCell ref="B1547:D1547"/>
    <mergeCell ref="E1547:H1547"/>
    <mergeCell ref="J1547:L1547"/>
    <mergeCell ref="M1547:O1547"/>
    <mergeCell ref="P1547:R1547"/>
    <mergeCell ref="S1547:V1547"/>
    <mergeCell ref="W1547:Z1547"/>
    <mergeCell ref="B1546:D1546"/>
    <mergeCell ref="E1546:H1546"/>
    <mergeCell ref="J1546:L1546"/>
    <mergeCell ref="M1546:O1546"/>
    <mergeCell ref="P1546:R1546"/>
    <mergeCell ref="S1546:V1546"/>
    <mergeCell ref="AG1544:AK1544"/>
    <mergeCell ref="B1545:D1545"/>
    <mergeCell ref="E1545:H1545"/>
    <mergeCell ref="J1545:L1545"/>
    <mergeCell ref="M1545:O1545"/>
    <mergeCell ref="P1545:R1545"/>
    <mergeCell ref="S1545:V1545"/>
    <mergeCell ref="W1545:Z1545"/>
    <mergeCell ref="AA1545:AF1545"/>
    <mergeCell ref="AG1545:AK1545"/>
    <mergeCell ref="AA1543:AF1543"/>
    <mergeCell ref="AG1543:AK1543"/>
    <mergeCell ref="B1544:D1544"/>
    <mergeCell ref="E1544:H1544"/>
    <mergeCell ref="J1544:L1544"/>
    <mergeCell ref="M1544:O1544"/>
    <mergeCell ref="P1544:R1544"/>
    <mergeCell ref="S1544:V1544"/>
    <mergeCell ref="W1544:Z1544"/>
    <mergeCell ref="AA1544:AF1544"/>
    <mergeCell ref="W1550:Z1550"/>
    <mergeCell ref="AA1550:AF1550"/>
    <mergeCell ref="AG1550:AK1550"/>
    <mergeCell ref="B1551:D1551"/>
    <mergeCell ref="E1551:H1551"/>
    <mergeCell ref="J1551:L1551"/>
    <mergeCell ref="M1551:O1551"/>
    <mergeCell ref="P1551:R1551"/>
    <mergeCell ref="S1551:V1551"/>
    <mergeCell ref="W1551:Z1551"/>
    <mergeCell ref="B1550:D1550"/>
    <mergeCell ref="E1550:H1550"/>
    <mergeCell ref="J1550:L1550"/>
    <mergeCell ref="M1550:O1550"/>
    <mergeCell ref="P1550:R1550"/>
    <mergeCell ref="S1550:V1550"/>
    <mergeCell ref="AG1548:AK1548"/>
    <mergeCell ref="B1549:D1549"/>
    <mergeCell ref="E1549:H1549"/>
    <mergeCell ref="J1549:L1549"/>
    <mergeCell ref="M1549:O1549"/>
    <mergeCell ref="P1549:R1549"/>
    <mergeCell ref="S1549:V1549"/>
    <mergeCell ref="W1549:Z1549"/>
    <mergeCell ref="AA1549:AF1549"/>
    <mergeCell ref="AG1549:AK1549"/>
    <mergeCell ref="AA1547:AF1547"/>
    <mergeCell ref="AG1547:AK1547"/>
    <mergeCell ref="B1548:D1548"/>
    <mergeCell ref="E1548:H1548"/>
    <mergeCell ref="J1548:L1548"/>
    <mergeCell ref="M1548:O1548"/>
    <mergeCell ref="P1548:R1548"/>
    <mergeCell ref="S1548:V1548"/>
    <mergeCell ref="W1548:Z1548"/>
    <mergeCell ref="AA1548:AF1548"/>
    <mergeCell ref="AH1563:AK1563"/>
    <mergeCell ref="B1564:D1564"/>
    <mergeCell ref="E1564:H1564"/>
    <mergeCell ref="J1564:L1564"/>
    <mergeCell ref="M1564:O1564"/>
    <mergeCell ref="P1564:R1564"/>
    <mergeCell ref="S1564:V1564"/>
    <mergeCell ref="W1564:Z1564"/>
    <mergeCell ref="AA1564:AF1564"/>
    <mergeCell ref="AG1564:AK1564"/>
    <mergeCell ref="O1562:Q1562"/>
    <mergeCell ref="V1562:Y1562"/>
    <mergeCell ref="AD1562:AJ1562"/>
    <mergeCell ref="B1563:D1563"/>
    <mergeCell ref="E1563:G1563"/>
    <mergeCell ref="J1563:N1563"/>
    <mergeCell ref="Q1563:R1563"/>
    <mergeCell ref="U1563:V1563"/>
    <mergeCell ref="X1563:Z1563"/>
    <mergeCell ref="AC1563:AF1563"/>
    <mergeCell ref="C1558:J1559"/>
    <mergeCell ref="K1558:X1558"/>
    <mergeCell ref="Y1558:AG1559"/>
    <mergeCell ref="AH1558:AL1559"/>
    <mergeCell ref="K1559:X1559"/>
    <mergeCell ref="C1560:F1560"/>
    <mergeCell ref="G1560:AE1561"/>
    <mergeCell ref="AF1560:AG1561"/>
    <mergeCell ref="AH1560:AI1561"/>
    <mergeCell ref="AA1551:AF1551"/>
    <mergeCell ref="AG1551:AK1551"/>
    <mergeCell ref="AG1553:AL1553"/>
    <mergeCell ref="D1554:AH1554"/>
    <mergeCell ref="A1555:I1557"/>
    <mergeCell ref="J1555:AH1555"/>
    <mergeCell ref="J1556:AF1556"/>
    <mergeCell ref="J1557:AE1557"/>
    <mergeCell ref="AG1567:AK1567"/>
    <mergeCell ref="B1568:D1568"/>
    <mergeCell ref="E1568:H1568"/>
    <mergeCell ref="J1568:L1568"/>
    <mergeCell ref="M1568:O1568"/>
    <mergeCell ref="P1568:R1568"/>
    <mergeCell ref="S1568:V1568"/>
    <mergeCell ref="W1568:Z1568"/>
    <mergeCell ref="AA1568:AF1568"/>
    <mergeCell ref="AG1568:AK1568"/>
    <mergeCell ref="AA1566:AF1566"/>
    <mergeCell ref="AG1566:AK1566"/>
    <mergeCell ref="B1567:D1567"/>
    <mergeCell ref="E1567:H1567"/>
    <mergeCell ref="J1567:L1567"/>
    <mergeCell ref="M1567:O1567"/>
    <mergeCell ref="P1567:R1567"/>
    <mergeCell ref="S1567:V1567"/>
    <mergeCell ref="W1567:Z1567"/>
    <mergeCell ref="AA1567:AF1567"/>
    <mergeCell ref="W1565:Z1565"/>
    <mergeCell ref="AA1565:AF1565"/>
    <mergeCell ref="AG1565:AK1565"/>
    <mergeCell ref="B1566:D1566"/>
    <mergeCell ref="E1566:H1566"/>
    <mergeCell ref="J1566:L1566"/>
    <mergeCell ref="M1566:O1566"/>
    <mergeCell ref="P1566:R1566"/>
    <mergeCell ref="S1566:V1566"/>
    <mergeCell ref="W1566:Z1566"/>
    <mergeCell ref="B1565:D1565"/>
    <mergeCell ref="E1565:H1565"/>
    <mergeCell ref="J1565:L1565"/>
    <mergeCell ref="M1565:O1565"/>
    <mergeCell ref="P1565:R1565"/>
    <mergeCell ref="S1565:V1565"/>
    <mergeCell ref="AG1571:AK1571"/>
    <mergeCell ref="B1572:D1572"/>
    <mergeCell ref="E1572:H1572"/>
    <mergeCell ref="J1572:L1572"/>
    <mergeCell ref="M1572:O1572"/>
    <mergeCell ref="P1572:R1572"/>
    <mergeCell ref="S1572:V1572"/>
    <mergeCell ref="W1572:Z1572"/>
    <mergeCell ref="AA1572:AF1572"/>
    <mergeCell ref="AG1572:AK1572"/>
    <mergeCell ref="AA1570:AF1570"/>
    <mergeCell ref="AG1570:AK1570"/>
    <mergeCell ref="B1571:D1571"/>
    <mergeCell ref="E1571:H1571"/>
    <mergeCell ref="J1571:L1571"/>
    <mergeCell ref="M1571:O1571"/>
    <mergeCell ref="P1571:R1571"/>
    <mergeCell ref="S1571:V1571"/>
    <mergeCell ref="W1571:Z1571"/>
    <mergeCell ref="AA1571:AF1571"/>
    <mergeCell ref="W1569:Z1569"/>
    <mergeCell ref="AA1569:AF1569"/>
    <mergeCell ref="AG1569:AK1569"/>
    <mergeCell ref="B1570:D1570"/>
    <mergeCell ref="E1570:H1570"/>
    <mergeCell ref="J1570:L1570"/>
    <mergeCell ref="M1570:O1570"/>
    <mergeCell ref="P1570:R1570"/>
    <mergeCell ref="S1570:V1570"/>
    <mergeCell ref="W1570:Z1570"/>
    <mergeCell ref="B1569:D1569"/>
    <mergeCell ref="E1569:H1569"/>
    <mergeCell ref="J1569:L1569"/>
    <mergeCell ref="M1569:O1569"/>
    <mergeCell ref="P1569:R1569"/>
    <mergeCell ref="S1569:V1569"/>
    <mergeCell ref="AG1575:AK1575"/>
    <mergeCell ref="B1576:D1576"/>
    <mergeCell ref="E1576:H1576"/>
    <mergeCell ref="J1576:L1576"/>
    <mergeCell ref="M1576:O1576"/>
    <mergeCell ref="P1576:R1576"/>
    <mergeCell ref="S1576:V1576"/>
    <mergeCell ref="W1576:Z1576"/>
    <mergeCell ref="AA1576:AF1576"/>
    <mergeCell ref="AG1576:AK1576"/>
    <mergeCell ref="AA1574:AF1574"/>
    <mergeCell ref="AG1574:AK1574"/>
    <mergeCell ref="B1575:D1575"/>
    <mergeCell ref="E1575:H1575"/>
    <mergeCell ref="J1575:L1575"/>
    <mergeCell ref="M1575:O1575"/>
    <mergeCell ref="P1575:R1575"/>
    <mergeCell ref="S1575:V1575"/>
    <mergeCell ref="W1575:Z1575"/>
    <mergeCell ref="AA1575:AF1575"/>
    <mergeCell ref="W1573:Z1573"/>
    <mergeCell ref="AA1573:AF1573"/>
    <mergeCell ref="AG1573:AK1573"/>
    <mergeCell ref="B1574:D1574"/>
    <mergeCell ref="E1574:H1574"/>
    <mergeCell ref="J1574:L1574"/>
    <mergeCell ref="M1574:O1574"/>
    <mergeCell ref="P1574:R1574"/>
    <mergeCell ref="S1574:V1574"/>
    <mergeCell ref="W1574:Z1574"/>
    <mergeCell ref="B1573:D1573"/>
    <mergeCell ref="E1573:H1573"/>
    <mergeCell ref="J1573:L1573"/>
    <mergeCell ref="M1573:O1573"/>
    <mergeCell ref="P1573:R1573"/>
    <mergeCell ref="S1573:V1573"/>
    <mergeCell ref="AG1579:AK1579"/>
    <mergeCell ref="B1581:D1581"/>
    <mergeCell ref="E1581:H1581"/>
    <mergeCell ref="J1581:L1581"/>
    <mergeCell ref="M1581:O1581"/>
    <mergeCell ref="P1581:R1581"/>
    <mergeCell ref="S1581:V1581"/>
    <mergeCell ref="W1581:Z1581"/>
    <mergeCell ref="AA1581:AF1581"/>
    <mergeCell ref="AG1581:AK1581"/>
    <mergeCell ref="AA1578:AF1578"/>
    <mergeCell ref="AG1578:AK1578"/>
    <mergeCell ref="B1579:D1579"/>
    <mergeCell ref="E1579:H1579"/>
    <mergeCell ref="J1579:L1580"/>
    <mergeCell ref="M1579:O1579"/>
    <mergeCell ref="P1579:R1579"/>
    <mergeCell ref="S1579:V1579"/>
    <mergeCell ref="W1579:Z1579"/>
    <mergeCell ref="AA1579:AF1579"/>
    <mergeCell ref="W1577:Z1577"/>
    <mergeCell ref="AA1577:AF1577"/>
    <mergeCell ref="AG1577:AK1577"/>
    <mergeCell ref="B1578:D1578"/>
    <mergeCell ref="E1578:H1578"/>
    <mergeCell ref="J1578:L1578"/>
    <mergeCell ref="M1578:O1578"/>
    <mergeCell ref="P1578:R1578"/>
    <mergeCell ref="S1578:V1578"/>
    <mergeCell ref="W1578:Z1578"/>
    <mergeCell ref="B1577:D1577"/>
    <mergeCell ref="E1577:H1577"/>
    <mergeCell ref="J1577:L1577"/>
    <mergeCell ref="M1577:O1577"/>
    <mergeCell ref="P1577:R1577"/>
    <mergeCell ref="S1577:V1577"/>
    <mergeCell ref="AG1585:AK1585"/>
    <mergeCell ref="B1586:D1586"/>
    <mergeCell ref="E1586:H1586"/>
    <mergeCell ref="J1586:L1586"/>
    <mergeCell ref="M1586:O1586"/>
    <mergeCell ref="P1586:R1586"/>
    <mergeCell ref="S1586:V1586"/>
    <mergeCell ref="W1586:Z1586"/>
    <mergeCell ref="AA1586:AF1586"/>
    <mergeCell ref="AG1586:AK1586"/>
    <mergeCell ref="AA1584:AF1584"/>
    <mergeCell ref="AG1584:AK1584"/>
    <mergeCell ref="B1585:D1585"/>
    <mergeCell ref="E1585:H1585"/>
    <mergeCell ref="J1585:L1585"/>
    <mergeCell ref="M1585:O1585"/>
    <mergeCell ref="P1585:R1585"/>
    <mergeCell ref="S1585:V1585"/>
    <mergeCell ref="W1585:Z1585"/>
    <mergeCell ref="AA1585:AF1585"/>
    <mergeCell ref="W1582:Z1582"/>
    <mergeCell ref="AA1582:AF1582"/>
    <mergeCell ref="AG1582:AK1582"/>
    <mergeCell ref="B1584:D1584"/>
    <mergeCell ref="E1584:H1584"/>
    <mergeCell ref="J1584:L1584"/>
    <mergeCell ref="M1584:O1584"/>
    <mergeCell ref="P1584:R1584"/>
    <mergeCell ref="S1584:V1584"/>
    <mergeCell ref="W1584:Z1584"/>
    <mergeCell ref="B1582:D1582"/>
    <mergeCell ref="E1582:H1582"/>
    <mergeCell ref="J1582:L1583"/>
    <mergeCell ref="M1582:O1582"/>
    <mergeCell ref="P1582:R1582"/>
    <mergeCell ref="S1582:V1582"/>
    <mergeCell ref="AG1589:AK1589"/>
    <mergeCell ref="B1590:D1590"/>
    <mergeCell ref="E1590:H1590"/>
    <mergeCell ref="J1590:L1590"/>
    <mergeCell ref="M1590:O1590"/>
    <mergeCell ref="P1590:R1590"/>
    <mergeCell ref="S1590:V1590"/>
    <mergeCell ref="W1590:Z1590"/>
    <mergeCell ref="AA1590:AF1590"/>
    <mergeCell ref="AG1590:AK1590"/>
    <mergeCell ref="AA1588:AF1588"/>
    <mergeCell ref="AG1588:AK1588"/>
    <mergeCell ref="B1589:D1589"/>
    <mergeCell ref="E1589:H1589"/>
    <mergeCell ref="J1589:L1589"/>
    <mergeCell ref="M1589:O1589"/>
    <mergeCell ref="P1589:R1589"/>
    <mergeCell ref="S1589:V1589"/>
    <mergeCell ref="W1589:Z1589"/>
    <mergeCell ref="AA1589:AF1589"/>
    <mergeCell ref="W1587:Z1587"/>
    <mergeCell ref="AA1587:AF1587"/>
    <mergeCell ref="AG1587:AK1587"/>
    <mergeCell ref="B1588:D1588"/>
    <mergeCell ref="E1588:H1588"/>
    <mergeCell ref="J1588:L1588"/>
    <mergeCell ref="M1588:O1588"/>
    <mergeCell ref="P1588:R1588"/>
    <mergeCell ref="S1588:V1588"/>
    <mergeCell ref="W1588:Z1588"/>
    <mergeCell ref="B1587:D1587"/>
    <mergeCell ref="E1587:H1587"/>
    <mergeCell ref="J1587:L1587"/>
    <mergeCell ref="M1587:O1587"/>
    <mergeCell ref="P1587:R1587"/>
    <mergeCell ref="S1587:V1587"/>
    <mergeCell ref="AG1593:AK1593"/>
    <mergeCell ref="B1595:D1595"/>
    <mergeCell ref="E1595:H1595"/>
    <mergeCell ref="J1595:L1595"/>
    <mergeCell ref="M1595:O1595"/>
    <mergeCell ref="P1595:R1595"/>
    <mergeCell ref="S1595:V1595"/>
    <mergeCell ref="W1595:Z1595"/>
    <mergeCell ref="AA1595:AF1595"/>
    <mergeCell ref="AG1595:AK1595"/>
    <mergeCell ref="AA1592:AF1592"/>
    <mergeCell ref="AG1592:AK1592"/>
    <mergeCell ref="B1593:D1593"/>
    <mergeCell ref="E1593:H1593"/>
    <mergeCell ref="J1593:L1594"/>
    <mergeCell ref="M1593:O1593"/>
    <mergeCell ref="P1593:R1593"/>
    <mergeCell ref="S1593:V1593"/>
    <mergeCell ref="W1593:Z1593"/>
    <mergeCell ref="AA1593:AF1593"/>
    <mergeCell ref="W1591:Z1591"/>
    <mergeCell ref="AA1591:AF1591"/>
    <mergeCell ref="AG1591:AK1591"/>
    <mergeCell ref="B1592:D1592"/>
    <mergeCell ref="E1592:H1592"/>
    <mergeCell ref="J1592:L1592"/>
    <mergeCell ref="M1592:O1592"/>
    <mergeCell ref="P1592:R1592"/>
    <mergeCell ref="S1592:V1592"/>
    <mergeCell ref="W1592:Z1592"/>
    <mergeCell ref="B1591:D1591"/>
    <mergeCell ref="E1591:H1591"/>
    <mergeCell ref="J1591:L1591"/>
    <mergeCell ref="M1591:O1591"/>
    <mergeCell ref="P1591:R1591"/>
    <mergeCell ref="S1591:V1591"/>
    <mergeCell ref="AG1598:AK1598"/>
    <mergeCell ref="B1599:D1599"/>
    <mergeCell ref="E1599:H1599"/>
    <mergeCell ref="J1599:L1599"/>
    <mergeCell ref="M1599:O1599"/>
    <mergeCell ref="P1599:R1599"/>
    <mergeCell ref="S1599:V1599"/>
    <mergeCell ref="W1599:Z1599"/>
    <mergeCell ref="AA1599:AF1599"/>
    <mergeCell ref="AG1599:AK1599"/>
    <mergeCell ref="AA1597:AF1597"/>
    <mergeCell ref="AG1597:AK1597"/>
    <mergeCell ref="B1598:D1598"/>
    <mergeCell ref="E1598:H1598"/>
    <mergeCell ref="J1598:L1598"/>
    <mergeCell ref="M1598:O1598"/>
    <mergeCell ref="P1598:R1598"/>
    <mergeCell ref="S1598:V1598"/>
    <mergeCell ref="W1598:Z1598"/>
    <mergeCell ref="AA1598:AF1598"/>
    <mergeCell ref="W1596:Z1596"/>
    <mergeCell ref="AA1596:AF1596"/>
    <mergeCell ref="AG1596:AK1596"/>
    <mergeCell ref="B1597:D1597"/>
    <mergeCell ref="E1597:H1597"/>
    <mergeCell ref="J1597:L1597"/>
    <mergeCell ref="M1597:O1597"/>
    <mergeCell ref="P1597:R1597"/>
    <mergeCell ref="S1597:V1597"/>
    <mergeCell ref="W1597:Z1597"/>
    <mergeCell ref="B1596:D1596"/>
    <mergeCell ref="E1596:H1596"/>
    <mergeCell ref="J1596:L1596"/>
    <mergeCell ref="M1596:O1596"/>
    <mergeCell ref="P1596:R1596"/>
    <mergeCell ref="S1596:V1596"/>
    <mergeCell ref="AG1602:AK1602"/>
    <mergeCell ref="B1603:D1603"/>
    <mergeCell ref="E1603:H1603"/>
    <mergeCell ref="J1603:L1603"/>
    <mergeCell ref="M1603:O1603"/>
    <mergeCell ref="P1603:R1603"/>
    <mergeCell ref="S1603:V1603"/>
    <mergeCell ref="W1603:Z1603"/>
    <mergeCell ref="AA1603:AF1603"/>
    <mergeCell ref="AG1603:AK1603"/>
    <mergeCell ref="AA1601:AF1601"/>
    <mergeCell ref="AG1601:AK1601"/>
    <mergeCell ref="B1602:D1602"/>
    <mergeCell ref="E1602:H1602"/>
    <mergeCell ref="J1602:L1602"/>
    <mergeCell ref="M1602:O1602"/>
    <mergeCell ref="P1602:R1602"/>
    <mergeCell ref="S1602:V1602"/>
    <mergeCell ref="W1602:Z1602"/>
    <mergeCell ref="AA1602:AF1602"/>
    <mergeCell ref="W1600:Z1600"/>
    <mergeCell ref="AA1600:AF1600"/>
    <mergeCell ref="AG1600:AK1600"/>
    <mergeCell ref="B1601:D1601"/>
    <mergeCell ref="E1601:H1601"/>
    <mergeCell ref="J1601:L1601"/>
    <mergeCell ref="M1601:O1601"/>
    <mergeCell ref="P1601:R1601"/>
    <mergeCell ref="S1601:V1601"/>
    <mergeCell ref="W1601:Z1601"/>
    <mergeCell ref="B1600:D1600"/>
    <mergeCell ref="E1600:H1600"/>
    <mergeCell ref="J1600:L1600"/>
    <mergeCell ref="M1600:O1600"/>
    <mergeCell ref="P1600:R1600"/>
    <mergeCell ref="S1600:V1600"/>
    <mergeCell ref="AG1606:AK1606"/>
    <mergeCell ref="B1607:D1607"/>
    <mergeCell ref="E1607:H1607"/>
    <mergeCell ref="J1607:L1607"/>
    <mergeCell ref="M1607:O1607"/>
    <mergeCell ref="P1607:R1607"/>
    <mergeCell ref="S1607:V1607"/>
    <mergeCell ref="W1607:Z1607"/>
    <mergeCell ref="AA1607:AF1607"/>
    <mergeCell ref="AG1607:AK1607"/>
    <mergeCell ref="AA1605:AF1605"/>
    <mergeCell ref="AG1605:AK1605"/>
    <mergeCell ref="B1606:D1606"/>
    <mergeCell ref="E1606:H1606"/>
    <mergeCell ref="J1606:L1606"/>
    <mergeCell ref="M1606:O1606"/>
    <mergeCell ref="P1606:R1606"/>
    <mergeCell ref="S1606:V1606"/>
    <mergeCell ref="W1606:Z1606"/>
    <mergeCell ref="AA1606:AF1606"/>
    <mergeCell ref="W1604:Z1604"/>
    <mergeCell ref="AA1604:AF1604"/>
    <mergeCell ref="AG1604:AK1604"/>
    <mergeCell ref="B1605:D1605"/>
    <mergeCell ref="E1605:H1605"/>
    <mergeCell ref="J1605:L1605"/>
    <mergeCell ref="M1605:O1605"/>
    <mergeCell ref="P1605:R1605"/>
    <mergeCell ref="S1605:V1605"/>
    <mergeCell ref="W1605:Z1605"/>
    <mergeCell ref="B1604:D1604"/>
    <mergeCell ref="E1604:H1604"/>
    <mergeCell ref="J1604:L1604"/>
    <mergeCell ref="M1604:O1604"/>
    <mergeCell ref="P1604:R1604"/>
    <mergeCell ref="S1604:V1604"/>
    <mergeCell ref="AG1610:AK1610"/>
    <mergeCell ref="B1611:D1611"/>
    <mergeCell ref="E1611:H1611"/>
    <mergeCell ref="J1611:L1611"/>
    <mergeCell ref="M1611:O1611"/>
    <mergeCell ref="P1611:R1611"/>
    <mergeCell ref="S1611:V1611"/>
    <mergeCell ref="W1611:Z1611"/>
    <mergeCell ref="AA1611:AF1611"/>
    <mergeCell ref="AG1611:AK1611"/>
    <mergeCell ref="AA1609:AF1609"/>
    <mergeCell ref="AG1609:AK1609"/>
    <mergeCell ref="B1610:D1610"/>
    <mergeCell ref="E1610:H1610"/>
    <mergeCell ref="J1610:L1610"/>
    <mergeCell ref="M1610:O1610"/>
    <mergeCell ref="P1610:R1610"/>
    <mergeCell ref="S1610:V1610"/>
    <mergeCell ref="W1610:Z1610"/>
    <mergeCell ref="AA1610:AF1610"/>
    <mergeCell ref="W1608:Z1608"/>
    <mergeCell ref="AA1608:AF1608"/>
    <mergeCell ref="AG1608:AK1608"/>
    <mergeCell ref="B1609:D1609"/>
    <mergeCell ref="E1609:H1609"/>
    <mergeCell ref="J1609:L1609"/>
    <mergeCell ref="M1609:O1609"/>
    <mergeCell ref="P1609:R1609"/>
    <mergeCell ref="S1609:V1609"/>
    <mergeCell ref="W1609:Z1609"/>
    <mergeCell ref="B1608:D1608"/>
    <mergeCell ref="E1608:H1608"/>
    <mergeCell ref="J1608:L1608"/>
    <mergeCell ref="M1608:O1608"/>
    <mergeCell ref="P1608:R1608"/>
    <mergeCell ref="S1608:V1608"/>
    <mergeCell ref="AH1623:AK1623"/>
    <mergeCell ref="B1624:D1624"/>
    <mergeCell ref="E1624:H1624"/>
    <mergeCell ref="J1624:L1624"/>
    <mergeCell ref="M1624:O1624"/>
    <mergeCell ref="P1624:R1624"/>
    <mergeCell ref="S1624:V1624"/>
    <mergeCell ref="W1624:Z1624"/>
    <mergeCell ref="AA1624:AF1624"/>
    <mergeCell ref="AG1624:AK1624"/>
    <mergeCell ref="O1622:Q1622"/>
    <mergeCell ref="V1622:Y1622"/>
    <mergeCell ref="AD1622:AJ1622"/>
    <mergeCell ref="B1623:D1623"/>
    <mergeCell ref="E1623:G1623"/>
    <mergeCell ref="J1623:N1623"/>
    <mergeCell ref="Q1623:R1623"/>
    <mergeCell ref="U1623:V1623"/>
    <mergeCell ref="X1623:Z1623"/>
    <mergeCell ref="AC1623:AF1623"/>
    <mergeCell ref="C1618:J1619"/>
    <mergeCell ref="K1618:X1618"/>
    <mergeCell ref="Y1618:AG1619"/>
    <mergeCell ref="AH1618:AL1619"/>
    <mergeCell ref="K1619:X1619"/>
    <mergeCell ref="C1620:F1620"/>
    <mergeCell ref="G1620:AE1621"/>
    <mergeCell ref="AF1620:AG1621"/>
    <mergeCell ref="AH1620:AI1621"/>
    <mergeCell ref="AG1613:AL1613"/>
    <mergeCell ref="D1614:AH1614"/>
    <mergeCell ref="A1615:I1617"/>
    <mergeCell ref="J1615:AH1615"/>
    <mergeCell ref="J1616:AF1616"/>
    <mergeCell ref="J1617:AE1617"/>
    <mergeCell ref="AG1627:AK1627"/>
    <mergeCell ref="B1629:D1629"/>
    <mergeCell ref="E1629:H1629"/>
    <mergeCell ref="J1629:L1629"/>
    <mergeCell ref="M1629:O1629"/>
    <mergeCell ref="P1629:R1629"/>
    <mergeCell ref="S1629:V1629"/>
    <mergeCell ref="W1629:Z1629"/>
    <mergeCell ref="AA1629:AF1629"/>
    <mergeCell ref="AG1629:AK1629"/>
    <mergeCell ref="AA1626:AF1626"/>
    <mergeCell ref="AG1626:AK1626"/>
    <mergeCell ref="B1627:D1627"/>
    <mergeCell ref="E1627:H1627"/>
    <mergeCell ref="J1627:L1628"/>
    <mergeCell ref="M1627:O1627"/>
    <mergeCell ref="P1627:R1627"/>
    <mergeCell ref="S1627:V1627"/>
    <mergeCell ref="W1627:Z1627"/>
    <mergeCell ref="AA1627:AF1627"/>
    <mergeCell ref="W1625:Z1625"/>
    <mergeCell ref="AA1625:AF1625"/>
    <mergeCell ref="AG1625:AK1625"/>
    <mergeCell ref="B1626:D1626"/>
    <mergeCell ref="E1626:H1626"/>
    <mergeCell ref="J1626:L1626"/>
    <mergeCell ref="M1626:O1626"/>
    <mergeCell ref="P1626:R1626"/>
    <mergeCell ref="S1626:V1626"/>
    <mergeCell ref="W1626:Z1626"/>
    <mergeCell ref="B1625:D1625"/>
    <mergeCell ref="E1625:H1625"/>
    <mergeCell ref="J1625:L1625"/>
    <mergeCell ref="M1625:O1625"/>
    <mergeCell ref="P1625:R1625"/>
    <mergeCell ref="S1625:V1625"/>
    <mergeCell ref="AG1633:AK1633"/>
    <mergeCell ref="B1634:D1634"/>
    <mergeCell ref="E1634:H1634"/>
    <mergeCell ref="J1634:L1634"/>
    <mergeCell ref="M1634:O1634"/>
    <mergeCell ref="P1634:R1634"/>
    <mergeCell ref="S1634:V1634"/>
    <mergeCell ref="W1634:Z1634"/>
    <mergeCell ref="AA1634:AF1634"/>
    <mergeCell ref="AG1634:AK1634"/>
    <mergeCell ref="AA1631:AF1631"/>
    <mergeCell ref="AG1631:AK1631"/>
    <mergeCell ref="B1633:D1633"/>
    <mergeCell ref="E1633:H1633"/>
    <mergeCell ref="J1633:L1633"/>
    <mergeCell ref="M1633:O1633"/>
    <mergeCell ref="P1633:R1633"/>
    <mergeCell ref="S1633:V1633"/>
    <mergeCell ref="W1633:Z1633"/>
    <mergeCell ref="AA1633:AF1633"/>
    <mergeCell ref="W1630:Z1630"/>
    <mergeCell ref="AA1630:AF1630"/>
    <mergeCell ref="AG1630:AK1630"/>
    <mergeCell ref="B1631:D1631"/>
    <mergeCell ref="E1631:H1631"/>
    <mergeCell ref="J1631:L1632"/>
    <mergeCell ref="M1631:O1631"/>
    <mergeCell ref="P1631:R1631"/>
    <mergeCell ref="S1631:V1631"/>
    <mergeCell ref="W1631:Z1631"/>
    <mergeCell ref="B1630:D1630"/>
    <mergeCell ref="E1630:H1630"/>
    <mergeCell ref="J1630:L1630"/>
    <mergeCell ref="M1630:O1630"/>
    <mergeCell ref="P1630:R1630"/>
    <mergeCell ref="S1630:V1630"/>
    <mergeCell ref="AG1638:AK1638"/>
    <mergeCell ref="B1639:D1639"/>
    <mergeCell ref="E1639:H1639"/>
    <mergeCell ref="J1639:L1640"/>
    <mergeCell ref="M1639:O1639"/>
    <mergeCell ref="P1639:R1639"/>
    <mergeCell ref="S1639:V1639"/>
    <mergeCell ref="W1639:Z1639"/>
    <mergeCell ref="AA1639:AF1639"/>
    <mergeCell ref="AG1639:AK1639"/>
    <mergeCell ref="AA1637:AF1637"/>
    <mergeCell ref="AG1637:AK1637"/>
    <mergeCell ref="B1638:D1638"/>
    <mergeCell ref="E1638:H1638"/>
    <mergeCell ref="J1638:L1638"/>
    <mergeCell ref="M1638:O1638"/>
    <mergeCell ref="P1638:R1638"/>
    <mergeCell ref="S1638:V1638"/>
    <mergeCell ref="W1638:Z1638"/>
    <mergeCell ref="AA1638:AF1638"/>
    <mergeCell ref="W1635:Z1635"/>
    <mergeCell ref="AA1635:AF1635"/>
    <mergeCell ref="AG1635:AK1635"/>
    <mergeCell ref="B1637:D1637"/>
    <mergeCell ref="E1637:H1637"/>
    <mergeCell ref="J1637:L1637"/>
    <mergeCell ref="M1637:O1637"/>
    <mergeCell ref="P1637:R1637"/>
    <mergeCell ref="S1637:V1637"/>
    <mergeCell ref="W1637:Z1637"/>
    <mergeCell ref="B1635:D1635"/>
    <mergeCell ref="E1635:H1635"/>
    <mergeCell ref="J1635:L1636"/>
    <mergeCell ref="M1635:O1635"/>
    <mergeCell ref="P1635:R1635"/>
    <mergeCell ref="S1635:V1635"/>
    <mergeCell ref="AG1643:AK1643"/>
    <mergeCell ref="B1645:D1645"/>
    <mergeCell ref="E1645:H1645"/>
    <mergeCell ref="J1645:L1645"/>
    <mergeCell ref="M1645:O1645"/>
    <mergeCell ref="P1645:R1645"/>
    <mergeCell ref="S1645:V1645"/>
    <mergeCell ref="W1645:Z1645"/>
    <mergeCell ref="AA1645:AF1645"/>
    <mergeCell ref="AG1645:AK1645"/>
    <mergeCell ref="AA1642:AF1642"/>
    <mergeCell ref="AG1642:AK1642"/>
    <mergeCell ref="B1643:D1643"/>
    <mergeCell ref="E1643:H1643"/>
    <mergeCell ref="J1643:L1644"/>
    <mergeCell ref="M1643:O1643"/>
    <mergeCell ref="P1643:R1643"/>
    <mergeCell ref="S1643:V1643"/>
    <mergeCell ref="W1643:Z1643"/>
    <mergeCell ref="AA1643:AF1643"/>
    <mergeCell ref="W1641:Z1641"/>
    <mergeCell ref="AA1641:AF1641"/>
    <mergeCell ref="AG1641:AK1641"/>
    <mergeCell ref="B1642:D1642"/>
    <mergeCell ref="E1642:H1642"/>
    <mergeCell ref="J1642:L1642"/>
    <mergeCell ref="M1642:O1642"/>
    <mergeCell ref="P1642:R1642"/>
    <mergeCell ref="S1642:V1642"/>
    <mergeCell ref="W1642:Z1642"/>
    <mergeCell ref="B1641:D1641"/>
    <mergeCell ref="E1641:H1641"/>
    <mergeCell ref="J1641:L1641"/>
    <mergeCell ref="M1641:O1641"/>
    <mergeCell ref="P1641:R1641"/>
    <mergeCell ref="S1641:V1641"/>
    <mergeCell ref="AG1648:AK1648"/>
    <mergeCell ref="B1649:D1649"/>
    <mergeCell ref="E1649:H1649"/>
    <mergeCell ref="J1649:L1649"/>
    <mergeCell ref="M1649:O1649"/>
    <mergeCell ref="P1649:R1649"/>
    <mergeCell ref="S1649:V1649"/>
    <mergeCell ref="W1649:Z1649"/>
    <mergeCell ref="AA1649:AF1649"/>
    <mergeCell ref="AG1649:AK1649"/>
    <mergeCell ref="AA1647:AF1647"/>
    <mergeCell ref="AG1647:AK1647"/>
    <mergeCell ref="B1648:D1648"/>
    <mergeCell ref="E1648:H1648"/>
    <mergeCell ref="J1648:L1648"/>
    <mergeCell ref="M1648:O1648"/>
    <mergeCell ref="P1648:R1648"/>
    <mergeCell ref="S1648:V1648"/>
    <mergeCell ref="W1648:Z1648"/>
    <mergeCell ref="AA1648:AF1648"/>
    <mergeCell ref="W1646:Z1646"/>
    <mergeCell ref="AA1646:AF1646"/>
    <mergeCell ref="AG1646:AK1646"/>
    <mergeCell ref="B1647:D1647"/>
    <mergeCell ref="E1647:H1647"/>
    <mergeCell ref="J1647:L1647"/>
    <mergeCell ref="M1647:O1647"/>
    <mergeCell ref="P1647:R1647"/>
    <mergeCell ref="S1647:V1647"/>
    <mergeCell ref="W1647:Z1647"/>
    <mergeCell ref="B1646:D1646"/>
    <mergeCell ref="E1646:H1646"/>
    <mergeCell ref="J1646:L1646"/>
    <mergeCell ref="M1646:O1646"/>
    <mergeCell ref="P1646:R1646"/>
    <mergeCell ref="S1646:V1646"/>
    <mergeCell ref="AG1652:AK1652"/>
    <mergeCell ref="B1653:D1653"/>
    <mergeCell ref="E1653:H1653"/>
    <mergeCell ref="J1653:L1653"/>
    <mergeCell ref="M1653:O1653"/>
    <mergeCell ref="P1653:R1653"/>
    <mergeCell ref="S1653:V1653"/>
    <mergeCell ref="W1653:Z1653"/>
    <mergeCell ref="AA1653:AF1653"/>
    <mergeCell ref="AG1653:AK1653"/>
    <mergeCell ref="AA1651:AF1651"/>
    <mergeCell ref="AG1651:AK1651"/>
    <mergeCell ref="B1652:D1652"/>
    <mergeCell ref="E1652:H1652"/>
    <mergeCell ref="J1652:L1652"/>
    <mergeCell ref="M1652:O1652"/>
    <mergeCell ref="P1652:R1652"/>
    <mergeCell ref="S1652:V1652"/>
    <mergeCell ref="W1652:Z1652"/>
    <mergeCell ref="AA1652:AF1652"/>
    <mergeCell ref="W1650:Z1650"/>
    <mergeCell ref="AA1650:AF1650"/>
    <mergeCell ref="AG1650:AK1650"/>
    <mergeCell ref="B1651:D1651"/>
    <mergeCell ref="E1651:H1651"/>
    <mergeCell ref="J1651:L1651"/>
    <mergeCell ref="M1651:O1651"/>
    <mergeCell ref="P1651:R1651"/>
    <mergeCell ref="S1651:V1651"/>
    <mergeCell ref="W1651:Z1651"/>
    <mergeCell ref="B1650:D1650"/>
    <mergeCell ref="E1650:H1650"/>
    <mergeCell ref="J1650:L1650"/>
    <mergeCell ref="M1650:O1650"/>
    <mergeCell ref="P1650:R1650"/>
    <mergeCell ref="S1650:V1650"/>
    <mergeCell ref="AG1656:AK1656"/>
    <mergeCell ref="B1657:D1657"/>
    <mergeCell ref="E1657:H1657"/>
    <mergeCell ref="J1657:L1657"/>
    <mergeCell ref="M1657:O1657"/>
    <mergeCell ref="P1657:R1657"/>
    <mergeCell ref="S1657:V1657"/>
    <mergeCell ref="W1657:Z1657"/>
    <mergeCell ref="AA1657:AF1657"/>
    <mergeCell ref="AG1657:AK1657"/>
    <mergeCell ref="AA1655:AF1655"/>
    <mergeCell ref="AG1655:AK1655"/>
    <mergeCell ref="B1656:D1656"/>
    <mergeCell ref="E1656:H1656"/>
    <mergeCell ref="J1656:L1656"/>
    <mergeCell ref="M1656:O1656"/>
    <mergeCell ref="P1656:R1656"/>
    <mergeCell ref="S1656:V1656"/>
    <mergeCell ref="W1656:Z1656"/>
    <mergeCell ref="AA1656:AF1656"/>
    <mergeCell ref="W1654:Z1654"/>
    <mergeCell ref="AA1654:AF1654"/>
    <mergeCell ref="AG1654:AK1654"/>
    <mergeCell ref="B1655:D1655"/>
    <mergeCell ref="E1655:H1655"/>
    <mergeCell ref="J1655:L1655"/>
    <mergeCell ref="M1655:O1655"/>
    <mergeCell ref="P1655:R1655"/>
    <mergeCell ref="S1655:V1655"/>
    <mergeCell ref="W1655:Z1655"/>
    <mergeCell ref="B1654:D1654"/>
    <mergeCell ref="E1654:H1654"/>
    <mergeCell ref="J1654:L1654"/>
    <mergeCell ref="M1654:O1654"/>
    <mergeCell ref="P1654:R1654"/>
    <mergeCell ref="S1654:V1654"/>
    <mergeCell ref="AG1660:AK1660"/>
    <mergeCell ref="B1661:D1661"/>
    <mergeCell ref="E1661:H1661"/>
    <mergeCell ref="J1661:L1661"/>
    <mergeCell ref="M1661:O1661"/>
    <mergeCell ref="P1661:R1661"/>
    <mergeCell ref="S1661:V1661"/>
    <mergeCell ref="W1661:Z1661"/>
    <mergeCell ref="AA1661:AF1661"/>
    <mergeCell ref="AG1661:AK1661"/>
    <mergeCell ref="AA1659:AF1659"/>
    <mergeCell ref="AG1659:AK1659"/>
    <mergeCell ref="B1660:D1660"/>
    <mergeCell ref="E1660:H1660"/>
    <mergeCell ref="J1660:L1660"/>
    <mergeCell ref="M1660:O1660"/>
    <mergeCell ref="P1660:R1660"/>
    <mergeCell ref="S1660:V1660"/>
    <mergeCell ref="W1660:Z1660"/>
    <mergeCell ref="AA1660:AF1660"/>
    <mergeCell ref="W1658:Z1658"/>
    <mergeCell ref="AA1658:AF1658"/>
    <mergeCell ref="AG1658:AK1658"/>
    <mergeCell ref="B1659:D1659"/>
    <mergeCell ref="E1659:H1659"/>
    <mergeCell ref="J1659:L1659"/>
    <mergeCell ref="M1659:O1659"/>
    <mergeCell ref="P1659:R1659"/>
    <mergeCell ref="S1659:V1659"/>
    <mergeCell ref="W1659:Z1659"/>
    <mergeCell ref="B1658:D1658"/>
    <mergeCell ref="E1658:H1658"/>
    <mergeCell ref="J1658:L1658"/>
    <mergeCell ref="M1658:O1658"/>
    <mergeCell ref="P1658:R1658"/>
    <mergeCell ref="S1658:V1658"/>
    <mergeCell ref="AG1664:AK1664"/>
    <mergeCell ref="B1665:D1665"/>
    <mergeCell ref="E1665:H1665"/>
    <mergeCell ref="J1665:L1665"/>
    <mergeCell ref="M1665:O1665"/>
    <mergeCell ref="P1665:R1665"/>
    <mergeCell ref="S1665:V1665"/>
    <mergeCell ref="W1665:Z1665"/>
    <mergeCell ref="AA1665:AF1665"/>
    <mergeCell ref="AG1665:AK1665"/>
    <mergeCell ref="AA1663:AF1663"/>
    <mergeCell ref="AG1663:AK1663"/>
    <mergeCell ref="B1664:D1664"/>
    <mergeCell ref="E1664:H1664"/>
    <mergeCell ref="J1664:L1664"/>
    <mergeCell ref="M1664:O1664"/>
    <mergeCell ref="P1664:R1664"/>
    <mergeCell ref="S1664:V1664"/>
    <mergeCell ref="W1664:Z1664"/>
    <mergeCell ref="AA1664:AF1664"/>
    <mergeCell ref="W1662:Z1662"/>
    <mergeCell ref="AA1662:AF1662"/>
    <mergeCell ref="AG1662:AK1662"/>
    <mergeCell ref="B1663:D1663"/>
    <mergeCell ref="E1663:H1663"/>
    <mergeCell ref="J1663:L1663"/>
    <mergeCell ref="M1663:O1663"/>
    <mergeCell ref="P1663:R1663"/>
    <mergeCell ref="S1663:V1663"/>
    <mergeCell ref="W1663:Z1663"/>
    <mergeCell ref="B1662:D1662"/>
    <mergeCell ref="E1662:H1662"/>
    <mergeCell ref="J1662:L1662"/>
    <mergeCell ref="M1662:O1662"/>
    <mergeCell ref="P1662:R1662"/>
    <mergeCell ref="S1662:V1662"/>
    <mergeCell ref="AG1668:AK1668"/>
    <mergeCell ref="B1669:D1669"/>
    <mergeCell ref="E1669:H1669"/>
    <mergeCell ref="J1669:L1669"/>
    <mergeCell ref="M1669:O1669"/>
    <mergeCell ref="P1669:R1669"/>
    <mergeCell ref="S1669:V1669"/>
    <mergeCell ref="W1669:Z1669"/>
    <mergeCell ref="AA1669:AF1669"/>
    <mergeCell ref="AG1669:AK1669"/>
    <mergeCell ref="AA1667:AF1667"/>
    <mergeCell ref="AG1667:AK1667"/>
    <mergeCell ref="B1668:D1668"/>
    <mergeCell ref="E1668:H1668"/>
    <mergeCell ref="J1668:L1668"/>
    <mergeCell ref="M1668:O1668"/>
    <mergeCell ref="P1668:R1668"/>
    <mergeCell ref="S1668:V1668"/>
    <mergeCell ref="W1668:Z1668"/>
    <mergeCell ref="AA1668:AF1668"/>
    <mergeCell ref="W1666:Z1666"/>
    <mergeCell ref="AA1666:AF1666"/>
    <mergeCell ref="AG1666:AK1666"/>
    <mergeCell ref="B1667:D1667"/>
    <mergeCell ref="E1667:H1667"/>
    <mergeCell ref="J1667:L1667"/>
    <mergeCell ref="M1667:O1667"/>
    <mergeCell ref="P1667:R1667"/>
    <mergeCell ref="S1667:V1667"/>
    <mergeCell ref="W1667:Z1667"/>
    <mergeCell ref="B1666:D1666"/>
    <mergeCell ref="E1666:H1666"/>
    <mergeCell ref="J1666:L1666"/>
    <mergeCell ref="M1666:O1666"/>
    <mergeCell ref="P1666:R1666"/>
    <mergeCell ref="S1666:V1666"/>
    <mergeCell ref="C1678:J1679"/>
    <mergeCell ref="K1678:X1678"/>
    <mergeCell ref="Y1678:AG1679"/>
    <mergeCell ref="AH1678:AL1679"/>
    <mergeCell ref="K1679:X1679"/>
    <mergeCell ref="C1680:F1680"/>
    <mergeCell ref="G1680:AE1681"/>
    <mergeCell ref="AF1680:AG1681"/>
    <mergeCell ref="AH1680:AI1681"/>
    <mergeCell ref="AA1671:AF1671"/>
    <mergeCell ref="AG1671:AK1671"/>
    <mergeCell ref="AG1673:AL1673"/>
    <mergeCell ref="D1674:AH1674"/>
    <mergeCell ref="A1675:I1677"/>
    <mergeCell ref="J1675:AH1675"/>
    <mergeCell ref="J1676:AF1676"/>
    <mergeCell ref="J1677:AE1677"/>
    <mergeCell ref="W1670:Z1670"/>
    <mergeCell ref="AA1670:AF1670"/>
    <mergeCell ref="AG1670:AK1670"/>
    <mergeCell ref="B1671:D1671"/>
    <mergeCell ref="E1671:H1671"/>
    <mergeCell ref="J1671:L1671"/>
    <mergeCell ref="M1671:O1671"/>
    <mergeCell ref="P1671:R1671"/>
    <mergeCell ref="S1671:V1671"/>
    <mergeCell ref="W1671:Z1671"/>
    <mergeCell ref="B1670:D1670"/>
    <mergeCell ref="E1670:H1670"/>
    <mergeCell ref="J1670:L1670"/>
    <mergeCell ref="M1670:O1670"/>
    <mergeCell ref="P1670:R1670"/>
    <mergeCell ref="S1670:V1670"/>
    <mergeCell ref="W1685:Z1685"/>
    <mergeCell ref="AA1685:AF1685"/>
    <mergeCell ref="AG1685:AK1685"/>
    <mergeCell ref="B1686:D1686"/>
    <mergeCell ref="E1686:H1686"/>
    <mergeCell ref="J1686:L1686"/>
    <mergeCell ref="M1686:O1686"/>
    <mergeCell ref="P1686:R1686"/>
    <mergeCell ref="S1686:V1686"/>
    <mergeCell ref="W1686:Z1686"/>
    <mergeCell ref="B1685:D1685"/>
    <mergeCell ref="E1685:H1685"/>
    <mergeCell ref="J1685:L1685"/>
    <mergeCell ref="M1685:O1685"/>
    <mergeCell ref="P1685:R1685"/>
    <mergeCell ref="S1685:V1685"/>
    <mergeCell ref="AH1683:AK1683"/>
    <mergeCell ref="B1684:D1684"/>
    <mergeCell ref="E1684:H1684"/>
    <mergeCell ref="J1684:L1684"/>
    <mergeCell ref="M1684:O1684"/>
    <mergeCell ref="P1684:R1684"/>
    <mergeCell ref="S1684:V1684"/>
    <mergeCell ref="W1684:Z1684"/>
    <mergeCell ref="AA1684:AF1684"/>
    <mergeCell ref="AG1684:AK1684"/>
    <mergeCell ref="O1682:Q1682"/>
    <mergeCell ref="V1682:Y1682"/>
    <mergeCell ref="AD1682:AJ1682"/>
    <mergeCell ref="B1683:D1683"/>
    <mergeCell ref="E1683:G1683"/>
    <mergeCell ref="J1683:N1683"/>
    <mergeCell ref="Q1683:R1683"/>
    <mergeCell ref="U1683:V1683"/>
    <mergeCell ref="X1683:Z1683"/>
    <mergeCell ref="AC1683:AF1683"/>
    <mergeCell ref="W1689:Z1689"/>
    <mergeCell ref="AA1689:AF1689"/>
    <mergeCell ref="AG1689:AK1689"/>
    <mergeCell ref="B1690:D1690"/>
    <mergeCell ref="E1690:H1690"/>
    <mergeCell ref="J1690:L1691"/>
    <mergeCell ref="M1690:O1690"/>
    <mergeCell ref="P1690:R1690"/>
    <mergeCell ref="S1690:V1690"/>
    <mergeCell ref="W1690:Z1690"/>
    <mergeCell ref="B1689:D1689"/>
    <mergeCell ref="E1689:H1689"/>
    <mergeCell ref="J1689:L1689"/>
    <mergeCell ref="M1689:O1689"/>
    <mergeCell ref="P1689:R1689"/>
    <mergeCell ref="S1689:V1689"/>
    <mergeCell ref="AG1687:AK1687"/>
    <mergeCell ref="B1688:D1688"/>
    <mergeCell ref="E1688:H1688"/>
    <mergeCell ref="J1688:L1688"/>
    <mergeCell ref="M1688:O1688"/>
    <mergeCell ref="P1688:R1688"/>
    <mergeCell ref="S1688:V1688"/>
    <mergeCell ref="W1688:Z1688"/>
    <mergeCell ref="AA1688:AF1688"/>
    <mergeCell ref="AG1688:AK1688"/>
    <mergeCell ref="AA1686:AF1686"/>
    <mergeCell ref="AG1686:AK1686"/>
    <mergeCell ref="B1687:D1687"/>
    <mergeCell ref="E1687:H1687"/>
    <mergeCell ref="J1687:L1687"/>
    <mergeCell ref="M1687:O1687"/>
    <mergeCell ref="P1687:R1687"/>
    <mergeCell ref="S1687:V1687"/>
    <mergeCell ref="W1687:Z1687"/>
    <mergeCell ref="AA1687:AF1687"/>
    <mergeCell ref="W1695:Z1695"/>
    <mergeCell ref="AA1695:AF1695"/>
    <mergeCell ref="AG1695:AK1695"/>
    <mergeCell ref="B1696:D1696"/>
    <mergeCell ref="E1696:H1696"/>
    <mergeCell ref="J1696:L1696"/>
    <mergeCell ref="M1696:O1696"/>
    <mergeCell ref="P1696:R1696"/>
    <mergeCell ref="S1696:V1696"/>
    <mergeCell ref="W1696:Z1696"/>
    <mergeCell ref="B1695:D1695"/>
    <mergeCell ref="E1695:H1695"/>
    <mergeCell ref="J1695:L1695"/>
    <mergeCell ref="M1695:O1695"/>
    <mergeCell ref="P1695:R1695"/>
    <mergeCell ref="S1695:V1695"/>
    <mergeCell ref="AG1692:AK1692"/>
    <mergeCell ref="B1693:D1693"/>
    <mergeCell ref="E1693:H1693"/>
    <mergeCell ref="J1693:L1694"/>
    <mergeCell ref="M1693:O1693"/>
    <mergeCell ref="P1693:R1693"/>
    <mergeCell ref="S1693:V1693"/>
    <mergeCell ref="W1693:Z1693"/>
    <mergeCell ref="AA1693:AF1693"/>
    <mergeCell ref="AG1693:AK1693"/>
    <mergeCell ref="AA1690:AF1690"/>
    <mergeCell ref="AG1690:AK1690"/>
    <mergeCell ref="B1692:D1692"/>
    <mergeCell ref="E1692:H1692"/>
    <mergeCell ref="J1692:L1692"/>
    <mergeCell ref="M1692:O1692"/>
    <mergeCell ref="P1692:R1692"/>
    <mergeCell ref="S1692:V1692"/>
    <mergeCell ref="W1692:Z1692"/>
    <mergeCell ref="AA1692:AF1692"/>
    <mergeCell ref="W1699:Z1699"/>
    <mergeCell ref="AA1699:AF1699"/>
    <mergeCell ref="AG1699:AK1699"/>
    <mergeCell ref="B1700:D1700"/>
    <mergeCell ref="E1700:H1700"/>
    <mergeCell ref="J1700:L1700"/>
    <mergeCell ref="M1700:O1700"/>
    <mergeCell ref="P1700:R1700"/>
    <mergeCell ref="S1700:V1700"/>
    <mergeCell ref="W1700:Z1700"/>
    <mergeCell ref="B1699:D1699"/>
    <mergeCell ref="E1699:H1699"/>
    <mergeCell ref="J1699:L1699"/>
    <mergeCell ref="M1699:O1699"/>
    <mergeCell ref="P1699:R1699"/>
    <mergeCell ref="S1699:V1699"/>
    <mergeCell ref="AG1697:AK1697"/>
    <mergeCell ref="B1698:D1698"/>
    <mergeCell ref="E1698:H1698"/>
    <mergeCell ref="J1698:L1698"/>
    <mergeCell ref="M1698:O1698"/>
    <mergeCell ref="P1698:R1698"/>
    <mergeCell ref="S1698:V1698"/>
    <mergeCell ref="W1698:Z1698"/>
    <mergeCell ref="AA1698:AF1698"/>
    <mergeCell ref="AG1698:AK1698"/>
    <mergeCell ref="AA1696:AF1696"/>
    <mergeCell ref="AG1696:AK1696"/>
    <mergeCell ref="B1697:D1697"/>
    <mergeCell ref="E1697:H1697"/>
    <mergeCell ref="J1697:L1697"/>
    <mergeCell ref="M1697:O1697"/>
    <mergeCell ref="P1697:R1697"/>
    <mergeCell ref="S1697:V1697"/>
    <mergeCell ref="W1697:Z1697"/>
    <mergeCell ref="AA1697:AF1697"/>
    <mergeCell ref="W1703:Z1703"/>
    <mergeCell ref="AA1703:AF1703"/>
    <mergeCell ref="AG1703:AK1703"/>
    <mergeCell ref="B1704:D1704"/>
    <mergeCell ref="E1704:H1704"/>
    <mergeCell ref="J1704:L1705"/>
    <mergeCell ref="M1704:O1704"/>
    <mergeCell ref="P1704:R1704"/>
    <mergeCell ref="S1704:V1704"/>
    <mergeCell ref="W1704:Z1704"/>
    <mergeCell ref="B1703:D1703"/>
    <mergeCell ref="E1703:H1703"/>
    <mergeCell ref="J1703:L1703"/>
    <mergeCell ref="M1703:O1703"/>
    <mergeCell ref="P1703:R1703"/>
    <mergeCell ref="S1703:V1703"/>
    <mergeCell ref="AG1701:AK1701"/>
    <mergeCell ref="B1702:D1702"/>
    <mergeCell ref="E1702:H1702"/>
    <mergeCell ref="J1702:L1702"/>
    <mergeCell ref="M1702:O1702"/>
    <mergeCell ref="P1702:R1702"/>
    <mergeCell ref="S1702:V1702"/>
    <mergeCell ref="W1702:Z1702"/>
    <mergeCell ref="AA1702:AF1702"/>
    <mergeCell ref="AG1702:AK1702"/>
    <mergeCell ref="AA1700:AF1700"/>
    <mergeCell ref="AG1700:AK1700"/>
    <mergeCell ref="B1701:D1701"/>
    <mergeCell ref="E1701:H1701"/>
    <mergeCell ref="J1701:L1701"/>
    <mergeCell ref="M1701:O1701"/>
    <mergeCell ref="P1701:R1701"/>
    <mergeCell ref="S1701:V1701"/>
    <mergeCell ref="W1701:Z1701"/>
    <mergeCell ref="AA1701:AF1701"/>
    <mergeCell ref="W1708:Z1708"/>
    <mergeCell ref="AA1708:AF1708"/>
    <mergeCell ref="AG1708:AK1708"/>
    <mergeCell ref="B1709:D1709"/>
    <mergeCell ref="E1709:H1709"/>
    <mergeCell ref="J1709:L1709"/>
    <mergeCell ref="M1709:O1709"/>
    <mergeCell ref="P1709:R1709"/>
    <mergeCell ref="S1709:V1709"/>
    <mergeCell ref="W1709:Z1709"/>
    <mergeCell ref="B1708:D1708"/>
    <mergeCell ref="E1708:H1708"/>
    <mergeCell ref="J1708:L1708"/>
    <mergeCell ref="M1708:O1708"/>
    <mergeCell ref="P1708:R1708"/>
    <mergeCell ref="S1708:V1708"/>
    <mergeCell ref="AG1706:AK1706"/>
    <mergeCell ref="B1707:D1707"/>
    <mergeCell ref="E1707:H1707"/>
    <mergeCell ref="J1707:L1707"/>
    <mergeCell ref="M1707:O1707"/>
    <mergeCell ref="P1707:R1707"/>
    <mergeCell ref="S1707:V1707"/>
    <mergeCell ref="W1707:Z1707"/>
    <mergeCell ref="AA1707:AF1707"/>
    <mergeCell ref="AG1707:AK1707"/>
    <mergeCell ref="AA1704:AF1704"/>
    <mergeCell ref="AG1704:AK1704"/>
    <mergeCell ref="B1706:D1706"/>
    <mergeCell ref="E1706:H1706"/>
    <mergeCell ref="J1706:L1706"/>
    <mergeCell ref="M1706:O1706"/>
    <mergeCell ref="P1706:R1706"/>
    <mergeCell ref="S1706:V1706"/>
    <mergeCell ref="W1706:Z1706"/>
    <mergeCell ref="AA1706:AF1706"/>
    <mergeCell ref="W1712:Z1712"/>
    <mergeCell ref="AA1712:AF1712"/>
    <mergeCell ref="AG1712:AK1712"/>
    <mergeCell ref="B1713:D1713"/>
    <mergeCell ref="E1713:H1713"/>
    <mergeCell ref="J1713:L1713"/>
    <mergeCell ref="M1713:O1713"/>
    <mergeCell ref="P1713:R1713"/>
    <mergeCell ref="S1713:V1713"/>
    <mergeCell ref="W1713:Z1713"/>
    <mergeCell ref="B1712:D1712"/>
    <mergeCell ref="E1712:H1712"/>
    <mergeCell ref="J1712:L1712"/>
    <mergeCell ref="M1712:O1712"/>
    <mergeCell ref="P1712:R1712"/>
    <mergeCell ref="S1712:V1712"/>
    <mergeCell ref="AG1710:AK1710"/>
    <mergeCell ref="B1711:D1711"/>
    <mergeCell ref="E1711:H1711"/>
    <mergeCell ref="J1711:L1711"/>
    <mergeCell ref="M1711:O1711"/>
    <mergeCell ref="P1711:R1711"/>
    <mergeCell ref="S1711:V1711"/>
    <mergeCell ref="W1711:Z1711"/>
    <mergeCell ref="AA1711:AF1711"/>
    <mergeCell ref="AG1711:AK1711"/>
    <mergeCell ref="AA1709:AF1709"/>
    <mergeCell ref="AG1709:AK1709"/>
    <mergeCell ref="B1710:D1710"/>
    <mergeCell ref="E1710:H1710"/>
    <mergeCell ref="J1710:L1710"/>
    <mergeCell ref="M1710:O1710"/>
    <mergeCell ref="P1710:R1710"/>
    <mergeCell ref="S1710:V1710"/>
    <mergeCell ref="W1710:Z1710"/>
    <mergeCell ref="AA1710:AF1710"/>
    <mergeCell ref="W1716:Z1716"/>
    <mergeCell ref="AA1716:AF1716"/>
    <mergeCell ref="AG1716:AK1716"/>
    <mergeCell ref="B1717:D1717"/>
    <mergeCell ref="E1717:H1717"/>
    <mergeCell ref="J1717:L1717"/>
    <mergeCell ref="M1717:O1717"/>
    <mergeCell ref="P1717:R1717"/>
    <mergeCell ref="S1717:V1717"/>
    <mergeCell ref="W1717:Z1717"/>
    <mergeCell ref="B1716:D1716"/>
    <mergeCell ref="E1716:H1716"/>
    <mergeCell ref="J1716:L1716"/>
    <mergeCell ref="M1716:O1716"/>
    <mergeCell ref="P1716:R1716"/>
    <mergeCell ref="S1716:V1716"/>
    <mergeCell ref="AG1714:AK1714"/>
    <mergeCell ref="B1715:D1715"/>
    <mergeCell ref="E1715:H1715"/>
    <mergeCell ref="J1715:L1715"/>
    <mergeCell ref="M1715:O1715"/>
    <mergeCell ref="P1715:R1715"/>
    <mergeCell ref="S1715:V1715"/>
    <mergeCell ref="W1715:Z1715"/>
    <mergeCell ref="AA1715:AF1715"/>
    <mergeCell ref="AG1715:AK1715"/>
    <mergeCell ref="AA1713:AF1713"/>
    <mergeCell ref="AG1713:AK1713"/>
    <mergeCell ref="B1714:D1714"/>
    <mergeCell ref="E1714:H1714"/>
    <mergeCell ref="J1714:L1714"/>
    <mergeCell ref="M1714:O1714"/>
    <mergeCell ref="P1714:R1714"/>
    <mergeCell ref="S1714:V1714"/>
    <mergeCell ref="W1714:Z1714"/>
    <mergeCell ref="AA1714:AF1714"/>
    <mergeCell ref="W1720:Z1720"/>
    <mergeCell ref="AA1720:AF1720"/>
    <mergeCell ref="AG1720:AK1720"/>
    <mergeCell ref="B1721:D1721"/>
    <mergeCell ref="E1721:H1721"/>
    <mergeCell ref="J1721:L1721"/>
    <mergeCell ref="M1721:O1721"/>
    <mergeCell ref="P1721:R1721"/>
    <mergeCell ref="S1721:V1721"/>
    <mergeCell ref="W1721:Z1721"/>
    <mergeCell ref="B1720:D1720"/>
    <mergeCell ref="E1720:H1720"/>
    <mergeCell ref="J1720:L1720"/>
    <mergeCell ref="M1720:O1720"/>
    <mergeCell ref="P1720:R1720"/>
    <mergeCell ref="S1720:V1720"/>
    <mergeCell ref="AG1718:AK1718"/>
    <mergeCell ref="B1719:D1719"/>
    <mergeCell ref="E1719:H1719"/>
    <mergeCell ref="J1719:L1719"/>
    <mergeCell ref="M1719:O1719"/>
    <mergeCell ref="P1719:R1719"/>
    <mergeCell ref="S1719:V1719"/>
    <mergeCell ref="W1719:Z1719"/>
    <mergeCell ref="AA1719:AF1719"/>
    <mergeCell ref="AG1719:AK1719"/>
    <mergeCell ref="AA1717:AF1717"/>
    <mergeCell ref="AG1717:AK1717"/>
    <mergeCell ref="B1718:D1718"/>
    <mergeCell ref="E1718:H1718"/>
    <mergeCell ref="J1718:L1718"/>
    <mergeCell ref="M1718:O1718"/>
    <mergeCell ref="P1718:R1718"/>
    <mergeCell ref="S1718:V1718"/>
    <mergeCell ref="W1718:Z1718"/>
    <mergeCell ref="AA1718:AF1718"/>
    <mergeCell ref="W1724:Z1724"/>
    <mergeCell ref="AA1724:AF1724"/>
    <mergeCell ref="AG1724:AK1724"/>
    <mergeCell ref="B1725:D1725"/>
    <mergeCell ref="E1725:H1725"/>
    <mergeCell ref="J1725:L1725"/>
    <mergeCell ref="M1725:O1725"/>
    <mergeCell ref="P1725:R1725"/>
    <mergeCell ref="S1725:V1725"/>
    <mergeCell ref="W1725:Z1725"/>
    <mergeCell ref="B1724:D1724"/>
    <mergeCell ref="E1724:H1724"/>
    <mergeCell ref="J1724:L1724"/>
    <mergeCell ref="M1724:O1724"/>
    <mergeCell ref="P1724:R1724"/>
    <mergeCell ref="S1724:V1724"/>
    <mergeCell ref="AG1722:AK1722"/>
    <mergeCell ref="B1723:D1723"/>
    <mergeCell ref="E1723:H1723"/>
    <mergeCell ref="J1723:L1723"/>
    <mergeCell ref="M1723:O1723"/>
    <mergeCell ref="P1723:R1723"/>
    <mergeCell ref="S1723:V1723"/>
    <mergeCell ref="W1723:Z1723"/>
    <mergeCell ref="AA1723:AF1723"/>
    <mergeCell ref="AG1723:AK1723"/>
    <mergeCell ref="AA1721:AF1721"/>
    <mergeCell ref="AG1721:AK1721"/>
    <mergeCell ref="B1722:D1722"/>
    <mergeCell ref="E1722:H1722"/>
    <mergeCell ref="J1722:L1722"/>
    <mergeCell ref="M1722:O1722"/>
    <mergeCell ref="P1722:R1722"/>
    <mergeCell ref="S1722:V1722"/>
    <mergeCell ref="W1722:Z1722"/>
    <mergeCell ref="AA1722:AF1722"/>
    <mergeCell ref="W1729:Z1729"/>
    <mergeCell ref="AA1729:AF1729"/>
    <mergeCell ref="AG1729:AK1729"/>
    <mergeCell ref="B1730:D1730"/>
    <mergeCell ref="E1730:H1730"/>
    <mergeCell ref="J1730:L1731"/>
    <mergeCell ref="M1730:O1730"/>
    <mergeCell ref="P1730:R1730"/>
    <mergeCell ref="S1730:V1730"/>
    <mergeCell ref="W1730:Z1730"/>
    <mergeCell ref="B1729:D1729"/>
    <mergeCell ref="E1729:H1729"/>
    <mergeCell ref="J1729:L1729"/>
    <mergeCell ref="M1729:O1729"/>
    <mergeCell ref="P1729:R1729"/>
    <mergeCell ref="S1729:V1729"/>
    <mergeCell ref="AG1726:AK1726"/>
    <mergeCell ref="B1728:D1728"/>
    <mergeCell ref="E1728:H1728"/>
    <mergeCell ref="J1728:L1728"/>
    <mergeCell ref="M1728:O1728"/>
    <mergeCell ref="P1728:R1728"/>
    <mergeCell ref="S1728:V1728"/>
    <mergeCell ref="W1728:Z1728"/>
    <mergeCell ref="AA1728:AF1728"/>
    <mergeCell ref="AG1728:AK1728"/>
    <mergeCell ref="AA1725:AF1725"/>
    <mergeCell ref="AG1725:AK1725"/>
    <mergeCell ref="B1726:D1726"/>
    <mergeCell ref="E1726:H1726"/>
    <mergeCell ref="J1726:L1727"/>
    <mergeCell ref="M1726:O1726"/>
    <mergeCell ref="P1726:R1726"/>
    <mergeCell ref="S1726:V1726"/>
    <mergeCell ref="W1726:Z1726"/>
    <mergeCell ref="AA1726:AF1726"/>
    <mergeCell ref="AH1743:AK1743"/>
    <mergeCell ref="B1744:D1744"/>
    <mergeCell ref="E1744:H1744"/>
    <mergeCell ref="J1744:L1744"/>
    <mergeCell ref="M1744:O1744"/>
    <mergeCell ref="P1744:R1744"/>
    <mergeCell ref="S1744:V1744"/>
    <mergeCell ref="W1744:Z1744"/>
    <mergeCell ref="AA1744:AF1744"/>
    <mergeCell ref="AG1744:AK1744"/>
    <mergeCell ref="O1742:Q1742"/>
    <mergeCell ref="V1742:Y1742"/>
    <mergeCell ref="AD1742:AJ1742"/>
    <mergeCell ref="B1743:D1743"/>
    <mergeCell ref="E1743:G1743"/>
    <mergeCell ref="J1743:N1743"/>
    <mergeCell ref="Q1743:R1743"/>
    <mergeCell ref="U1743:V1743"/>
    <mergeCell ref="X1743:Z1743"/>
    <mergeCell ref="AC1743:AF1743"/>
    <mergeCell ref="C1738:J1739"/>
    <mergeCell ref="K1738:X1738"/>
    <mergeCell ref="Y1738:AG1739"/>
    <mergeCell ref="AH1738:AL1739"/>
    <mergeCell ref="K1739:X1739"/>
    <mergeCell ref="C1740:F1740"/>
    <mergeCell ref="G1740:AE1741"/>
    <mergeCell ref="AF1740:AG1741"/>
    <mergeCell ref="AH1740:AI1741"/>
    <mergeCell ref="AA1730:AF1730"/>
    <mergeCell ref="AG1730:AK1730"/>
    <mergeCell ref="AG1733:AL1733"/>
    <mergeCell ref="D1734:AH1734"/>
    <mergeCell ref="A1735:I1737"/>
    <mergeCell ref="J1735:AH1735"/>
    <mergeCell ref="J1736:AF1736"/>
    <mergeCell ref="J1737:AE1737"/>
    <mergeCell ref="AG1748:AK1748"/>
    <mergeCell ref="B1749:D1749"/>
    <mergeCell ref="E1749:H1749"/>
    <mergeCell ref="J1749:L1749"/>
    <mergeCell ref="M1749:O1749"/>
    <mergeCell ref="P1749:R1749"/>
    <mergeCell ref="S1749:V1749"/>
    <mergeCell ref="W1749:Z1749"/>
    <mergeCell ref="AA1749:AF1749"/>
    <mergeCell ref="AG1749:AK1749"/>
    <mergeCell ref="AA1746:AF1746"/>
    <mergeCell ref="AG1746:AK1746"/>
    <mergeCell ref="B1748:D1748"/>
    <mergeCell ref="E1748:H1748"/>
    <mergeCell ref="J1748:L1748"/>
    <mergeCell ref="M1748:O1748"/>
    <mergeCell ref="P1748:R1748"/>
    <mergeCell ref="S1748:V1748"/>
    <mergeCell ref="W1748:Z1748"/>
    <mergeCell ref="AA1748:AF1748"/>
    <mergeCell ref="W1745:Z1745"/>
    <mergeCell ref="AA1745:AF1745"/>
    <mergeCell ref="AG1745:AK1745"/>
    <mergeCell ref="B1746:D1746"/>
    <mergeCell ref="E1746:H1746"/>
    <mergeCell ref="J1746:L1747"/>
    <mergeCell ref="M1746:O1746"/>
    <mergeCell ref="P1746:R1746"/>
    <mergeCell ref="S1746:V1746"/>
    <mergeCell ref="W1746:Z1746"/>
    <mergeCell ref="B1745:D1745"/>
    <mergeCell ref="E1745:H1745"/>
    <mergeCell ref="J1745:L1745"/>
    <mergeCell ref="M1745:O1745"/>
    <mergeCell ref="P1745:R1745"/>
    <mergeCell ref="S1745:V1745"/>
    <mergeCell ref="AG1753:AK1753"/>
    <mergeCell ref="B1754:D1754"/>
    <mergeCell ref="E1754:H1754"/>
    <mergeCell ref="J1754:L1755"/>
    <mergeCell ref="M1754:O1754"/>
    <mergeCell ref="P1754:R1754"/>
    <mergeCell ref="S1754:V1754"/>
    <mergeCell ref="W1754:Z1754"/>
    <mergeCell ref="AA1754:AF1754"/>
    <mergeCell ref="AG1754:AK1754"/>
    <mergeCell ref="AA1752:AF1752"/>
    <mergeCell ref="AG1752:AK1752"/>
    <mergeCell ref="B1753:D1753"/>
    <mergeCell ref="E1753:H1753"/>
    <mergeCell ref="J1753:L1753"/>
    <mergeCell ref="M1753:O1753"/>
    <mergeCell ref="P1753:R1753"/>
    <mergeCell ref="S1753:V1753"/>
    <mergeCell ref="W1753:Z1753"/>
    <mergeCell ref="AA1753:AF1753"/>
    <mergeCell ref="W1750:Z1750"/>
    <mergeCell ref="AA1750:AF1750"/>
    <mergeCell ref="AG1750:AK1750"/>
    <mergeCell ref="B1752:D1752"/>
    <mergeCell ref="E1752:H1752"/>
    <mergeCell ref="J1752:L1752"/>
    <mergeCell ref="M1752:O1752"/>
    <mergeCell ref="P1752:R1752"/>
    <mergeCell ref="S1752:V1752"/>
    <mergeCell ref="W1752:Z1752"/>
    <mergeCell ref="B1750:D1750"/>
    <mergeCell ref="E1750:H1750"/>
    <mergeCell ref="J1750:L1751"/>
    <mergeCell ref="M1750:O1750"/>
    <mergeCell ref="P1750:R1750"/>
    <mergeCell ref="S1750:V1750"/>
    <mergeCell ref="AG1758:AK1758"/>
    <mergeCell ref="B1759:D1759"/>
    <mergeCell ref="E1759:H1759"/>
    <mergeCell ref="J1759:L1759"/>
    <mergeCell ref="M1759:O1759"/>
    <mergeCell ref="P1759:R1759"/>
    <mergeCell ref="S1759:V1759"/>
    <mergeCell ref="W1759:Z1759"/>
    <mergeCell ref="AA1759:AF1759"/>
    <mergeCell ref="AG1759:AK1759"/>
    <mergeCell ref="AA1757:AF1757"/>
    <mergeCell ref="AG1757:AK1757"/>
    <mergeCell ref="B1758:D1758"/>
    <mergeCell ref="E1758:H1758"/>
    <mergeCell ref="J1758:L1758"/>
    <mergeCell ref="M1758:O1758"/>
    <mergeCell ref="P1758:R1758"/>
    <mergeCell ref="S1758:V1758"/>
    <mergeCell ref="W1758:Z1758"/>
    <mergeCell ref="AA1758:AF1758"/>
    <mergeCell ref="W1756:Z1756"/>
    <mergeCell ref="AA1756:AF1756"/>
    <mergeCell ref="AG1756:AK1756"/>
    <mergeCell ref="B1757:D1757"/>
    <mergeCell ref="E1757:H1757"/>
    <mergeCell ref="J1757:L1757"/>
    <mergeCell ref="M1757:O1757"/>
    <mergeCell ref="P1757:R1757"/>
    <mergeCell ref="S1757:V1757"/>
    <mergeCell ref="W1757:Z1757"/>
    <mergeCell ref="B1756:D1756"/>
    <mergeCell ref="E1756:H1756"/>
    <mergeCell ref="J1756:L1756"/>
    <mergeCell ref="M1756:O1756"/>
    <mergeCell ref="P1756:R1756"/>
    <mergeCell ref="S1756:V1756"/>
    <mergeCell ref="AG1762:AK1762"/>
    <mergeCell ref="B1763:D1763"/>
    <mergeCell ref="E1763:H1763"/>
    <mergeCell ref="J1763:L1763"/>
    <mergeCell ref="M1763:O1763"/>
    <mergeCell ref="P1763:R1763"/>
    <mergeCell ref="S1763:V1763"/>
    <mergeCell ref="W1763:Z1763"/>
    <mergeCell ref="AA1763:AF1763"/>
    <mergeCell ref="AG1763:AK1763"/>
    <mergeCell ref="AA1761:AF1761"/>
    <mergeCell ref="AG1761:AK1761"/>
    <mergeCell ref="B1762:D1762"/>
    <mergeCell ref="E1762:H1762"/>
    <mergeCell ref="J1762:L1762"/>
    <mergeCell ref="M1762:O1762"/>
    <mergeCell ref="P1762:R1762"/>
    <mergeCell ref="S1762:V1762"/>
    <mergeCell ref="W1762:Z1762"/>
    <mergeCell ref="AA1762:AF1762"/>
    <mergeCell ref="W1760:Z1760"/>
    <mergeCell ref="AA1760:AF1760"/>
    <mergeCell ref="AG1760:AK1760"/>
    <mergeCell ref="B1761:D1761"/>
    <mergeCell ref="E1761:H1761"/>
    <mergeCell ref="J1761:L1761"/>
    <mergeCell ref="M1761:O1761"/>
    <mergeCell ref="P1761:R1761"/>
    <mergeCell ref="S1761:V1761"/>
    <mergeCell ref="W1761:Z1761"/>
    <mergeCell ref="B1760:D1760"/>
    <mergeCell ref="E1760:H1760"/>
    <mergeCell ref="J1760:L1760"/>
    <mergeCell ref="M1760:O1760"/>
    <mergeCell ref="P1760:R1760"/>
    <mergeCell ref="S1760:V1760"/>
    <mergeCell ref="AG1766:AK1766"/>
    <mergeCell ref="B1767:D1767"/>
    <mergeCell ref="E1767:H1767"/>
    <mergeCell ref="J1767:L1767"/>
    <mergeCell ref="M1767:O1767"/>
    <mergeCell ref="P1767:R1767"/>
    <mergeCell ref="S1767:V1767"/>
    <mergeCell ref="W1767:Z1767"/>
    <mergeCell ref="AA1767:AF1767"/>
    <mergeCell ref="AG1767:AK1767"/>
    <mergeCell ref="AA1765:AF1765"/>
    <mergeCell ref="AG1765:AK1765"/>
    <mergeCell ref="B1766:D1766"/>
    <mergeCell ref="E1766:H1766"/>
    <mergeCell ref="J1766:L1766"/>
    <mergeCell ref="M1766:O1766"/>
    <mergeCell ref="P1766:R1766"/>
    <mergeCell ref="S1766:V1766"/>
    <mergeCell ref="W1766:Z1766"/>
    <mergeCell ref="AA1766:AF1766"/>
    <mergeCell ref="W1764:Z1764"/>
    <mergeCell ref="AA1764:AF1764"/>
    <mergeCell ref="AG1764:AK1764"/>
    <mergeCell ref="B1765:D1765"/>
    <mergeCell ref="E1765:H1765"/>
    <mergeCell ref="J1765:L1765"/>
    <mergeCell ref="M1765:O1765"/>
    <mergeCell ref="P1765:R1765"/>
    <mergeCell ref="S1765:V1765"/>
    <mergeCell ref="W1765:Z1765"/>
    <mergeCell ref="B1764:D1764"/>
    <mergeCell ref="E1764:H1764"/>
    <mergeCell ref="J1764:L1764"/>
    <mergeCell ref="M1764:O1764"/>
    <mergeCell ref="P1764:R1764"/>
    <mergeCell ref="S1764:V1764"/>
    <mergeCell ref="AG1770:AK1770"/>
    <mergeCell ref="B1771:D1771"/>
    <mergeCell ref="E1771:H1771"/>
    <mergeCell ref="J1771:L1771"/>
    <mergeCell ref="M1771:O1771"/>
    <mergeCell ref="P1771:R1771"/>
    <mergeCell ref="S1771:V1771"/>
    <mergeCell ref="W1771:Z1771"/>
    <mergeCell ref="AA1771:AF1771"/>
    <mergeCell ref="AG1771:AK1771"/>
    <mergeCell ref="AA1769:AF1769"/>
    <mergeCell ref="AG1769:AK1769"/>
    <mergeCell ref="B1770:D1770"/>
    <mergeCell ref="E1770:H1770"/>
    <mergeCell ref="J1770:L1770"/>
    <mergeCell ref="M1770:O1770"/>
    <mergeCell ref="P1770:R1770"/>
    <mergeCell ref="S1770:V1770"/>
    <mergeCell ref="W1770:Z1770"/>
    <mergeCell ref="AA1770:AF1770"/>
    <mergeCell ref="W1768:Z1768"/>
    <mergeCell ref="AA1768:AF1768"/>
    <mergeCell ref="AG1768:AK1768"/>
    <mergeCell ref="B1769:D1769"/>
    <mergeCell ref="E1769:H1769"/>
    <mergeCell ref="J1769:L1769"/>
    <mergeCell ref="M1769:O1769"/>
    <mergeCell ref="P1769:R1769"/>
    <mergeCell ref="S1769:V1769"/>
    <mergeCell ref="W1769:Z1769"/>
    <mergeCell ref="B1768:D1768"/>
    <mergeCell ref="E1768:H1768"/>
    <mergeCell ref="J1768:L1768"/>
    <mergeCell ref="M1768:O1768"/>
    <mergeCell ref="P1768:R1768"/>
    <mergeCell ref="S1768:V1768"/>
    <mergeCell ref="AG1774:AK1774"/>
    <mergeCell ref="B1775:D1775"/>
    <mergeCell ref="E1775:H1775"/>
    <mergeCell ref="J1775:L1775"/>
    <mergeCell ref="M1775:O1775"/>
    <mergeCell ref="P1775:R1775"/>
    <mergeCell ref="S1775:V1775"/>
    <mergeCell ref="W1775:Z1775"/>
    <mergeCell ref="AA1775:AF1775"/>
    <mergeCell ref="AG1775:AK1775"/>
    <mergeCell ref="AA1773:AF1773"/>
    <mergeCell ref="AG1773:AK1773"/>
    <mergeCell ref="B1774:D1774"/>
    <mergeCell ref="E1774:H1774"/>
    <mergeCell ref="J1774:L1774"/>
    <mergeCell ref="M1774:O1774"/>
    <mergeCell ref="P1774:R1774"/>
    <mergeCell ref="S1774:V1774"/>
    <mergeCell ref="W1774:Z1774"/>
    <mergeCell ref="AA1774:AF1774"/>
    <mergeCell ref="W1772:Z1772"/>
    <mergeCell ref="AA1772:AF1772"/>
    <mergeCell ref="AG1772:AK1772"/>
    <mergeCell ref="B1773:D1773"/>
    <mergeCell ref="E1773:H1773"/>
    <mergeCell ref="J1773:L1773"/>
    <mergeCell ref="M1773:O1773"/>
    <mergeCell ref="P1773:R1773"/>
    <mergeCell ref="S1773:V1773"/>
    <mergeCell ref="W1773:Z1773"/>
    <mergeCell ref="B1772:D1772"/>
    <mergeCell ref="E1772:H1772"/>
    <mergeCell ref="J1772:L1772"/>
    <mergeCell ref="M1772:O1772"/>
    <mergeCell ref="P1772:R1772"/>
    <mergeCell ref="S1772:V1772"/>
    <mergeCell ref="AG1778:AK1778"/>
    <mergeCell ref="B1779:D1779"/>
    <mergeCell ref="E1779:H1779"/>
    <mergeCell ref="J1779:L1779"/>
    <mergeCell ref="M1779:O1779"/>
    <mergeCell ref="P1779:R1779"/>
    <mergeCell ref="S1779:V1779"/>
    <mergeCell ref="W1779:Z1779"/>
    <mergeCell ref="AA1779:AF1779"/>
    <mergeCell ref="AG1779:AK1779"/>
    <mergeCell ref="AA1777:AF1777"/>
    <mergeCell ref="AG1777:AK1777"/>
    <mergeCell ref="B1778:D1778"/>
    <mergeCell ref="E1778:H1778"/>
    <mergeCell ref="J1778:L1778"/>
    <mergeCell ref="M1778:O1778"/>
    <mergeCell ref="P1778:R1778"/>
    <mergeCell ref="S1778:V1778"/>
    <mergeCell ref="W1778:Z1778"/>
    <mergeCell ref="AA1778:AF1778"/>
    <mergeCell ref="W1776:Z1776"/>
    <mergeCell ref="AA1776:AF1776"/>
    <mergeCell ref="AG1776:AK1776"/>
    <mergeCell ref="B1777:D1777"/>
    <mergeCell ref="E1777:H1777"/>
    <mergeCell ref="J1777:L1777"/>
    <mergeCell ref="M1777:O1777"/>
    <mergeCell ref="P1777:R1777"/>
    <mergeCell ref="S1777:V1777"/>
    <mergeCell ref="W1777:Z1777"/>
    <mergeCell ref="B1776:D1776"/>
    <mergeCell ref="E1776:H1776"/>
    <mergeCell ref="J1776:L1776"/>
    <mergeCell ref="M1776:O1776"/>
    <mergeCell ref="P1776:R1776"/>
    <mergeCell ref="S1776:V1776"/>
    <mergeCell ref="AG1782:AK1782"/>
    <mergeCell ref="B1783:D1783"/>
    <mergeCell ref="E1783:H1783"/>
    <mergeCell ref="J1783:L1783"/>
    <mergeCell ref="M1783:O1783"/>
    <mergeCell ref="P1783:R1783"/>
    <mergeCell ref="S1783:V1783"/>
    <mergeCell ref="W1783:Z1783"/>
    <mergeCell ref="AA1783:AF1783"/>
    <mergeCell ref="AG1783:AK1783"/>
    <mergeCell ref="AA1781:AF1781"/>
    <mergeCell ref="AG1781:AK1781"/>
    <mergeCell ref="B1782:D1782"/>
    <mergeCell ref="E1782:H1782"/>
    <mergeCell ref="J1782:L1782"/>
    <mergeCell ref="M1782:O1782"/>
    <mergeCell ref="P1782:R1782"/>
    <mergeCell ref="S1782:V1782"/>
    <mergeCell ref="W1782:Z1782"/>
    <mergeCell ref="AA1782:AF1782"/>
    <mergeCell ref="W1780:Z1780"/>
    <mergeCell ref="AA1780:AF1780"/>
    <mergeCell ref="AG1780:AK1780"/>
    <mergeCell ref="B1781:D1781"/>
    <mergeCell ref="E1781:H1781"/>
    <mergeCell ref="J1781:L1781"/>
    <mergeCell ref="M1781:O1781"/>
    <mergeCell ref="P1781:R1781"/>
    <mergeCell ref="S1781:V1781"/>
    <mergeCell ref="W1781:Z1781"/>
    <mergeCell ref="B1780:D1780"/>
    <mergeCell ref="E1780:H1780"/>
    <mergeCell ref="J1780:L1780"/>
    <mergeCell ref="M1780:O1780"/>
    <mergeCell ref="P1780:R1780"/>
    <mergeCell ref="S1780:V1780"/>
    <mergeCell ref="AG1786:AK1786"/>
    <mergeCell ref="B1787:D1787"/>
    <mergeCell ref="E1787:H1787"/>
    <mergeCell ref="J1787:L1787"/>
    <mergeCell ref="M1787:O1787"/>
    <mergeCell ref="P1787:R1787"/>
    <mergeCell ref="S1787:V1787"/>
    <mergeCell ref="W1787:Z1787"/>
    <mergeCell ref="AA1787:AF1787"/>
    <mergeCell ref="AG1787:AK1787"/>
    <mergeCell ref="AA1785:AF1785"/>
    <mergeCell ref="AG1785:AK1785"/>
    <mergeCell ref="B1786:D1786"/>
    <mergeCell ref="E1786:H1786"/>
    <mergeCell ref="J1786:L1786"/>
    <mergeCell ref="M1786:O1786"/>
    <mergeCell ref="P1786:R1786"/>
    <mergeCell ref="S1786:V1786"/>
    <mergeCell ref="W1786:Z1786"/>
    <mergeCell ref="AA1786:AF1786"/>
    <mergeCell ref="W1784:Z1784"/>
    <mergeCell ref="AA1784:AF1784"/>
    <mergeCell ref="AG1784:AK1784"/>
    <mergeCell ref="B1785:D1785"/>
    <mergeCell ref="E1785:H1785"/>
    <mergeCell ref="J1785:L1785"/>
    <mergeCell ref="M1785:O1785"/>
    <mergeCell ref="P1785:R1785"/>
    <mergeCell ref="S1785:V1785"/>
    <mergeCell ref="W1785:Z1785"/>
    <mergeCell ref="B1784:D1784"/>
    <mergeCell ref="E1784:H1784"/>
    <mergeCell ref="J1784:L1784"/>
    <mergeCell ref="M1784:O1784"/>
    <mergeCell ref="P1784:R1784"/>
    <mergeCell ref="S1784:V1784"/>
    <mergeCell ref="C1798:J1799"/>
    <mergeCell ref="K1798:X1798"/>
    <mergeCell ref="Y1798:AG1799"/>
    <mergeCell ref="AH1798:AL1799"/>
    <mergeCell ref="K1799:X1799"/>
    <mergeCell ref="C1800:F1800"/>
    <mergeCell ref="G1800:AE1801"/>
    <mergeCell ref="AF1800:AG1801"/>
    <mergeCell ref="AH1800:AI1801"/>
    <mergeCell ref="AG1791:AK1791"/>
    <mergeCell ref="AG1793:AL1793"/>
    <mergeCell ref="D1794:AH1794"/>
    <mergeCell ref="A1795:I1797"/>
    <mergeCell ref="J1795:AH1795"/>
    <mergeCell ref="J1796:AF1796"/>
    <mergeCell ref="J1797:AE1797"/>
    <mergeCell ref="AA1789:AF1789"/>
    <mergeCell ref="AG1789:AK1789"/>
    <mergeCell ref="B1791:D1791"/>
    <mergeCell ref="E1791:H1791"/>
    <mergeCell ref="J1791:L1791"/>
    <mergeCell ref="M1791:O1791"/>
    <mergeCell ref="P1791:R1791"/>
    <mergeCell ref="S1791:V1791"/>
    <mergeCell ref="W1791:Z1791"/>
    <mergeCell ref="AA1791:AF1791"/>
    <mergeCell ref="W1788:Z1788"/>
    <mergeCell ref="AA1788:AF1788"/>
    <mergeCell ref="AG1788:AK1788"/>
    <mergeCell ref="B1789:D1789"/>
    <mergeCell ref="E1789:H1789"/>
    <mergeCell ref="J1789:L1790"/>
    <mergeCell ref="M1789:O1789"/>
    <mergeCell ref="P1789:R1789"/>
    <mergeCell ref="S1789:V1789"/>
    <mergeCell ref="W1789:Z1789"/>
    <mergeCell ref="B1788:D1788"/>
    <mergeCell ref="E1788:H1788"/>
    <mergeCell ref="J1788:L1788"/>
    <mergeCell ref="M1788:O1788"/>
    <mergeCell ref="P1788:R1788"/>
    <mergeCell ref="S1788:V1788"/>
    <mergeCell ref="W1806:Z1806"/>
    <mergeCell ref="AA1806:AF1806"/>
    <mergeCell ref="AG1806:AK1806"/>
    <mergeCell ref="B1807:D1807"/>
    <mergeCell ref="E1807:H1807"/>
    <mergeCell ref="J1807:L1807"/>
    <mergeCell ref="M1807:O1807"/>
    <mergeCell ref="P1807:R1807"/>
    <mergeCell ref="S1807:V1807"/>
    <mergeCell ref="W1807:Z1807"/>
    <mergeCell ref="B1806:D1806"/>
    <mergeCell ref="E1806:H1806"/>
    <mergeCell ref="J1806:L1806"/>
    <mergeCell ref="M1806:O1806"/>
    <mergeCell ref="P1806:R1806"/>
    <mergeCell ref="S1806:V1806"/>
    <mergeCell ref="AH1803:AK1803"/>
    <mergeCell ref="B1804:D1804"/>
    <mergeCell ref="E1804:H1804"/>
    <mergeCell ref="J1804:L1805"/>
    <mergeCell ref="M1804:O1804"/>
    <mergeCell ref="P1804:R1804"/>
    <mergeCell ref="S1804:V1804"/>
    <mergeCell ref="W1804:Z1804"/>
    <mergeCell ref="AA1804:AF1804"/>
    <mergeCell ref="AG1804:AK1804"/>
    <mergeCell ref="O1802:Q1802"/>
    <mergeCell ref="V1802:Y1802"/>
    <mergeCell ref="AD1802:AJ1802"/>
    <mergeCell ref="B1803:D1803"/>
    <mergeCell ref="E1803:G1803"/>
    <mergeCell ref="J1803:N1803"/>
    <mergeCell ref="Q1803:R1803"/>
    <mergeCell ref="U1803:V1803"/>
    <mergeCell ref="X1803:Z1803"/>
    <mergeCell ref="AC1803:AF1803"/>
    <mergeCell ref="W1810:Z1810"/>
    <mergeCell ref="AA1810:AF1810"/>
    <mergeCell ref="AG1810:AK1810"/>
    <mergeCell ref="B1811:D1811"/>
    <mergeCell ref="E1811:H1811"/>
    <mergeCell ref="J1811:L1811"/>
    <mergeCell ref="M1811:O1811"/>
    <mergeCell ref="P1811:R1811"/>
    <mergeCell ref="S1811:V1811"/>
    <mergeCell ref="W1811:Z1811"/>
    <mergeCell ref="B1810:D1810"/>
    <mergeCell ref="E1810:H1810"/>
    <mergeCell ref="J1810:L1810"/>
    <mergeCell ref="M1810:O1810"/>
    <mergeCell ref="P1810:R1810"/>
    <mergeCell ref="S1810:V1810"/>
    <mergeCell ref="AG1808:AK1808"/>
    <mergeCell ref="B1809:D1809"/>
    <mergeCell ref="E1809:H1809"/>
    <mergeCell ref="J1809:L1809"/>
    <mergeCell ref="M1809:O1809"/>
    <mergeCell ref="P1809:R1809"/>
    <mergeCell ref="S1809:V1809"/>
    <mergeCell ref="W1809:Z1809"/>
    <mergeCell ref="AA1809:AF1809"/>
    <mergeCell ref="AG1809:AK1809"/>
    <mergeCell ref="AA1807:AF1807"/>
    <mergeCell ref="AG1807:AK1807"/>
    <mergeCell ref="B1808:D1808"/>
    <mergeCell ref="E1808:H1808"/>
    <mergeCell ref="J1808:L1808"/>
    <mergeCell ref="M1808:O1808"/>
    <mergeCell ref="P1808:R1808"/>
    <mergeCell ref="S1808:V1808"/>
    <mergeCell ref="W1808:Z1808"/>
    <mergeCell ref="AA1808:AF1808"/>
    <mergeCell ref="W1814:Z1814"/>
    <mergeCell ref="AA1814:AF1814"/>
    <mergeCell ref="AG1814:AK1814"/>
    <mergeCell ref="B1815:D1815"/>
    <mergeCell ref="E1815:H1815"/>
    <mergeCell ref="J1815:L1816"/>
    <mergeCell ref="M1815:O1815"/>
    <mergeCell ref="P1815:R1815"/>
    <mergeCell ref="S1815:V1815"/>
    <mergeCell ref="W1815:Z1815"/>
    <mergeCell ref="B1814:D1814"/>
    <mergeCell ref="E1814:H1814"/>
    <mergeCell ref="J1814:L1814"/>
    <mergeCell ref="M1814:O1814"/>
    <mergeCell ref="P1814:R1814"/>
    <mergeCell ref="S1814:V1814"/>
    <mergeCell ref="AG1812:AK1812"/>
    <mergeCell ref="B1813:D1813"/>
    <mergeCell ref="E1813:H1813"/>
    <mergeCell ref="J1813:L1813"/>
    <mergeCell ref="M1813:O1813"/>
    <mergeCell ref="P1813:R1813"/>
    <mergeCell ref="S1813:V1813"/>
    <mergeCell ref="W1813:Z1813"/>
    <mergeCell ref="AA1813:AF1813"/>
    <mergeCell ref="AG1813:AK1813"/>
    <mergeCell ref="AA1811:AF1811"/>
    <mergeCell ref="AG1811:AK1811"/>
    <mergeCell ref="B1812:D1812"/>
    <mergeCell ref="E1812:H1812"/>
    <mergeCell ref="J1812:L1812"/>
    <mergeCell ref="M1812:O1812"/>
    <mergeCell ref="P1812:R1812"/>
    <mergeCell ref="S1812:V1812"/>
    <mergeCell ref="W1812:Z1812"/>
    <mergeCell ref="AA1812:AF1812"/>
    <mergeCell ref="AA1823:AK1823"/>
    <mergeCell ref="AG1825:AL1825"/>
    <mergeCell ref="W1819:Z1819"/>
    <mergeCell ref="AA1819:AF1819"/>
    <mergeCell ref="AG1819:AK1819"/>
    <mergeCell ref="M1821:O1822"/>
    <mergeCell ref="P1821:R1822"/>
    <mergeCell ref="S1821:V1822"/>
    <mergeCell ref="W1821:Z1822"/>
    <mergeCell ref="AA1821:AF1822"/>
    <mergeCell ref="AG1821:AK1822"/>
    <mergeCell ref="B1819:D1819"/>
    <mergeCell ref="E1819:H1819"/>
    <mergeCell ref="J1819:L1819"/>
    <mergeCell ref="M1819:O1819"/>
    <mergeCell ref="P1819:R1819"/>
    <mergeCell ref="S1819:V1819"/>
    <mergeCell ref="AG1817:AK1817"/>
    <mergeCell ref="B1818:D1818"/>
    <mergeCell ref="E1818:H1818"/>
    <mergeCell ref="J1818:L1818"/>
    <mergeCell ref="M1818:O1818"/>
    <mergeCell ref="P1818:R1818"/>
    <mergeCell ref="S1818:V1818"/>
    <mergeCell ref="W1818:Z1818"/>
    <mergeCell ref="AA1818:AF1818"/>
    <mergeCell ref="AG1818:AK1818"/>
    <mergeCell ref="AA1815:AF1815"/>
    <mergeCell ref="AG1815:AK1815"/>
    <mergeCell ref="B1817:D1817"/>
    <mergeCell ref="E1817:H1817"/>
    <mergeCell ref="J1817:L1817"/>
    <mergeCell ref="M1817:O1817"/>
    <mergeCell ref="P1817:R1817"/>
    <mergeCell ref="S1817:V1817"/>
    <mergeCell ref="W1817:Z1817"/>
    <mergeCell ref="AA1817:AF1817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59</vt:i4>
      </vt:variant>
      <vt:variant>
        <vt:lpstr>Rangos con nombre</vt:lpstr>
      </vt:variant>
      <vt:variant>
        <vt:i4>32</vt:i4>
      </vt:variant>
    </vt:vector>
  </HeadingPairs>
  <TitlesOfParts>
    <vt:vector size="91" baseType="lpstr">
      <vt:lpstr>BALANCE</vt:lpstr>
      <vt:lpstr>PPTO RESULTADOS</vt:lpstr>
      <vt:lpstr>RESULTADOS PARQUES</vt:lpstr>
      <vt:lpstr>VARIACIONES EGRESOS</vt:lpstr>
      <vt:lpstr>GRAFICAS</vt:lpstr>
      <vt:lpstr>INGRESOS</vt:lpstr>
      <vt:lpstr>EGRESOS</vt:lpstr>
      <vt:lpstr>CTAS BALANCE</vt:lpstr>
      <vt:lpstr>BALANZA</vt:lpstr>
      <vt:lpstr>PRESUP ORIGINAL</vt:lpstr>
      <vt:lpstr>notas</vt:lpstr>
      <vt:lpstr>EA</vt:lpstr>
      <vt:lpstr>1 ea sif</vt:lpstr>
      <vt:lpstr>ESF</vt:lpstr>
      <vt:lpstr>2 esf sif</vt:lpstr>
      <vt:lpstr>ESF det</vt:lpstr>
      <vt:lpstr>36 esfd sif</vt:lpstr>
      <vt:lpstr>ECSF</vt:lpstr>
      <vt:lpstr>4 ecsf sif</vt:lpstr>
      <vt:lpstr>EAA</vt:lpstr>
      <vt:lpstr>10 eaa sif</vt:lpstr>
      <vt:lpstr>EADP</vt:lpstr>
      <vt:lpstr>11 ead sif</vt:lpstr>
      <vt:lpstr>EVHP</vt:lpstr>
      <vt:lpstr>3 evhp sif</vt:lpstr>
      <vt:lpstr>EFE</vt:lpstr>
      <vt:lpstr>5 efe sif</vt:lpstr>
      <vt:lpstr>EAI</vt:lpstr>
      <vt:lpstr>13 ri sif</vt:lpstr>
      <vt:lpstr>14 ff sif</vt:lpstr>
      <vt:lpstr>15 ce sif</vt:lpstr>
      <vt:lpstr>40 eaid sif</vt:lpstr>
      <vt:lpstr>COG</vt:lpstr>
      <vt:lpstr>20 cog sif</vt:lpstr>
      <vt:lpstr>41 cogd sif</vt:lpstr>
      <vt:lpstr>44 sp sif</vt:lpstr>
      <vt:lpstr>CAdmon</vt:lpstr>
      <vt:lpstr>16 ca sif</vt:lpstr>
      <vt:lpstr>18 casp sif</vt:lpstr>
      <vt:lpstr>42 cad sif</vt:lpstr>
      <vt:lpstr>CTG</vt:lpstr>
      <vt:lpstr>19 tg sif</vt:lpstr>
      <vt:lpstr>CFG</vt:lpstr>
      <vt:lpstr>21 cf sif </vt:lpstr>
      <vt:lpstr>43 cfd sif</vt:lpstr>
      <vt:lpstr>CProg</vt:lpstr>
      <vt:lpstr>25 cprog sif</vt:lpstr>
      <vt:lpstr>End Neto</vt:lpstr>
      <vt:lpstr>22 en sif</vt:lpstr>
      <vt:lpstr>Int</vt:lpstr>
      <vt:lpstr>Post Fiscal</vt:lpstr>
      <vt:lpstr>39 bp sif</vt:lpstr>
      <vt:lpstr>24 ffon sif</vt:lpstr>
      <vt:lpstr>Rel Cta Banc</vt:lpstr>
      <vt:lpstr>TERRENOS</vt:lpstr>
      <vt:lpstr>CARTERA</vt:lpstr>
      <vt:lpstr>INDICADORES</vt:lpstr>
      <vt:lpstr>FLUJO S.H.</vt:lpstr>
      <vt:lpstr>RptEAA</vt:lpstr>
      <vt:lpstr>'1 ea sif'!Área_de_impresión</vt:lpstr>
      <vt:lpstr>'10 eaa sif'!Área_de_impresión</vt:lpstr>
      <vt:lpstr>'11 ead sif'!Área_de_impresión</vt:lpstr>
      <vt:lpstr>'2 esf sif'!Área_de_impresión</vt:lpstr>
      <vt:lpstr>'3 evhp sif'!Área_de_impresión</vt:lpstr>
      <vt:lpstr>'4 ecsf sif'!Área_de_impresión</vt:lpstr>
      <vt:lpstr>'5 efe sif'!Área_de_impresión</vt:lpstr>
      <vt:lpstr>BALANCE!Área_de_impresión</vt:lpstr>
      <vt:lpstr>COG!Área_de_impresión</vt:lpstr>
      <vt:lpstr>'CTAS BALANCE'!Área_de_impresión</vt:lpstr>
      <vt:lpstr>EA!Área_de_impresión</vt:lpstr>
      <vt:lpstr>EAA!Área_de_impresión</vt:lpstr>
      <vt:lpstr>EADP!Área_de_impresión</vt:lpstr>
      <vt:lpstr>EAI!Área_de_impresión</vt:lpstr>
      <vt:lpstr>ECSF!Área_de_impresión</vt:lpstr>
      <vt:lpstr>EFE!Área_de_impresión</vt:lpstr>
      <vt:lpstr>EGRESOS!Área_de_impresión</vt:lpstr>
      <vt:lpstr>ESF!Área_de_impresión</vt:lpstr>
      <vt:lpstr>'ESF det'!Área_de_impresión</vt:lpstr>
      <vt:lpstr>EVHP!Área_de_impresión</vt:lpstr>
      <vt:lpstr>'FLUJO S.H.'!Área_de_impresión</vt:lpstr>
      <vt:lpstr>GRAFICAS!Área_de_impresión</vt:lpstr>
      <vt:lpstr>INDICADORES!Área_de_impresión</vt:lpstr>
      <vt:lpstr>INGRESOS!Área_de_impresión</vt:lpstr>
      <vt:lpstr>'PPTO RESULTADOS'!Área_de_impresión</vt:lpstr>
      <vt:lpstr>'PRESUP ORIGINAL'!Área_de_impresión</vt:lpstr>
      <vt:lpstr>'RESULTADOS PARQUES'!Área_de_impresión</vt:lpstr>
      <vt:lpstr>'VARIACIONES EGRESOS'!Área_de_impresión</vt:lpstr>
      <vt:lpstr>'CTAS BALANCE'!Títulos_a_imprimir</vt:lpstr>
      <vt:lpstr>EGRESOS!Títulos_a_imprimir</vt:lpstr>
      <vt:lpstr>'FLUJO S.H.'!Títulos_a_imprimir</vt:lpstr>
      <vt:lpstr>INDICADORES!Títulos_a_imprimir</vt:lpstr>
    </vt:vector>
  </TitlesOfParts>
  <Company>promotora de la industria chihuhuense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promotora de la industria</dc:creator>
  <cp:lastModifiedBy>Javier Marrufo</cp:lastModifiedBy>
  <cp:lastPrinted>2020-09-17T19:44:29Z</cp:lastPrinted>
  <dcterms:created xsi:type="dcterms:W3CDTF">2000-06-23T23:57:12Z</dcterms:created>
  <dcterms:modified xsi:type="dcterms:W3CDTF">2021-05-13T15:12:34Z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1378907497</vt:i4>
  </property>
  <property fmtid="{D5CDD505-2E9C-101B-9397-08002B2CF9AE}" pid="3" name="_EmailSubject">
    <vt:lpwstr>ESTADOS FINANCIEROS JULIO 04</vt:lpwstr>
  </property>
  <property fmtid="{D5CDD505-2E9C-101B-9397-08002B2CF9AE}" pid="4" name="_AuthorEmail">
    <vt:lpwstr>lvazquez@PROMOTORA.PICH&amp;SDI.com</vt:lpwstr>
  </property>
  <property fmtid="{D5CDD505-2E9C-101B-9397-08002B2CF9AE}" pid="5" name="_AuthorEmailDisplayName">
    <vt:lpwstr>Luis  Vazquez Torrijos</vt:lpwstr>
  </property>
  <property fmtid="{D5CDD505-2E9C-101B-9397-08002B2CF9AE}" pid="6" name="_PreviousAdHocReviewCycleID">
    <vt:i4>-829634521</vt:i4>
  </property>
  <property fmtid="{D5CDD505-2E9C-101B-9397-08002B2CF9AE}" pid="7" name="_ReviewingToolsShownOnce">
    <vt:lpwstr/>
  </property>
</Properties>
</file>